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5A5CDA21-85BE-4B70-AC7B-0E1299F1FCE9}" xr6:coauthVersionLast="47" xr6:coauthVersionMax="47" xr10:uidLastSave="{00000000-0000-0000-0000-000000000000}"/>
  <bookViews>
    <workbookView xWindow="-120" yWindow="-120" windowWidth="20730" windowHeight="11160" xr2:uid="{00000000-000D-0000-FFFF-FFFF00000000}"/>
  </bookViews>
  <sheets>
    <sheet name="Instruction" sheetId="247" r:id="rId1"/>
    <sheet name="FS" sheetId="1" r:id="rId2"/>
    <sheet name="SARS" sheetId="234" r:id="rId3"/>
    <sheet name="FS2" sheetId="246" r:id="rId4"/>
    <sheet name="Criteria" sheetId="4" r:id="rId5"/>
    <sheet name="TrialBalance" sheetId="5" r:id="rId6"/>
    <sheet name="Journals" sheetId="26" r:id="rId7"/>
    <sheet name="TBClient" sheetId="112" r:id="rId8"/>
    <sheet name="GLClient" sheetId="115" r:id="rId9"/>
    <sheet name="FARegister" sheetId="89" r:id="rId10"/>
    <sheet name="TARegister" sheetId="242" r:id="rId11"/>
    <sheet name="VAT" sheetId="80" r:id="rId12"/>
    <sheet name="ILoans" sheetId="168" r:id="rId13"/>
    <sheet name="IFree" sheetId="169" r:id="rId14"/>
    <sheet name="DTax" sheetId="170" r:id="rId15"/>
    <sheet name="NC Receivables" sheetId="229" r:id="rId16"/>
    <sheet name="Stock" sheetId="206" r:id="rId17"/>
    <sheet name="Debtors" sheetId="187" r:id="rId18"/>
    <sheet name="Bank" sheetId="178" r:id="rId19"/>
    <sheet name="Creditors" sheetId="167" r:id="rId20"/>
    <sheet name="Expenses" sheetId="240" r:id="rId21"/>
    <sheet name="Open" sheetId="124" r:id="rId22"/>
    <sheet name="Loan 1" sheetId="230" r:id="rId23"/>
    <sheet name="FLease1" sheetId="231"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48" r:id="rId31"/>
  </sheets>
  <externalReferences>
    <externalReference r:id="rId32"/>
    <externalReference r:id="rId33"/>
    <externalReference r:id="rId34"/>
    <externalReference r:id="rId35"/>
    <externalReference r:id="rId36"/>
    <externalReference r:id="rId37"/>
    <externalReference r:id="rId38"/>
  </externalReferences>
  <definedNames>
    <definedName name="_ftn1" localSheetId="1">FS!#REF!</definedName>
    <definedName name="_ftnref1" localSheetId="1">FS!#REF!</definedName>
    <definedName name="_Movesheet" localSheetId="30">#REF!</definedName>
    <definedName name="_Movesheet" localSheetId="17">#REF!</definedName>
    <definedName name="_Movesheet" localSheetId="0">#REF!</definedName>
    <definedName name="_Movesheet" localSheetId="27">#REF!</definedName>
    <definedName name="_Movesheet" localSheetId="29">#REF!</definedName>
    <definedName name="_Movesheet" localSheetId="16">#REF!</definedName>
    <definedName name="_Movesheet" localSheetId="26">#REF!</definedName>
    <definedName name="_Movesheet" localSheetId="28">#REF!</definedName>
    <definedName name="_Movesheet">#REF!</definedName>
    <definedName name="_MoveSheet2" localSheetId="30">#REF!</definedName>
    <definedName name="_MoveSheet2" localSheetId="17">#REF!</definedName>
    <definedName name="_MoveSheet2" localSheetId="0">#REF!</definedName>
    <definedName name="_MoveSheet2" localSheetId="27">#REF!</definedName>
    <definedName name="_MoveSheet2" localSheetId="29">#REF!</definedName>
    <definedName name="_MoveSheet2" localSheetId="16">#REF!</definedName>
    <definedName name="_MoveSheet2" localSheetId="26">#REF!</definedName>
    <definedName name="_MoveSheet2" localSheetId="28">#REF!</definedName>
    <definedName name="_MoveSheet2">#REF!</definedName>
    <definedName name="_MoveSheet3" localSheetId="30">#REF!</definedName>
    <definedName name="_MoveSheet3" localSheetId="17">#REF!</definedName>
    <definedName name="_MoveSheet3" localSheetId="0">#REF!</definedName>
    <definedName name="_MoveSheet3" localSheetId="27">#REF!</definedName>
    <definedName name="_MoveSheet3" localSheetId="29">#REF!</definedName>
    <definedName name="_MoveSheet3" localSheetId="16">#REF!</definedName>
    <definedName name="_MoveSheet3" localSheetId="26">#REF!</definedName>
    <definedName name="_MoveSheet3" localSheetId="28">#REF!</definedName>
    <definedName name="_MoveSheet3">#REF!</definedName>
    <definedName name="_MoveSheet4" localSheetId="30">#REF!</definedName>
    <definedName name="_MoveSheet4" localSheetId="17">#REF!</definedName>
    <definedName name="_MoveSheet4" localSheetId="0">#REF!</definedName>
    <definedName name="_MoveSheet4" localSheetId="27">#REF!</definedName>
    <definedName name="_MoveSheet4" localSheetId="29">#REF!</definedName>
    <definedName name="_MoveSheet4" localSheetId="16">#REF!</definedName>
    <definedName name="_MoveSheet4" localSheetId="26">#REF!</definedName>
    <definedName name="_MoveSheet4" localSheetId="28">#REF!</definedName>
    <definedName name="_MoveSheet4">#REF!</definedName>
    <definedName name="_MoveSheet5" localSheetId="30">#REF!</definedName>
    <definedName name="_MoveSheet5" localSheetId="17">#REF!</definedName>
    <definedName name="_MoveSheet5" localSheetId="0">#REF!</definedName>
    <definedName name="_MoveSheet5" localSheetId="27">#REF!</definedName>
    <definedName name="_MoveSheet5" localSheetId="29">#REF!</definedName>
    <definedName name="_MoveSheet5" localSheetId="16">#REF!</definedName>
    <definedName name="_MoveSheet5" localSheetId="26">#REF!</definedName>
    <definedName name="_MoveSheet5" localSheetId="28">#REF!</definedName>
    <definedName name="_MoveSheet5">#REF!</definedName>
    <definedName name="_MoveSheet6" localSheetId="30">#REF!</definedName>
    <definedName name="_MoveSheet6" localSheetId="17">#REF!</definedName>
    <definedName name="_MoveSheet6" localSheetId="0">#REF!</definedName>
    <definedName name="_MoveSheet6" localSheetId="27">#REF!</definedName>
    <definedName name="_MoveSheet6" localSheetId="29">#REF!</definedName>
    <definedName name="_MoveSheet6" localSheetId="16">#REF!</definedName>
    <definedName name="_MoveSheet6" localSheetId="26">#REF!</definedName>
    <definedName name="_MoveSheet6" localSheetId="28">#REF!</definedName>
    <definedName name="_MoveSheet6">#REF!</definedName>
    <definedName name="_MoveSheet7" localSheetId="30">#REF!</definedName>
    <definedName name="_MoveSheet7" localSheetId="17">#REF!</definedName>
    <definedName name="_MoveSheet7" localSheetId="0">#REF!</definedName>
    <definedName name="_MoveSheet7" localSheetId="27">#REF!</definedName>
    <definedName name="_MoveSheet7" localSheetId="29">#REF!</definedName>
    <definedName name="_MoveSheet7" localSheetId="16">#REF!</definedName>
    <definedName name="_MoveSheet7" localSheetId="26">#REF!</definedName>
    <definedName name="_MoveSheet7" localSheetId="28">#REF!</definedName>
    <definedName name="_MoveSheet7">#REF!</definedName>
    <definedName name="_MoveSheet8" localSheetId="30">#REF!</definedName>
    <definedName name="_MoveSheet8" localSheetId="17">#REF!</definedName>
    <definedName name="_MoveSheet8" localSheetId="0">#REF!</definedName>
    <definedName name="_MoveSheet8" localSheetId="27">#REF!</definedName>
    <definedName name="_MoveSheet8" localSheetId="29">#REF!</definedName>
    <definedName name="_MoveSheet8" localSheetId="16">#REF!</definedName>
    <definedName name="_MoveSheet8" localSheetId="26">#REF!</definedName>
    <definedName name="_MoveSheet8" localSheetId="28">#REF!</definedName>
    <definedName name="_MoveSheet8">#REF!</definedName>
    <definedName name="_MoveSheet9" localSheetId="30">#REF!</definedName>
    <definedName name="_MoveSheet9" localSheetId="17">#REF!</definedName>
    <definedName name="_MoveSheet9" localSheetId="0">#REF!</definedName>
    <definedName name="_MoveSheet9" localSheetId="27">#REF!</definedName>
    <definedName name="_MoveSheet9" localSheetId="29">#REF!</definedName>
    <definedName name="_MoveSheet9" localSheetId="16">#REF!</definedName>
    <definedName name="_MoveSheet9" localSheetId="26">#REF!</definedName>
    <definedName name="_MoveSheet9" localSheetId="28">#REF!</definedName>
    <definedName name="_MoveSheet9">#REF!</definedName>
    <definedName name="Audit___Trail_balance_this_Year" localSheetId="30">#REF!</definedName>
    <definedName name="Audit___Trail_balance_this_Year" localSheetId="0">#REF!</definedName>
    <definedName name="Audit___Trail_balance_this_Year" localSheetId="16">#REF!</definedName>
    <definedName name="Audit___Trail_balance_this_Year">#REF!</definedName>
    <definedName name="BalanceSheet" localSheetId="30">[1]TrialBalance!$P$157:$P$356</definedName>
    <definedName name="BalanceSheet" localSheetId="9">[2]TrialBalance!$K$147:$K$374</definedName>
    <definedName name="BalanceSheet" localSheetId="0">[3]TrialBalance!$P$158:$P$346</definedName>
    <definedName name="BalanceSheet" localSheetId="10">[2]TrialBalance!$K$147:$K$374</definedName>
    <definedName name="BalanceSheet" localSheetId="7">[4]TrialBalance!$M$151:$M$346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TrialBalance!$P$167:$P$400</definedName>
    <definedName name="BalanceSheet2" localSheetId="9">[2]TrialBalance!$C$148:$C$374</definedName>
    <definedName name="BalanceSheet2" localSheetId="10">[2]TrialBalance!$C$148:$C$374</definedName>
    <definedName name="BalanceSheet2" localSheetId="7">[4]TrialBalance!$C$152:$C$346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TrialBalance!$C$168:$C$400</definedName>
    <definedName name="BalanceSheet3" localSheetId="30">[1]TrialBalanceB!$M$158:$M$356</definedName>
    <definedName name="BalanceSheet3" localSheetId="0">[3]TrialBalanceB!$M$159:$M$346</definedName>
    <definedName name="BalanceSheet3" localSheetId="28">TrialBalanceC!$M$168:$M$400</definedName>
    <definedName name="BalanceSheet3">TrialBalanceB!$M$168:$M$400</definedName>
    <definedName name="BalanceSheet4" localSheetId="30">[1]TrialBalanceC!$M$158:$M$356</definedName>
    <definedName name="BalanceSheet4" localSheetId="0">[3]TrialBalanceC!$M$159:$M$346</definedName>
    <definedName name="BalanceSheet4">TrialBalanceC!$M$168:$M$400</definedName>
    <definedName name="BalanceSheetA" localSheetId="30">[1]TrialBalanceA!$M$158:$M$356</definedName>
    <definedName name="BalanceSheetA" localSheetId="0">[3]TrialBalanceA!$M$159:$M$346</definedName>
    <definedName name="BalanceSheetA" localSheetId="26">TrialBalanceB!$M$168:$M$400</definedName>
    <definedName name="BalanceSheetA" localSheetId="28">TrialBalanceC!$M$168:$M$400</definedName>
    <definedName name="BalanceSheetA">TrialBalanceA!$M$168:$M$400</definedName>
    <definedName name="BalanceSheetB">[5]TrialBalanceB!$L$159:$L$365</definedName>
    <definedName name="DELETE" localSheetId="3">'FS2'!$A$1:$R$2824</definedName>
    <definedName name="DELETE">FS!$A$1:$R$2892</definedName>
    <definedName name="df" localSheetId="18">[6]TrialBalance!$K$4:$K$144</definedName>
    <definedName name="df" localSheetId="19">[6]TrialBalance!$K$4:$K$144</definedName>
    <definedName name="df" localSheetId="17">[6]TrialBalance!$K$4:$K$144</definedName>
    <definedName name="df" localSheetId="14">[6]TrialBalance!$K$4:$K$144</definedName>
    <definedName name="df" localSheetId="20">[6]TrialBalance!$K$4:$K$144</definedName>
    <definedName name="df" localSheetId="23">[6]TrialBalance!$K$4:$K$144</definedName>
    <definedName name="df" localSheetId="13">[6]TrialBalance!$K$4:$K$144</definedName>
    <definedName name="df" localSheetId="12">[6]TrialBalance!$K$4:$K$144</definedName>
    <definedName name="df" localSheetId="22">[6]TrialBalance!$K$4:$K$144</definedName>
    <definedName name="df" localSheetId="15">[6]TrialBalance!$K$4:$K$144</definedName>
    <definedName name="df" localSheetId="21">[6]TrialBalance!$K$4:$K$144</definedName>
    <definedName name="df" localSheetId="16">[6]TrialBalance!$K$4:$K$144</definedName>
    <definedName name="df" localSheetId="24">TrialBalanceA!$L$4:$L$164</definedName>
    <definedName name="df" localSheetId="26">TrialBalanceB!$L$4:$L$164</definedName>
    <definedName name="df" localSheetId="28">TrialBalanceC!$L$4:$L$164</definedName>
    <definedName name="df">TrialBalance!$O$4:$O$164</definedName>
    <definedName name="Excel_BuiltIn_Print_Area_1" localSheetId="30">#REF!</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0">#REF!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[7]StateENG!#REF!</definedName>
    <definedName name="Fixproperty" localSheetId="3">'FS2'!#REF!</definedName>
    <definedName name="Fixproperty" localSheetId="10">[7]StateENG!#REF!</definedName>
    <definedName name="Fixproperty">FS!#REF!</definedName>
    <definedName name="GameGrowth1" localSheetId="30">#REF!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0">#REF!</definedName>
    <definedName name="GameGrowth1" localSheetId="25">#REF!</definedName>
    <definedName name="GameGrowth1" localSheetId="27">#REF!</definedName>
    <definedName name="GameGrowth1" localSheetId="29">#REF!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30">#REF!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0">#REF!</definedName>
    <definedName name="GameGrowth2" localSheetId="25">#REF!</definedName>
    <definedName name="GameGrowth2" localSheetId="27">#REF!</definedName>
    <definedName name="GameGrowth2" localSheetId="29">#REF!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30">#REF!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0">#REF!</definedName>
    <definedName name="GameGrowth3" localSheetId="25">#REF!</definedName>
    <definedName name="GameGrowth3" localSheetId="27">#REF!</definedName>
    <definedName name="GameGrowth3" localSheetId="29">#REF!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30">#REF!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0">#REF!</definedName>
    <definedName name="GameGrowth4" localSheetId="25">#REF!</definedName>
    <definedName name="GameGrowth4" localSheetId="27">#REF!</definedName>
    <definedName name="GameGrowth4" localSheetId="29">#REF!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30">#REF!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0">#REF!</definedName>
    <definedName name="GameLoan" localSheetId="25">#REF!</definedName>
    <definedName name="GameLoan" localSheetId="27">#REF!</definedName>
    <definedName name="GameLoan" localSheetId="29">#REF!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30">#REF!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0">#REF!</definedName>
    <definedName name="Gamesurvey" localSheetId="25">#REF!</definedName>
    <definedName name="Gamesurvey" localSheetId="27">#REF!</definedName>
    <definedName name="Gamesurvey" localSheetId="29">#REF!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30">#REF!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0">#REF!</definedName>
    <definedName name="HPLoan" localSheetId="25">#REF!</definedName>
    <definedName name="HPLoan" localSheetId="27">#REF!</definedName>
    <definedName name="HPLoan" localSheetId="29">#REF!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30">#REF!</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0">#REF!</definedName>
    <definedName name="Loan" localSheetId="25">#REF!</definedName>
    <definedName name="Loan" localSheetId="27">#REF!</definedName>
    <definedName name="Loan" localSheetId="29">#REF!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30">#REF!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0">#REF!</definedName>
    <definedName name="LoanPrivate" localSheetId="25">#REF!</definedName>
    <definedName name="LoanPrivate" localSheetId="27">#REF!</definedName>
    <definedName name="LoanPrivate" localSheetId="29">#REF!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Debtors!$B$2:$H$93</definedName>
    <definedName name="_xlnm.Print_Area" localSheetId="20">Expenses!$B$2:$H$18</definedName>
    <definedName name="_xlnm.Print_Area" localSheetId="23">FLease1!$B$2:$H$22</definedName>
    <definedName name="_xlnm.Print_Area" localSheetId="1">FS!$A$1:$Q$3876</definedName>
    <definedName name="_xlnm.Print_Area" localSheetId="3">'FS2'!$A$1:$Q$3316</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6">Stock!$B$2:$H$18</definedName>
    <definedName name="_xlnm.Print_Area" localSheetId="11">VAT!$C$36:$F$57</definedName>
    <definedName name="Profit" localSheetId="24">TrialBalanceA!$B$4:$C$164</definedName>
    <definedName name="Profit" localSheetId="26">TrialBalanceB!$B$4:$C$164</definedName>
    <definedName name="Profit" localSheetId="28">TrialBalanceC!$B$4:$C$164</definedName>
    <definedName name="Profit">TrialBalance!$B$4:$C$164</definedName>
    <definedName name="ProfitLoss" localSheetId="30">[1]TrialBalance!$P$4:$P$154</definedName>
    <definedName name="ProfitLoss" localSheetId="9">[2]TrialBalance!$K$4:$K$144</definedName>
    <definedName name="ProfitLoss" localSheetId="0">[3]TrialBalance!$P$4:$P$155</definedName>
    <definedName name="ProfitLoss" localSheetId="10">[2]TrialBalance!$K$4:$K$144</definedName>
    <definedName name="ProfitLoss" localSheetId="7">[4]TrialBalance!$M$4:$M$148</definedName>
    <definedName name="ProfitLoss" localSheetId="24">TrialBalanceA!$M$4:$M$164</definedName>
    <definedName name="ProfitLoss" localSheetId="26">TrialBalanceB!$M$4:$M$164</definedName>
    <definedName name="ProfitLoss" localSheetId="28">TrialBalanceC!$M$4:$M$164</definedName>
    <definedName name="ProfitLoss">TrialBalance!$P$4:$P$164</definedName>
    <definedName name="ProfitLoss2" localSheetId="30">[1]TrialBalanceA!$M$5:$M$154</definedName>
    <definedName name="ProfitLoss2" localSheetId="0">[3]TrialBalanceA!$M$5:$M$155</definedName>
    <definedName name="ProfitLoss2" localSheetId="26">TrialBalanceB!$M$5:$M$164</definedName>
    <definedName name="ProfitLoss2" localSheetId="28">TrialBalanceC!$M$5:$M$164</definedName>
    <definedName name="ProfitLoss2">TrialBalanceA!$M$5:$M$164</definedName>
    <definedName name="ProfitLoss3" localSheetId="30">[1]TrialBalanceB!$M$5:$M$154</definedName>
    <definedName name="ProfitLoss3" localSheetId="0">[3]TrialBalanceB!$M$5:$M$155</definedName>
    <definedName name="ProfitLoss3" localSheetId="28">TrialBalanceC!$M$5:$M$164</definedName>
    <definedName name="ProfitLoss3">TrialBalanceB!$M$5:$M$164</definedName>
    <definedName name="ProfitLoss4" localSheetId="30">[1]TrialBalanceC!$M$5:$M$154</definedName>
    <definedName name="ProfitLoss4" localSheetId="0">[3]TrialBalanceC!$M$5:$M$155</definedName>
    <definedName name="ProfitLoss4">TrialBalanceC!$M$5:$M$164</definedName>
    <definedName name="ProfitLossA" localSheetId="26">TrialBalanceB!$M$5:$M$400</definedName>
    <definedName name="ProfitLossA" localSheetId="28">TrialBalanceC!$M$5:$M$400</definedName>
    <definedName name="ProfitLossA">TrialBalanceA!$M$5:$M$400</definedName>
    <definedName name="ProfitLossB" localSheetId="28">TrialBalanceC!$M$5:$M$164</definedName>
    <definedName name="ProfitLossB">TrialBalanceB!$M$5:$M$164</definedName>
    <definedName name="sd" localSheetId="18">[6]TrialBalance!$K$147:$K$374</definedName>
    <definedName name="sd" localSheetId="19">[6]TrialBalance!$K$147:$K$374</definedName>
    <definedName name="sd" localSheetId="17">[6]TrialBalance!$K$147:$K$374</definedName>
    <definedName name="sd" localSheetId="14">[6]TrialBalance!$K$147:$K$374</definedName>
    <definedName name="sd" localSheetId="20">[6]TrialBalance!$K$147:$K$374</definedName>
    <definedName name="sd" localSheetId="23">[6]TrialBalance!$K$147:$K$374</definedName>
    <definedName name="sd" localSheetId="13">[6]TrialBalance!$K$147:$K$374</definedName>
    <definedName name="sd" localSheetId="12">[6]TrialBalance!$K$147:$K$374</definedName>
    <definedName name="sd" localSheetId="22">[6]TrialBalance!$K$147:$K$374</definedName>
    <definedName name="sd" localSheetId="15">[6]TrialBalance!$K$147:$K$374</definedName>
    <definedName name="sd" localSheetId="21">[6]TrialBalance!$K$147:$K$374</definedName>
    <definedName name="sd" localSheetId="16">[6]TrialBalance!$K$147:$K$374</definedName>
    <definedName name="sd" localSheetId="24">TrialBalanceA!#REF!</definedName>
    <definedName name="sd" localSheetId="26">TrialBalanceB!#REF!</definedName>
    <definedName name="sd" localSheetId="28">TrialBalanceC!#REF!</definedName>
    <definedName name="sd">TrialBalance!$O$167:$O$400</definedName>
    <definedName name="STATE" localSheetId="3">'FS2'!$A$1:$Q$2824</definedName>
    <definedName name="STATE">FS!$A$1:$Q$2892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06" i="246" l="1"/>
  <c r="D407" i="1"/>
  <c r="M2508" i="1"/>
  <c r="O2510" i="1"/>
  <c r="O2513" i="1"/>
  <c r="M2510" i="1"/>
  <c r="M2513" i="1"/>
  <c r="O2446" i="246"/>
  <c r="O2443" i="246"/>
  <c r="D455" i="246"/>
  <c r="D453" i="246"/>
  <c r="D457" i="1"/>
  <c r="D455" i="1"/>
  <c r="O1378" i="246"/>
  <c r="O1417" i="1"/>
  <c r="M1417" i="1"/>
  <c r="H123" i="248"/>
  <c r="B123" i="248"/>
  <c r="H122" i="248"/>
  <c r="B122" i="248"/>
  <c r="H121" i="248"/>
  <c r="B121" i="248"/>
  <c r="H120" i="248"/>
  <c r="B120" i="248"/>
  <c r="H119" i="248"/>
  <c r="B119" i="248"/>
  <c r="H118" i="248"/>
  <c r="B118" i="248"/>
  <c r="H117" i="248"/>
  <c r="B117" i="248"/>
  <c r="H116" i="248"/>
  <c r="B116" i="248"/>
  <c r="H115" i="248"/>
  <c r="B115" i="248"/>
  <c r="H114" i="248"/>
  <c r="B114" i="248"/>
  <c r="B113" i="248"/>
  <c r="H112" i="248"/>
  <c r="B112" i="248"/>
  <c r="H111" i="248"/>
  <c r="B111" i="248"/>
  <c r="H110" i="248"/>
  <c r="B110" i="248"/>
  <c r="H109" i="248"/>
  <c r="B109" i="248"/>
  <c r="H108" i="248"/>
  <c r="B108" i="248"/>
  <c r="H107" i="248"/>
  <c r="B107" i="248"/>
  <c r="H106" i="248"/>
  <c r="B106" i="248"/>
  <c r="H105" i="248"/>
  <c r="B105" i="248"/>
  <c r="H104" i="248"/>
  <c r="B104" i="248"/>
  <c r="H103" i="248"/>
  <c r="B103" i="248"/>
  <c r="H102" i="248"/>
  <c r="B102" i="248"/>
  <c r="H101" i="248"/>
  <c r="B101" i="248"/>
  <c r="H100" i="248"/>
  <c r="B100" i="248"/>
  <c r="H99" i="248"/>
  <c r="B99" i="248"/>
  <c r="H98" i="248"/>
  <c r="B98" i="248"/>
  <c r="H97" i="248"/>
  <c r="B97" i="248"/>
  <c r="B96" i="248"/>
  <c r="H95" i="248"/>
  <c r="B95" i="248"/>
  <c r="H94" i="248"/>
  <c r="B94" i="248"/>
  <c r="H93" i="248"/>
  <c r="B93" i="248"/>
  <c r="H92" i="248"/>
  <c r="B92" i="248"/>
  <c r="H91" i="248"/>
  <c r="B91" i="248"/>
  <c r="H90" i="248"/>
  <c r="B90" i="248"/>
  <c r="H89" i="248"/>
  <c r="B89" i="248"/>
  <c r="B88" i="248"/>
  <c r="H87" i="248"/>
  <c r="B87" i="248"/>
  <c r="H86" i="248"/>
  <c r="B86" i="248"/>
  <c r="H85" i="248"/>
  <c r="B85" i="248"/>
  <c r="H84" i="248"/>
  <c r="B84" i="248"/>
  <c r="H83" i="248"/>
  <c r="B83" i="248"/>
  <c r="H82" i="248"/>
  <c r="B82" i="248"/>
  <c r="H81" i="248"/>
  <c r="B81" i="248"/>
  <c r="H80" i="248"/>
  <c r="B80" i="248"/>
  <c r="H79" i="248"/>
  <c r="B79" i="248"/>
  <c r="H78" i="248"/>
  <c r="B78" i="248"/>
  <c r="H77" i="248"/>
  <c r="B77" i="248"/>
  <c r="H76" i="248"/>
  <c r="B76" i="248"/>
  <c r="H75" i="248"/>
  <c r="B75" i="248"/>
  <c r="H74" i="248"/>
  <c r="B74" i="248"/>
  <c r="H73" i="248"/>
  <c r="B73" i="248"/>
  <c r="H72" i="248"/>
  <c r="B72" i="248"/>
  <c r="H71" i="248"/>
  <c r="B71" i="248"/>
  <c r="H70" i="248"/>
  <c r="B70" i="248"/>
  <c r="H69" i="248"/>
  <c r="B69" i="248"/>
  <c r="H68" i="248"/>
  <c r="B68" i="248"/>
  <c r="H67" i="248"/>
  <c r="B67" i="248"/>
  <c r="B66" i="248"/>
  <c r="H65" i="248"/>
  <c r="B65" i="248"/>
  <c r="H64" i="248"/>
  <c r="B64" i="248"/>
  <c r="H63" i="248"/>
  <c r="B63" i="248"/>
  <c r="H62" i="248"/>
  <c r="B62" i="248"/>
  <c r="H61" i="248"/>
  <c r="B61" i="248"/>
  <c r="H60" i="248"/>
  <c r="B60" i="248"/>
  <c r="H59" i="248"/>
  <c r="B59" i="248"/>
  <c r="H58" i="248"/>
  <c r="B58" i="248"/>
  <c r="H57" i="248"/>
  <c r="B57" i="248"/>
  <c r="H56" i="248"/>
  <c r="B56" i="248"/>
  <c r="H55" i="248"/>
  <c r="B55" i="248"/>
  <c r="H54" i="248"/>
  <c r="B54" i="248"/>
  <c r="H53" i="248"/>
  <c r="B53" i="248"/>
  <c r="H52" i="248"/>
  <c r="B52" i="248"/>
  <c r="B51" i="248"/>
  <c r="B50" i="248"/>
  <c r="B49" i="248"/>
  <c r="B48" i="248"/>
  <c r="B47" i="248"/>
  <c r="B46" i="248"/>
  <c r="B45" i="248"/>
  <c r="B44" i="248"/>
  <c r="O1736" i="246"/>
  <c r="D1733" i="246"/>
  <c r="D1730" i="246"/>
  <c r="D1729" i="246"/>
  <c r="O1802" i="1"/>
  <c r="M1802" i="1"/>
  <c r="D1799" i="1"/>
  <c r="D1796" i="1"/>
  <c r="D1795" i="1"/>
  <c r="O1680" i="246"/>
  <c r="R1680" i="246" s="1"/>
  <c r="D1680" i="246"/>
  <c r="O1679" i="246"/>
  <c r="R1679" i="246" s="1"/>
  <c r="D1679" i="246"/>
  <c r="O1678" i="246"/>
  <c r="R1678" i="246" s="1"/>
  <c r="D1678" i="246"/>
  <c r="O1677" i="246"/>
  <c r="R1677" i="246" s="1"/>
  <c r="D1677" i="246"/>
  <c r="O1676" i="246"/>
  <c r="R1676" i="246" s="1"/>
  <c r="D1676" i="246"/>
  <c r="O1675" i="246"/>
  <c r="R1675" i="246" s="1"/>
  <c r="D1675" i="246"/>
  <c r="O1674" i="246"/>
  <c r="R1674" i="246" s="1"/>
  <c r="D1674" i="246"/>
  <c r="O1673" i="246"/>
  <c r="R1673" i="246" s="1"/>
  <c r="D1673" i="246"/>
  <c r="O1672" i="246"/>
  <c r="R1672" i="246" s="1"/>
  <c r="D1672" i="246"/>
  <c r="O1671" i="246"/>
  <c r="R1671" i="246" s="1"/>
  <c r="D1671" i="246"/>
  <c r="O1670" i="246"/>
  <c r="R1670" i="246" s="1"/>
  <c r="D1670" i="246"/>
  <c r="O1669" i="246"/>
  <c r="R1669" i="246" s="1"/>
  <c r="D1669" i="246"/>
  <c r="O1668" i="246"/>
  <c r="R1668" i="246" s="1"/>
  <c r="D1668" i="246"/>
  <c r="O1667" i="246"/>
  <c r="R1667" i="246" s="1"/>
  <c r="D1667" i="246"/>
  <c r="O1666" i="246"/>
  <c r="R1666" i="246" s="1"/>
  <c r="D1666" i="246"/>
  <c r="O1665" i="246"/>
  <c r="R1665" i="246" s="1"/>
  <c r="D1665" i="246"/>
  <c r="O1664" i="246"/>
  <c r="R1664" i="246" s="1"/>
  <c r="D1664" i="246"/>
  <c r="O1663" i="246"/>
  <c r="R1663" i="246" s="1"/>
  <c r="D1663" i="246"/>
  <c r="O1662" i="246"/>
  <c r="R1662" i="246" s="1"/>
  <c r="D1662" i="246"/>
  <c r="O1661" i="246"/>
  <c r="R1661" i="246" s="1"/>
  <c r="D1661" i="246"/>
  <c r="O1660" i="246"/>
  <c r="R1660" i="246" s="1"/>
  <c r="D1660" i="246"/>
  <c r="O1659" i="246"/>
  <c r="R1659" i="246" s="1"/>
  <c r="D1659" i="246"/>
  <c r="O1658" i="246"/>
  <c r="R1658" i="246" s="1"/>
  <c r="D1658" i="246"/>
  <c r="O1657" i="246"/>
  <c r="R1657" i="246" s="1"/>
  <c r="D1657" i="246"/>
  <c r="O1656" i="246"/>
  <c r="R1656" i="246" s="1"/>
  <c r="D1656" i="246"/>
  <c r="O1655" i="246"/>
  <c r="R1655" i="246" s="1"/>
  <c r="D1655" i="246"/>
  <c r="O1654" i="246"/>
  <c r="R1654" i="246" s="1"/>
  <c r="D1654" i="246"/>
  <c r="O1653" i="246"/>
  <c r="R1653" i="246" s="1"/>
  <c r="D1653" i="246"/>
  <c r="O1652" i="246"/>
  <c r="R1652" i="246" s="1"/>
  <c r="D1652" i="246"/>
  <c r="O1651" i="246"/>
  <c r="R1651" i="246" s="1"/>
  <c r="D1651" i="246"/>
  <c r="O1650" i="246"/>
  <c r="R1650" i="246" s="1"/>
  <c r="D1650" i="246"/>
  <c r="O1649" i="246"/>
  <c r="R1649" i="246" s="1"/>
  <c r="D1649" i="246"/>
  <c r="O1648" i="246"/>
  <c r="R1648" i="246" s="1"/>
  <c r="D1648" i="246"/>
  <c r="O1647" i="246"/>
  <c r="R1647" i="246" s="1"/>
  <c r="D1647" i="246"/>
  <c r="O1646" i="246"/>
  <c r="R1646" i="246" s="1"/>
  <c r="D1646" i="246"/>
  <c r="O1645" i="246"/>
  <c r="R1645" i="246" s="1"/>
  <c r="D1645" i="246"/>
  <c r="O1644" i="246"/>
  <c r="R1644" i="246" s="1"/>
  <c r="D1644" i="246"/>
  <c r="O1643" i="246"/>
  <c r="R1643" i="246" s="1"/>
  <c r="D1643" i="246"/>
  <c r="O1639" i="246"/>
  <c r="D1636" i="246"/>
  <c r="D1633" i="246"/>
  <c r="D1632" i="246"/>
  <c r="O1500" i="246"/>
  <c r="R1500" i="246" s="1"/>
  <c r="D1500" i="246"/>
  <c r="O1499" i="246"/>
  <c r="R1499" i="246" s="1"/>
  <c r="D1499" i="246"/>
  <c r="O1498" i="246"/>
  <c r="R1498" i="246" s="1"/>
  <c r="D1498" i="246"/>
  <c r="O1497" i="246"/>
  <c r="R1497" i="246" s="1"/>
  <c r="D1497" i="246"/>
  <c r="O1496" i="246"/>
  <c r="R1496" i="246" s="1"/>
  <c r="D1496" i="246"/>
  <c r="O1495" i="246"/>
  <c r="R1495" i="246" s="1"/>
  <c r="D1495" i="246"/>
  <c r="O1494" i="246"/>
  <c r="R1494" i="246" s="1"/>
  <c r="D1494" i="246"/>
  <c r="O1493" i="246"/>
  <c r="R1493" i="246" s="1"/>
  <c r="D1493" i="246"/>
  <c r="O1492" i="246"/>
  <c r="R1492" i="246" s="1"/>
  <c r="D1492" i="246"/>
  <c r="O1491" i="246"/>
  <c r="R1491" i="246" s="1"/>
  <c r="D1491" i="246"/>
  <c r="O1490" i="246"/>
  <c r="R1490" i="246" s="1"/>
  <c r="D1490" i="246"/>
  <c r="O1489" i="246"/>
  <c r="R1489" i="246" s="1"/>
  <c r="D1489" i="246"/>
  <c r="O1488" i="246"/>
  <c r="R1488" i="246" s="1"/>
  <c r="D1488" i="246"/>
  <c r="O1487" i="246"/>
  <c r="R1487" i="246" s="1"/>
  <c r="D1487" i="246"/>
  <c r="O1486" i="246"/>
  <c r="R1486" i="246" s="1"/>
  <c r="D1486" i="246"/>
  <c r="O1485" i="246"/>
  <c r="R1485" i="246" s="1"/>
  <c r="D1485" i="246"/>
  <c r="O1484" i="246"/>
  <c r="R1484" i="246" s="1"/>
  <c r="D1484" i="246"/>
  <c r="O1483" i="246"/>
  <c r="R1483" i="246" s="1"/>
  <c r="D1483" i="246"/>
  <c r="O1482" i="246"/>
  <c r="R1482" i="246" s="1"/>
  <c r="D1482" i="246"/>
  <c r="O1481" i="246"/>
  <c r="R1481" i="246" s="1"/>
  <c r="D1481" i="246"/>
  <c r="O1480" i="246"/>
  <c r="R1480" i="246" s="1"/>
  <c r="D1480" i="246"/>
  <c r="O1479" i="246"/>
  <c r="R1479" i="246" s="1"/>
  <c r="D1479" i="246"/>
  <c r="O1478" i="246"/>
  <c r="R1478" i="246" s="1"/>
  <c r="D1478" i="246"/>
  <c r="O1477" i="246"/>
  <c r="R1477" i="246" s="1"/>
  <c r="D1477" i="246"/>
  <c r="O1476" i="246"/>
  <c r="R1476" i="246" s="1"/>
  <c r="D1476" i="246"/>
  <c r="O1475" i="246"/>
  <c r="R1475" i="246" s="1"/>
  <c r="D1475" i="246"/>
  <c r="O1474" i="246"/>
  <c r="R1474" i="246" s="1"/>
  <c r="D1474" i="246"/>
  <c r="O1473" i="246"/>
  <c r="R1473" i="246" s="1"/>
  <c r="D1473" i="246"/>
  <c r="O1472" i="246"/>
  <c r="R1472" i="246" s="1"/>
  <c r="D1472" i="246"/>
  <c r="O1471" i="246"/>
  <c r="R1471" i="246" s="1"/>
  <c r="D1471" i="246"/>
  <c r="O1470" i="246"/>
  <c r="R1470" i="246" s="1"/>
  <c r="D1470" i="246"/>
  <c r="O1469" i="246"/>
  <c r="R1469" i="246" s="1"/>
  <c r="D1469" i="246"/>
  <c r="O1468" i="246"/>
  <c r="R1468" i="246" s="1"/>
  <c r="D1468" i="246"/>
  <c r="O1467" i="246"/>
  <c r="R1467" i="246" s="1"/>
  <c r="D1467" i="246"/>
  <c r="O1466" i="246"/>
  <c r="R1466" i="246" s="1"/>
  <c r="D1466" i="246"/>
  <c r="O1465" i="246"/>
  <c r="R1465" i="246" s="1"/>
  <c r="D1465" i="246"/>
  <c r="O1464" i="246"/>
  <c r="R1464" i="246" s="1"/>
  <c r="D1464" i="246"/>
  <c r="O1463" i="246"/>
  <c r="D1463" i="246"/>
  <c r="O1459" i="246"/>
  <c r="D1456" i="246"/>
  <c r="D1453" i="246"/>
  <c r="D1452" i="246"/>
  <c r="O1746" i="1"/>
  <c r="M1746" i="1"/>
  <c r="D1746" i="1"/>
  <c r="O1745" i="1"/>
  <c r="M1745" i="1"/>
  <c r="R1745" i="1" s="1"/>
  <c r="D1745" i="1"/>
  <c r="O1744" i="1"/>
  <c r="R1744" i="1" s="1"/>
  <c r="M1744" i="1"/>
  <c r="D1744" i="1"/>
  <c r="O1743" i="1"/>
  <c r="M1743" i="1"/>
  <c r="D1743" i="1"/>
  <c r="O1742" i="1"/>
  <c r="M1742" i="1"/>
  <c r="D1742" i="1"/>
  <c r="O1741" i="1"/>
  <c r="M1741" i="1"/>
  <c r="R1741" i="1" s="1"/>
  <c r="D1741" i="1"/>
  <c r="O1740" i="1"/>
  <c r="M1740" i="1"/>
  <c r="D1740" i="1"/>
  <c r="O1739" i="1"/>
  <c r="M1739" i="1"/>
  <c r="D1739" i="1"/>
  <c r="O1738" i="1"/>
  <c r="M1738" i="1"/>
  <c r="D1738" i="1"/>
  <c r="O1737" i="1"/>
  <c r="M1737" i="1"/>
  <c r="R1737" i="1" s="1"/>
  <c r="D1737" i="1"/>
  <c r="O1736" i="1"/>
  <c r="M1736" i="1"/>
  <c r="D1736" i="1"/>
  <c r="O1735" i="1"/>
  <c r="M1735" i="1"/>
  <c r="D1735" i="1"/>
  <c r="O1734" i="1"/>
  <c r="M1734" i="1"/>
  <c r="D1734" i="1"/>
  <c r="O1733" i="1"/>
  <c r="M1733" i="1"/>
  <c r="R1733" i="1" s="1"/>
  <c r="D1733" i="1"/>
  <c r="O1732" i="1"/>
  <c r="R1732" i="1" s="1"/>
  <c r="M1732" i="1"/>
  <c r="D1732" i="1"/>
  <c r="O1731" i="1"/>
  <c r="M1731" i="1"/>
  <c r="D1731" i="1"/>
  <c r="O1730" i="1"/>
  <c r="M1730" i="1"/>
  <c r="D1730" i="1"/>
  <c r="O1729" i="1"/>
  <c r="M1729" i="1"/>
  <c r="R1729" i="1" s="1"/>
  <c r="D1729" i="1"/>
  <c r="O1728" i="1"/>
  <c r="R1728" i="1" s="1"/>
  <c r="M1728" i="1"/>
  <c r="D1728" i="1"/>
  <c r="O1727" i="1"/>
  <c r="M1727" i="1"/>
  <c r="D1727" i="1"/>
  <c r="O1726" i="1"/>
  <c r="M1726" i="1"/>
  <c r="D1726" i="1"/>
  <c r="O1725" i="1"/>
  <c r="M1725" i="1"/>
  <c r="R1725" i="1" s="1"/>
  <c r="D1725" i="1"/>
  <c r="O1724" i="1"/>
  <c r="M1724" i="1"/>
  <c r="D1724" i="1"/>
  <c r="O1723" i="1"/>
  <c r="M1723" i="1"/>
  <c r="D1723" i="1"/>
  <c r="O1722" i="1"/>
  <c r="M1722" i="1"/>
  <c r="D1722" i="1"/>
  <c r="O1721" i="1"/>
  <c r="M1721" i="1"/>
  <c r="R1721" i="1" s="1"/>
  <c r="D1721" i="1"/>
  <c r="O1720" i="1"/>
  <c r="M1720" i="1"/>
  <c r="D1720" i="1"/>
  <c r="O1719" i="1"/>
  <c r="M1719" i="1"/>
  <c r="D1719" i="1"/>
  <c r="O1718" i="1"/>
  <c r="M1718" i="1"/>
  <c r="D1718" i="1"/>
  <c r="O1717" i="1"/>
  <c r="M1717" i="1"/>
  <c r="R1717" i="1" s="1"/>
  <c r="D1717" i="1"/>
  <c r="O1716" i="1"/>
  <c r="R1716" i="1" s="1"/>
  <c r="M1716" i="1"/>
  <c r="D1716" i="1"/>
  <c r="O1715" i="1"/>
  <c r="M1715" i="1"/>
  <c r="D1715" i="1"/>
  <c r="O1714" i="1"/>
  <c r="M1714" i="1"/>
  <c r="D1714" i="1"/>
  <c r="O1713" i="1"/>
  <c r="M1713" i="1"/>
  <c r="R1713" i="1" s="1"/>
  <c r="D1713" i="1"/>
  <c r="O1712" i="1"/>
  <c r="R1712" i="1" s="1"/>
  <c r="M1712" i="1"/>
  <c r="D1712" i="1"/>
  <c r="O1711" i="1"/>
  <c r="M1711" i="1"/>
  <c r="R1711" i="1" s="1"/>
  <c r="D1711" i="1"/>
  <c r="O1710" i="1"/>
  <c r="M1710" i="1"/>
  <c r="D1710" i="1"/>
  <c r="O1709" i="1"/>
  <c r="M1709" i="1"/>
  <c r="D1709" i="1"/>
  <c r="O1705" i="1"/>
  <c r="M1705" i="1"/>
  <c r="D1702" i="1"/>
  <c r="D1699" i="1"/>
  <c r="D1698" i="1"/>
  <c r="O1539" i="1"/>
  <c r="M1539" i="1"/>
  <c r="D1539" i="1"/>
  <c r="O1538" i="1"/>
  <c r="M1538" i="1"/>
  <c r="D1538" i="1"/>
  <c r="O1537" i="1"/>
  <c r="M1537" i="1"/>
  <c r="D1537" i="1"/>
  <c r="O1536" i="1"/>
  <c r="M1536" i="1"/>
  <c r="D1536" i="1"/>
  <c r="O1535" i="1"/>
  <c r="M1535" i="1"/>
  <c r="D1535" i="1"/>
  <c r="O1534" i="1"/>
  <c r="M1534" i="1"/>
  <c r="D1534" i="1"/>
  <c r="O1533" i="1"/>
  <c r="M1533" i="1"/>
  <c r="D1533" i="1"/>
  <c r="O1532" i="1"/>
  <c r="M1532" i="1"/>
  <c r="D1532" i="1"/>
  <c r="O1531" i="1"/>
  <c r="M1531" i="1"/>
  <c r="D1531" i="1"/>
  <c r="O1530" i="1"/>
  <c r="M1530" i="1"/>
  <c r="D1530" i="1"/>
  <c r="O1529" i="1"/>
  <c r="M1529" i="1"/>
  <c r="D1529" i="1"/>
  <c r="O1528" i="1"/>
  <c r="M1528" i="1"/>
  <c r="D1528" i="1"/>
  <c r="O1527" i="1"/>
  <c r="M1527" i="1"/>
  <c r="D1527" i="1"/>
  <c r="O1526" i="1"/>
  <c r="M1526" i="1"/>
  <c r="D1526" i="1"/>
  <c r="O1525" i="1"/>
  <c r="M1525" i="1"/>
  <c r="D1525" i="1"/>
  <c r="O1524" i="1"/>
  <c r="M1524" i="1"/>
  <c r="D1524" i="1"/>
  <c r="O1523" i="1"/>
  <c r="M1523" i="1"/>
  <c r="D1523" i="1"/>
  <c r="O1522" i="1"/>
  <c r="M1522" i="1"/>
  <c r="D1522" i="1"/>
  <c r="O1521" i="1"/>
  <c r="M1521" i="1"/>
  <c r="D1521" i="1"/>
  <c r="O1520" i="1"/>
  <c r="M1520" i="1"/>
  <c r="D1520" i="1"/>
  <c r="O1519" i="1"/>
  <c r="M1519" i="1"/>
  <c r="D1519" i="1"/>
  <c r="O1518" i="1"/>
  <c r="M1518" i="1"/>
  <c r="D1518" i="1"/>
  <c r="O1517" i="1"/>
  <c r="M1517" i="1"/>
  <c r="D1517" i="1"/>
  <c r="O1516" i="1"/>
  <c r="M1516" i="1"/>
  <c r="D1516" i="1"/>
  <c r="O1515" i="1"/>
  <c r="M1515" i="1"/>
  <c r="D1515" i="1"/>
  <c r="O1514" i="1"/>
  <c r="M1514" i="1"/>
  <c r="D1514" i="1"/>
  <c r="O1513" i="1"/>
  <c r="M1513" i="1"/>
  <c r="D1513" i="1"/>
  <c r="O1512" i="1"/>
  <c r="M1512" i="1"/>
  <c r="D1512" i="1"/>
  <c r="O1511" i="1"/>
  <c r="M1511" i="1"/>
  <c r="D1511" i="1"/>
  <c r="O1510" i="1"/>
  <c r="M1510" i="1"/>
  <c r="D1510" i="1"/>
  <c r="O1509" i="1"/>
  <c r="M1509" i="1"/>
  <c r="D1509" i="1"/>
  <c r="O1508" i="1"/>
  <c r="M1508" i="1"/>
  <c r="D1508" i="1"/>
  <c r="O1507" i="1"/>
  <c r="M1507" i="1"/>
  <c r="D1507" i="1"/>
  <c r="O1506" i="1"/>
  <c r="M1506" i="1"/>
  <c r="D1506" i="1"/>
  <c r="O1505" i="1"/>
  <c r="M1505" i="1"/>
  <c r="D1505" i="1"/>
  <c r="O1504" i="1"/>
  <c r="M1504" i="1"/>
  <c r="D1504" i="1"/>
  <c r="O1503" i="1"/>
  <c r="M1503" i="1"/>
  <c r="D1503" i="1"/>
  <c r="O1502" i="1"/>
  <c r="M1502" i="1"/>
  <c r="R1502" i="1" s="1"/>
  <c r="D1502" i="1"/>
  <c r="O1498" i="1"/>
  <c r="M1498" i="1"/>
  <c r="D1495" i="1"/>
  <c r="D1492" i="1"/>
  <c r="D1491" i="1"/>
  <c r="G135" i="4"/>
  <c r="F135" i="4"/>
  <c r="G218" i="4"/>
  <c r="F218" i="4"/>
  <c r="G176" i="4"/>
  <c r="F176" i="4"/>
  <c r="O2354" i="246"/>
  <c r="D2351" i="246"/>
  <c r="D2348" i="246"/>
  <c r="D2347" i="246"/>
  <c r="M2421" i="1"/>
  <c r="D2418" i="1"/>
  <c r="D2415" i="1"/>
  <c r="D2414" i="1"/>
  <c r="O2297" i="1"/>
  <c r="U2297" i="1" s="1"/>
  <c r="O2296" i="1"/>
  <c r="U2296" i="1" s="1"/>
  <c r="O2290" i="1"/>
  <c r="U2290" i="1" s="1"/>
  <c r="O2289" i="1"/>
  <c r="U2289" i="1" s="1"/>
  <c r="O2283" i="1"/>
  <c r="U2283" i="1" s="1"/>
  <c r="O2282" i="1"/>
  <c r="U2282" i="1" s="1"/>
  <c r="R2505" i="1" l="1"/>
  <c r="R2438" i="246"/>
  <c r="R1710" i="1"/>
  <c r="R1709" i="1"/>
  <c r="R1504" i="1"/>
  <c r="R1503" i="1"/>
  <c r="R1508" i="1"/>
  <c r="R1512" i="1"/>
  <c r="R1516" i="1"/>
  <c r="R1520" i="1"/>
  <c r="R1524" i="1"/>
  <c r="R1714" i="1"/>
  <c r="R1718" i="1"/>
  <c r="O1503" i="246"/>
  <c r="R1503" i="246" s="1"/>
  <c r="R1508" i="246" s="1"/>
  <c r="O1683" i="246"/>
  <c r="R1683" i="246" s="1"/>
  <c r="R1722" i="1"/>
  <c r="R1726" i="1"/>
  <c r="R1730" i="1"/>
  <c r="R1734" i="1"/>
  <c r="R1738" i="1"/>
  <c r="R1742" i="1"/>
  <c r="R1746" i="1"/>
  <c r="R1720" i="1"/>
  <c r="R1724" i="1"/>
  <c r="R1736" i="1"/>
  <c r="R1740" i="1"/>
  <c r="R1731" i="1"/>
  <c r="R1743" i="1"/>
  <c r="R1727" i="1"/>
  <c r="R1735" i="1"/>
  <c r="R1739" i="1"/>
  <c r="R1715" i="1"/>
  <c r="R1719" i="1"/>
  <c r="R1723" i="1"/>
  <c r="O1749" i="1"/>
  <c r="M1749" i="1"/>
  <c r="R1463" i="246"/>
  <c r="R1528" i="1"/>
  <c r="R1532" i="1"/>
  <c r="R1536" i="1"/>
  <c r="R1507" i="1"/>
  <c r="R1511" i="1"/>
  <c r="R1515" i="1"/>
  <c r="R1519" i="1"/>
  <c r="R1523" i="1"/>
  <c r="R1527" i="1"/>
  <c r="R1531" i="1"/>
  <c r="R1535" i="1"/>
  <c r="R1539" i="1"/>
  <c r="R1506" i="1"/>
  <c r="R1510" i="1"/>
  <c r="R1514" i="1"/>
  <c r="R1518" i="1"/>
  <c r="R1522" i="1"/>
  <c r="R1526" i="1"/>
  <c r="R1530" i="1"/>
  <c r="R1534" i="1"/>
  <c r="R1538" i="1"/>
  <c r="R1505" i="1"/>
  <c r="R1509" i="1"/>
  <c r="R1513" i="1"/>
  <c r="R1517" i="1"/>
  <c r="R1521" i="1"/>
  <c r="R1525" i="1"/>
  <c r="R1529" i="1"/>
  <c r="R1533" i="1"/>
  <c r="R1537" i="1"/>
  <c r="O1542" i="1"/>
  <c r="M1542" i="1"/>
  <c r="O2286" i="1"/>
  <c r="O2279" i="1"/>
  <c r="O2293" i="1"/>
  <c r="D293" i="1"/>
  <c r="D293" i="246"/>
  <c r="D245" i="246"/>
  <c r="D245" i="1"/>
  <c r="O786" i="246"/>
  <c r="M784" i="1"/>
  <c r="Y778" i="246"/>
  <c r="AB776" i="1"/>
  <c r="D2015" i="246"/>
  <c r="D2014" i="246"/>
  <c r="D2013" i="246"/>
  <c r="D2012" i="246"/>
  <c r="D2011" i="246"/>
  <c r="D2010" i="246"/>
  <c r="D2009" i="246"/>
  <c r="O2005" i="246"/>
  <c r="D2002" i="246"/>
  <c r="D1999" i="246"/>
  <c r="D1998" i="246"/>
  <c r="O2082" i="1"/>
  <c r="D2082" i="1"/>
  <c r="O2081" i="1"/>
  <c r="D2081" i="1"/>
  <c r="O2080" i="1"/>
  <c r="D2080" i="1"/>
  <c r="O2079" i="1"/>
  <c r="D2079" i="1"/>
  <c r="O2078" i="1"/>
  <c r="D2078" i="1"/>
  <c r="O2077" i="1"/>
  <c r="D2077" i="1"/>
  <c r="O2076" i="1"/>
  <c r="D2076" i="1"/>
  <c r="M2072" i="1"/>
  <c r="D2069" i="1"/>
  <c r="D2066" i="1"/>
  <c r="D2065" i="1"/>
  <c r="R1456" i="246" l="1"/>
  <c r="R1452" i="246"/>
  <c r="R1458" i="246"/>
  <c r="R1459" i="246"/>
  <c r="R1460" i="246"/>
  <c r="R1461" i="246"/>
  <c r="R1462" i="246"/>
  <c r="R1453" i="246"/>
  <c r="R1505" i="246"/>
  <c r="R1501" i="246"/>
  <c r="R1502" i="246"/>
  <c r="R1504" i="246"/>
  <c r="R1451" i="246"/>
  <c r="R1506" i="246"/>
  <c r="R1507" i="246"/>
  <c r="R1455" i="246"/>
  <c r="R1457" i="246"/>
  <c r="R1454" i="246"/>
  <c r="R1642" i="246"/>
  <c r="R1638" i="246"/>
  <c r="R1634" i="246"/>
  <c r="R1687" i="246"/>
  <c r="R1682" i="246"/>
  <c r="R1641" i="246"/>
  <c r="R1637" i="246"/>
  <c r="R1632" i="246"/>
  <c r="R1686" i="246"/>
  <c r="R1681" i="246"/>
  <c r="R1633" i="246"/>
  <c r="R1635" i="246"/>
  <c r="R1684" i="246"/>
  <c r="R1640" i="246"/>
  <c r="R1636" i="246"/>
  <c r="R1631" i="246"/>
  <c r="R1685" i="246"/>
  <c r="R1639" i="246"/>
  <c r="R1688" i="246"/>
  <c r="R1749" i="1"/>
  <c r="R1542" i="1"/>
  <c r="O2085" i="1"/>
  <c r="M2905" i="1"/>
  <c r="O2905" i="1"/>
  <c r="F400" i="192"/>
  <c r="F400" i="190"/>
  <c r="F400" i="136"/>
  <c r="R1699" i="1" l="1"/>
  <c r="R1705" i="1"/>
  <c r="R1701" i="1"/>
  <c r="R1754" i="1"/>
  <c r="R1750" i="1"/>
  <c r="R1708" i="1"/>
  <c r="R1704" i="1"/>
  <c r="R1700" i="1"/>
  <c r="R1753" i="1"/>
  <c r="R1748" i="1"/>
  <c r="R1707" i="1"/>
  <c r="R1703" i="1"/>
  <c r="R1698" i="1"/>
  <c r="R1752" i="1"/>
  <c r="R1747" i="1"/>
  <c r="R1706" i="1"/>
  <c r="R1702" i="1"/>
  <c r="R1697" i="1"/>
  <c r="R1751" i="1"/>
  <c r="R1492" i="1"/>
  <c r="R1498" i="1"/>
  <c r="R1494" i="1"/>
  <c r="R1547" i="1"/>
  <c r="R1543" i="1"/>
  <c r="R1490" i="1"/>
  <c r="R1501" i="1"/>
  <c r="R1497" i="1"/>
  <c r="R1493" i="1"/>
  <c r="R1546" i="1"/>
  <c r="R1541" i="1"/>
  <c r="R1495" i="1"/>
  <c r="R1500" i="1"/>
  <c r="R1496" i="1"/>
  <c r="R1491" i="1"/>
  <c r="R1545" i="1"/>
  <c r="R1540" i="1"/>
  <c r="R1499" i="1"/>
  <c r="R1544" i="1"/>
  <c r="F26" i="80"/>
  <c r="D408" i="246"/>
  <c r="D291" i="246"/>
  <c r="D291" i="1"/>
  <c r="D854" i="1"/>
  <c r="D851" i="1"/>
  <c r="R851" i="1" s="1"/>
  <c r="D850" i="1"/>
  <c r="D239" i="246"/>
  <c r="D239" i="1"/>
  <c r="J25" i="170"/>
  <c r="I25" i="26" s="1"/>
  <c r="W24" i="242"/>
  <c r="V24" i="242"/>
  <c r="U24" i="242"/>
  <c r="T24" i="242"/>
  <c r="S24" i="242"/>
  <c r="R24" i="242"/>
  <c r="Q24" i="242"/>
  <c r="P24" i="242"/>
  <c r="O24" i="242"/>
  <c r="N24" i="242"/>
  <c r="L24" i="242"/>
  <c r="J24" i="242"/>
  <c r="I24" i="242"/>
  <c r="W23" i="242"/>
  <c r="V23" i="242"/>
  <c r="U23" i="242"/>
  <c r="T23" i="242"/>
  <c r="S23" i="242"/>
  <c r="R23" i="242"/>
  <c r="Q23" i="242"/>
  <c r="P23" i="242"/>
  <c r="O23" i="242"/>
  <c r="N23" i="242"/>
  <c r="L23" i="242"/>
  <c r="K23" i="242"/>
  <c r="J23" i="242"/>
  <c r="I23" i="242"/>
  <c r="C11" i="89"/>
  <c r="C10" i="89"/>
  <c r="O2414" i="246"/>
  <c r="R2414" i="246" s="1"/>
  <c r="O2413" i="246"/>
  <c r="R2413" i="246" s="1"/>
  <c r="O2412" i="246"/>
  <c r="R2412" i="246" s="1"/>
  <c r="O2406" i="246"/>
  <c r="D2403" i="246"/>
  <c r="D2400" i="246"/>
  <c r="D2399" i="246"/>
  <c r="O2388" i="246"/>
  <c r="R2388" i="246" s="1"/>
  <c r="O2387" i="246"/>
  <c r="R2387" i="246" s="1"/>
  <c r="O2386" i="246"/>
  <c r="O2381" i="246"/>
  <c r="D2378" i="246"/>
  <c r="D2375" i="246"/>
  <c r="D2374" i="246"/>
  <c r="M2481" i="1"/>
  <c r="M2480" i="1"/>
  <c r="M2479" i="1"/>
  <c r="O2481" i="1"/>
  <c r="O2480" i="1"/>
  <c r="O2479" i="1"/>
  <c r="M2473" i="1"/>
  <c r="D2470" i="1"/>
  <c r="D2467" i="1"/>
  <c r="D2466" i="1"/>
  <c r="M2455" i="1"/>
  <c r="M2454" i="1"/>
  <c r="M2453" i="1"/>
  <c r="O2455" i="1"/>
  <c r="O2454" i="1"/>
  <c r="O2453" i="1"/>
  <c r="F383" i="4"/>
  <c r="M2448" i="1"/>
  <c r="D2445" i="1"/>
  <c r="D2442" i="1"/>
  <c r="D2441" i="1"/>
  <c r="C11" i="170"/>
  <c r="C10" i="170"/>
  <c r="AD13" i="89"/>
  <c r="R2481" i="1" l="1"/>
  <c r="O2484" i="1"/>
  <c r="R2480" i="1"/>
  <c r="R2454" i="1"/>
  <c r="R2455" i="1"/>
  <c r="K24" i="242"/>
  <c r="R2479" i="1"/>
  <c r="O2391" i="246"/>
  <c r="R2391" i="246" s="1"/>
  <c r="R2373" i="246" s="1"/>
  <c r="O2417" i="246"/>
  <c r="R2417" i="246" s="1"/>
  <c r="R2386" i="246"/>
  <c r="M2484" i="1"/>
  <c r="R2453" i="1"/>
  <c r="M2458" i="1"/>
  <c r="O2458" i="1"/>
  <c r="M161" i="192"/>
  <c r="G161" i="192" s="1"/>
  <c r="I161" i="192" s="1"/>
  <c r="K161" i="192"/>
  <c r="M161" i="190"/>
  <c r="G161" i="190" s="1"/>
  <c r="I161" i="190" s="1"/>
  <c r="K161" i="190"/>
  <c r="M161" i="136"/>
  <c r="G161" i="136" s="1"/>
  <c r="I161" i="136" s="1"/>
  <c r="K161" i="136"/>
  <c r="P161" i="5"/>
  <c r="N161" i="5"/>
  <c r="O1364" i="1" s="1"/>
  <c r="G223" i="5"/>
  <c r="H222" i="5"/>
  <c r="M223" i="192"/>
  <c r="G223" i="192" s="1"/>
  <c r="I223" i="192" s="1"/>
  <c r="H223" i="5" s="1"/>
  <c r="K223" i="192"/>
  <c r="M222" i="192"/>
  <c r="G222" i="192" s="1"/>
  <c r="I222" i="192" s="1"/>
  <c r="K222" i="192"/>
  <c r="M223" i="190"/>
  <c r="G223" i="190" s="1"/>
  <c r="I223" i="190" s="1"/>
  <c r="K223" i="190"/>
  <c r="M222" i="190"/>
  <c r="G222" i="190" s="1"/>
  <c r="I222" i="190" s="1"/>
  <c r="G222" i="5" s="1"/>
  <c r="K222" i="190"/>
  <c r="M223" i="136"/>
  <c r="G223" i="136" s="1"/>
  <c r="I223" i="136" s="1"/>
  <c r="F223" i="5" s="1"/>
  <c r="K223" i="136"/>
  <c r="M222" i="136"/>
  <c r="G222" i="136" s="1"/>
  <c r="I222" i="136" s="1"/>
  <c r="F222" i="5" s="1"/>
  <c r="K222" i="136"/>
  <c r="P223" i="5"/>
  <c r="N223" i="5"/>
  <c r="H11" i="170" s="1"/>
  <c r="P222" i="5"/>
  <c r="N222" i="5"/>
  <c r="M2740" i="246"/>
  <c r="R2392" i="246" l="1"/>
  <c r="R2397" i="246"/>
  <c r="R2395" i="246"/>
  <c r="R2376" i="246"/>
  <c r="R2389" i="246"/>
  <c r="R2396" i="246"/>
  <c r="R2377" i="246"/>
  <c r="R2374" i="246"/>
  <c r="R2384" i="246"/>
  <c r="R2378" i="246"/>
  <c r="R2484" i="1"/>
  <c r="R2466" i="1" s="1"/>
  <c r="R2383" i="246"/>
  <c r="R2380" i="246"/>
  <c r="R2381" i="246"/>
  <c r="R2382" i="246"/>
  <c r="R2379" i="246"/>
  <c r="H10" i="170"/>
  <c r="O1422" i="1"/>
  <c r="R2400" i="246"/>
  <c r="R2408" i="246"/>
  <c r="R2404" i="246"/>
  <c r="R2399" i="246"/>
  <c r="R2421" i="246"/>
  <c r="R2416" i="246"/>
  <c r="R2410" i="246"/>
  <c r="R2406" i="246"/>
  <c r="R2402" i="246"/>
  <c r="R2423" i="246"/>
  <c r="R2419" i="246"/>
  <c r="R2409" i="246"/>
  <c r="R2401" i="246"/>
  <c r="R2422" i="246"/>
  <c r="R2418" i="246"/>
  <c r="R2411" i="246"/>
  <c r="R2407" i="246"/>
  <c r="R2403" i="246"/>
  <c r="R2398" i="246"/>
  <c r="R2420" i="246"/>
  <c r="R2415" i="246"/>
  <c r="R2405" i="246"/>
  <c r="R2393" i="246"/>
  <c r="R2385" i="246"/>
  <c r="R2394" i="246"/>
  <c r="R2375" i="246"/>
  <c r="R2390" i="246"/>
  <c r="R2458" i="1"/>
  <c r="M2808" i="1"/>
  <c r="F469" i="4"/>
  <c r="G21" i="4"/>
  <c r="R2482" i="1" l="1"/>
  <c r="R2487" i="1"/>
  <c r="R2485" i="1"/>
  <c r="R2483" i="1"/>
  <c r="R2477" i="1"/>
  <c r="R2486" i="1"/>
  <c r="R2474" i="1"/>
  <c r="R2471" i="1"/>
  <c r="R2490" i="1"/>
  <c r="R2478" i="1"/>
  <c r="R2475" i="1"/>
  <c r="R2468" i="1"/>
  <c r="R2469" i="1"/>
  <c r="R2465" i="1"/>
  <c r="R2489" i="1"/>
  <c r="R2488" i="1"/>
  <c r="R2467" i="1"/>
  <c r="R2476" i="1"/>
  <c r="R2473" i="1"/>
  <c r="R2470" i="1"/>
  <c r="R2472" i="1"/>
  <c r="R2442" i="1"/>
  <c r="R2449" i="1"/>
  <c r="R2445" i="1"/>
  <c r="R2440" i="1"/>
  <c r="R2461" i="1"/>
  <c r="R2456" i="1"/>
  <c r="R2446" i="1"/>
  <c r="R2452" i="1"/>
  <c r="R2448" i="1"/>
  <c r="R2444" i="1"/>
  <c r="R2464" i="1"/>
  <c r="R2460" i="1"/>
  <c r="R2441" i="1"/>
  <c r="R2457" i="1"/>
  <c r="R2451" i="1"/>
  <c r="R2447" i="1"/>
  <c r="R2443" i="1"/>
  <c r="R2463" i="1"/>
  <c r="R2459" i="1"/>
  <c r="R2450" i="1"/>
  <c r="R2462" i="1"/>
  <c r="AF16" i="89"/>
  <c r="AE16" i="89"/>
  <c r="AD16" i="89"/>
  <c r="AF15" i="89"/>
  <c r="AE15" i="89"/>
  <c r="AD15" i="89"/>
  <c r="AF14" i="89"/>
  <c r="AE14" i="89"/>
  <c r="AD14" i="89"/>
  <c r="AF13" i="89"/>
  <c r="AE13" i="89"/>
  <c r="Y17" i="89"/>
  <c r="V17" i="89"/>
  <c r="N17" i="89"/>
  <c r="Y373" i="89"/>
  <c r="X373" i="89"/>
  <c r="V373" i="89"/>
  <c r="O373" i="89"/>
  <c r="X11" i="89"/>
  <c r="X17" i="89" s="1"/>
  <c r="W11" i="89"/>
  <c r="S11" i="89"/>
  <c r="O11" i="89"/>
  <c r="U34" i="89"/>
  <c r="U373" i="89" s="1"/>
  <c r="I34" i="89"/>
  <c r="AA33" i="89"/>
  <c r="AC33" i="89" s="1"/>
  <c r="AA32" i="89"/>
  <c r="AC32" i="89" s="1"/>
  <c r="AA31" i="89"/>
  <c r="AC31" i="89" s="1"/>
  <c r="AA30" i="89"/>
  <c r="AC30" i="89" s="1"/>
  <c r="AA29" i="89"/>
  <c r="AC29" i="89" s="1"/>
  <c r="AA28" i="89"/>
  <c r="AC28" i="89" s="1"/>
  <c r="AA27" i="89"/>
  <c r="AC27" i="89" s="1"/>
  <c r="AA41" i="89"/>
  <c r="AC41"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0" i="89"/>
  <c r="AA39" i="89"/>
  <c r="AC39" i="89" s="1"/>
  <c r="K59" i="89"/>
  <c r="K58" i="89"/>
  <c r="K57" i="89"/>
  <c r="K56" i="89"/>
  <c r="K55" i="89"/>
  <c r="K54" i="89"/>
  <c r="K53" i="89"/>
  <c r="K52" i="89"/>
  <c r="K51" i="89"/>
  <c r="K50" i="89"/>
  <c r="K49" i="89"/>
  <c r="K48" i="89"/>
  <c r="K47" i="89"/>
  <c r="K46" i="89"/>
  <c r="K45" i="89"/>
  <c r="K44" i="89"/>
  <c r="K43" i="89"/>
  <c r="K42" i="89"/>
  <c r="K41" i="89"/>
  <c r="K40" i="89"/>
  <c r="K60" i="89" s="1"/>
  <c r="K11" i="89" s="1"/>
  <c r="X60" i="89"/>
  <c r="W60" i="89"/>
  <c r="T60" i="89"/>
  <c r="T11" i="89" s="1"/>
  <c r="S60" i="89"/>
  <c r="Q60" i="89"/>
  <c r="O60" i="89"/>
  <c r="M60" i="89"/>
  <c r="L60" i="89"/>
  <c r="L11" i="89" s="1"/>
  <c r="I60" i="89"/>
  <c r="I11" i="89" s="1"/>
  <c r="AA72" i="89"/>
  <c r="Z75" i="89"/>
  <c r="AB75" i="89" s="1"/>
  <c r="AA74"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AA115" i="89"/>
  <c r="AA114" i="89"/>
  <c r="AA113" i="89"/>
  <c r="AA112" i="89"/>
  <c r="AA111" i="89"/>
  <c r="AA110" i="89"/>
  <c r="AA109" i="89"/>
  <c r="AA108" i="89"/>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9" i="89"/>
  <c r="AA78" i="89"/>
  <c r="AA77" i="89"/>
  <c r="AA76" i="89"/>
  <c r="AA75" i="89"/>
  <c r="AA73" i="89"/>
  <c r="AA71" i="89"/>
  <c r="AA70" i="89"/>
  <c r="AA69" i="89"/>
  <c r="AA68" i="89"/>
  <c r="AA67" i="89"/>
  <c r="Z74" i="89"/>
  <c r="AB74" i="89" s="1"/>
  <c r="P149" i="89"/>
  <c r="P12" i="89" s="1"/>
  <c r="P17" i="89" s="1"/>
  <c r="O149" i="89"/>
  <c r="O12" i="89" s="1"/>
  <c r="M149" i="89"/>
  <c r="M12" i="89" s="1"/>
  <c r="O1585" i="246"/>
  <c r="D1582" i="246"/>
  <c r="D1579" i="246"/>
  <c r="D1578" i="246"/>
  <c r="M1651" i="1"/>
  <c r="D1648" i="1"/>
  <c r="D1645" i="1"/>
  <c r="D1644" i="1"/>
  <c r="M248" i="192"/>
  <c r="G248" i="192" s="1"/>
  <c r="I248" i="192" s="1"/>
  <c r="H248" i="5" s="1"/>
  <c r="K248" i="192"/>
  <c r="M248" i="190"/>
  <c r="G248" i="190" s="1"/>
  <c r="I248" i="190" s="1"/>
  <c r="G248" i="5" s="1"/>
  <c r="K248" i="190"/>
  <c r="M248" i="136"/>
  <c r="G248" i="136" s="1"/>
  <c r="I248" i="136" s="1"/>
  <c r="F248" i="5" s="1"/>
  <c r="K248" i="136"/>
  <c r="P248" i="5"/>
  <c r="J248" i="5" s="1"/>
  <c r="N248" i="5"/>
  <c r="O1671" i="1" s="1"/>
  <c r="U1671" i="1" s="1"/>
  <c r="M244" i="192"/>
  <c r="G244" i="192" s="1"/>
  <c r="I244" i="192" s="1"/>
  <c r="H244" i="5" s="1"/>
  <c r="K244" i="192"/>
  <c r="M233" i="192"/>
  <c r="G233" i="192" s="1"/>
  <c r="I233" i="192" s="1"/>
  <c r="H233" i="5" s="1"/>
  <c r="K233" i="192"/>
  <c r="M244" i="190"/>
  <c r="G244" i="190" s="1"/>
  <c r="I244" i="190" s="1"/>
  <c r="G244" i="5" s="1"/>
  <c r="K244" i="190"/>
  <c r="M233" i="190"/>
  <c r="G233" i="190" s="1"/>
  <c r="I233" i="190" s="1"/>
  <c r="G233" i="5" s="1"/>
  <c r="K233" i="190"/>
  <c r="M244" i="136"/>
  <c r="G244" i="136" s="1"/>
  <c r="I244" i="136" s="1"/>
  <c r="F244" i="5" s="1"/>
  <c r="K244" i="136"/>
  <c r="M233" i="136"/>
  <c r="G233" i="136" s="1"/>
  <c r="I233" i="136" s="1"/>
  <c r="F233" i="5" s="1"/>
  <c r="K233" i="136"/>
  <c r="P244" i="5"/>
  <c r="N244" i="5"/>
  <c r="O1677" i="1" s="1"/>
  <c r="U1677" i="1" s="1"/>
  <c r="P233" i="5"/>
  <c r="N233" i="5"/>
  <c r="O1455" i="1" s="1"/>
  <c r="U1455" i="1" s="1"/>
  <c r="M155" i="192"/>
  <c r="G155" i="192" s="1"/>
  <c r="I155" i="192" s="1"/>
  <c r="O3271" i="246" s="1"/>
  <c r="K155" i="192"/>
  <c r="O3667" i="1" s="1"/>
  <c r="M155" i="190"/>
  <c r="G155" i="190" s="1"/>
  <c r="I155" i="190" s="1"/>
  <c r="K155" i="190"/>
  <c r="O3339" i="1" s="1"/>
  <c r="M155" i="136"/>
  <c r="G155" i="136" s="1"/>
  <c r="I155" i="136" s="1"/>
  <c r="O2943" i="246" s="1"/>
  <c r="K155" i="136"/>
  <c r="O3011" i="1" s="1"/>
  <c r="P155" i="5"/>
  <c r="N155" i="5"/>
  <c r="O2695" i="1" s="1"/>
  <c r="O1405" i="246"/>
  <c r="M1444" i="1"/>
  <c r="D3301" i="246"/>
  <c r="D3137" i="246"/>
  <c r="D2973" i="246"/>
  <c r="D2657" i="246"/>
  <c r="D3861" i="1"/>
  <c r="D3697" i="1"/>
  <c r="D3533" i="1"/>
  <c r="D3369" i="1"/>
  <c r="D3205" i="1"/>
  <c r="D3041" i="1"/>
  <c r="D2725" i="1"/>
  <c r="D1227" i="246"/>
  <c r="D1266" i="1"/>
  <c r="D3193" i="246"/>
  <c r="D3029" i="246"/>
  <c r="D2865" i="246"/>
  <c r="D2548" i="246"/>
  <c r="D3753" i="1"/>
  <c r="D3589" i="1"/>
  <c r="D3425" i="1"/>
  <c r="D3261" i="1"/>
  <c r="D3097" i="1"/>
  <c r="D2933" i="1"/>
  <c r="D2616" i="1"/>
  <c r="D1082" i="246"/>
  <c r="D1076" i="246"/>
  <c r="D1070" i="246"/>
  <c r="D1064" i="246"/>
  <c r="D1121" i="1"/>
  <c r="D1115" i="1"/>
  <c r="D1109" i="1"/>
  <c r="D1103" i="1"/>
  <c r="M96" i="192"/>
  <c r="G96" i="192" s="1"/>
  <c r="I96" i="192" s="1"/>
  <c r="K96" i="192"/>
  <c r="O3697" i="1" s="1"/>
  <c r="M96" i="190"/>
  <c r="G96" i="190" s="1"/>
  <c r="I96" i="190" s="1"/>
  <c r="K96" i="190"/>
  <c r="O3369" i="1" s="1"/>
  <c r="M96" i="136"/>
  <c r="G96" i="136" s="1"/>
  <c r="I96" i="136" s="1"/>
  <c r="K96" i="136"/>
  <c r="O3041" i="1" s="1"/>
  <c r="P96" i="5"/>
  <c r="N96" i="5"/>
  <c r="M33" i="192"/>
  <c r="G33" i="192" s="1"/>
  <c r="I33" i="192" s="1"/>
  <c r="K33" i="192"/>
  <c r="O3589" i="1" s="1"/>
  <c r="M33" i="190"/>
  <c r="G33" i="190" s="1"/>
  <c r="I33" i="190" s="1"/>
  <c r="O3029" i="246" s="1"/>
  <c r="K33" i="190"/>
  <c r="O3261" i="1" s="1"/>
  <c r="M33" i="136"/>
  <c r="G33" i="136" s="1"/>
  <c r="I33" i="136" s="1"/>
  <c r="O3097" i="1" s="1"/>
  <c r="K33" i="136"/>
  <c r="O1109" i="1" s="1"/>
  <c r="P33" i="5"/>
  <c r="N33" i="5"/>
  <c r="O2616" i="1" s="1"/>
  <c r="M238" i="192"/>
  <c r="G238" i="192" s="1"/>
  <c r="I238" i="192" s="1"/>
  <c r="H238" i="5" s="1"/>
  <c r="K238" i="192"/>
  <c r="M238" i="190"/>
  <c r="G238" i="190" s="1"/>
  <c r="I238" i="190" s="1"/>
  <c r="G238" i="5" s="1"/>
  <c r="K238" i="190"/>
  <c r="M238" i="136"/>
  <c r="G238" i="136" s="1"/>
  <c r="I238" i="136" s="1"/>
  <c r="F238" i="5" s="1"/>
  <c r="K238" i="136"/>
  <c r="P238" i="5"/>
  <c r="N238" i="5"/>
  <c r="O1463" i="1" s="1"/>
  <c r="U1463" i="1" s="1"/>
  <c r="M243" i="192"/>
  <c r="G243" i="192" s="1"/>
  <c r="I243" i="192" s="1"/>
  <c r="H243" i="5" s="1"/>
  <c r="K243" i="192"/>
  <c r="M242" i="192"/>
  <c r="G242" i="192" s="1"/>
  <c r="I242" i="192" s="1"/>
  <c r="H242" i="5" s="1"/>
  <c r="K242" i="192"/>
  <c r="M241" i="192"/>
  <c r="G241" i="192" s="1"/>
  <c r="I241" i="192" s="1"/>
  <c r="H241" i="5" s="1"/>
  <c r="K241" i="192"/>
  <c r="M240" i="192"/>
  <c r="G240" i="192" s="1"/>
  <c r="K240" i="192"/>
  <c r="F240" i="192" s="1"/>
  <c r="M239" i="192"/>
  <c r="G239" i="192" s="1"/>
  <c r="I239" i="192" s="1"/>
  <c r="K239" i="192"/>
  <c r="M243" i="190"/>
  <c r="G243" i="190" s="1"/>
  <c r="I243" i="190" s="1"/>
  <c r="G243" i="5" s="1"/>
  <c r="K243" i="190"/>
  <c r="M242" i="190"/>
  <c r="G242" i="190" s="1"/>
  <c r="I242" i="190" s="1"/>
  <c r="G242" i="5" s="1"/>
  <c r="K242" i="190"/>
  <c r="M241" i="190"/>
  <c r="G241" i="190" s="1"/>
  <c r="I241" i="190" s="1"/>
  <c r="G241" i="5" s="1"/>
  <c r="K241" i="190"/>
  <c r="M240" i="190"/>
  <c r="G240" i="190" s="1"/>
  <c r="K240" i="190"/>
  <c r="M239" i="190"/>
  <c r="G239" i="190" s="1"/>
  <c r="I239" i="190" s="1"/>
  <c r="K239" i="190"/>
  <c r="M243" i="136"/>
  <c r="G243" i="136" s="1"/>
  <c r="I243" i="136" s="1"/>
  <c r="F243" i="5" s="1"/>
  <c r="K243" i="136"/>
  <c r="M242" i="136"/>
  <c r="G242" i="136" s="1"/>
  <c r="I242" i="136" s="1"/>
  <c r="F242" i="5" s="1"/>
  <c r="K242" i="136"/>
  <c r="M241" i="136"/>
  <c r="G241" i="136" s="1"/>
  <c r="I241" i="136" s="1"/>
  <c r="F241" i="5" s="1"/>
  <c r="K241" i="136"/>
  <c r="M240" i="136"/>
  <c r="G240" i="136" s="1"/>
  <c r="K240" i="136"/>
  <c r="M239" i="136"/>
  <c r="G239" i="136" s="1"/>
  <c r="I239" i="136" s="1"/>
  <c r="K239" i="136"/>
  <c r="P243" i="5"/>
  <c r="N243" i="5"/>
  <c r="O1665" i="1" s="1"/>
  <c r="U1665" i="1" s="1"/>
  <c r="P242" i="5"/>
  <c r="N242" i="5"/>
  <c r="O1670" i="1" s="1"/>
  <c r="U1670" i="1" s="1"/>
  <c r="P241" i="5"/>
  <c r="J241" i="5" s="1"/>
  <c r="N241" i="5"/>
  <c r="O1661" i="1" s="1"/>
  <c r="U1661" i="1" s="1"/>
  <c r="P240" i="5"/>
  <c r="J240" i="5" s="1"/>
  <c r="N240" i="5"/>
  <c r="P239" i="5"/>
  <c r="J239" i="5" s="1"/>
  <c r="L239" i="5" s="1"/>
  <c r="N239" i="5"/>
  <c r="B1031" i="246"/>
  <c r="B1047" i="1"/>
  <c r="O17" i="89" l="1"/>
  <c r="O21" i="89" s="1"/>
  <c r="P373" i="89"/>
  <c r="M373" i="89"/>
  <c r="Q11" i="89"/>
  <c r="M11" i="89"/>
  <c r="M17" i="89" s="1"/>
  <c r="M21" i="89" s="1"/>
  <c r="U10" i="89"/>
  <c r="U17" i="89" s="1"/>
  <c r="B1070" i="1"/>
  <c r="B1097" i="1" s="1"/>
  <c r="B1141" i="1" s="1"/>
  <c r="M3667" i="1"/>
  <c r="F240" i="190"/>
  <c r="L248" i="5"/>
  <c r="M1671" i="1" s="1"/>
  <c r="R1671" i="1" s="1"/>
  <c r="F240" i="136"/>
  <c r="I240" i="136" s="1"/>
  <c r="O1687" i="1"/>
  <c r="I240" i="5"/>
  <c r="O1657" i="1"/>
  <c r="U1657" i="1" s="1"/>
  <c r="AA60" i="89"/>
  <c r="AC40" i="89"/>
  <c r="AC60" i="89"/>
  <c r="AC11" i="89" s="1"/>
  <c r="AF11" i="89" s="1"/>
  <c r="O1667" i="1"/>
  <c r="O3831" i="1"/>
  <c r="M3339" i="1"/>
  <c r="O3503" i="1"/>
  <c r="O3107" i="246"/>
  <c r="O3175" i="1"/>
  <c r="M3011" i="1"/>
  <c r="O2514" i="1"/>
  <c r="O1103" i="1"/>
  <c r="O1121" i="1"/>
  <c r="O1115" i="1"/>
  <c r="O3301" i="246"/>
  <c r="O3861" i="1"/>
  <c r="M3697" i="1"/>
  <c r="M1121" i="1"/>
  <c r="O3193" i="246"/>
  <c r="M3589" i="1"/>
  <c r="O3753" i="1"/>
  <c r="O1082" i="246"/>
  <c r="R1082" i="246" s="1"/>
  <c r="O3533" i="1"/>
  <c r="M3369" i="1"/>
  <c r="O3137" i="246"/>
  <c r="O3425" i="1"/>
  <c r="M1115" i="1"/>
  <c r="O1076" i="246"/>
  <c r="R1076" i="246" s="1"/>
  <c r="M3261" i="1"/>
  <c r="M3041" i="1"/>
  <c r="O3205" i="1"/>
  <c r="O2973" i="246"/>
  <c r="O1266" i="1"/>
  <c r="O2933" i="1"/>
  <c r="O1070" i="246"/>
  <c r="R1070" i="246" s="1"/>
  <c r="M2933" i="1"/>
  <c r="O2865" i="246"/>
  <c r="M1109" i="1"/>
  <c r="R1109" i="1" s="1"/>
  <c r="O2725" i="1"/>
  <c r="B1058" i="246"/>
  <c r="I240" i="190"/>
  <c r="L240" i="5"/>
  <c r="L241" i="5"/>
  <c r="I240" i="192"/>
  <c r="AA11" i="89" l="1"/>
  <c r="O1605" i="246"/>
  <c r="R1605" i="246" s="1"/>
  <c r="S1671" i="1"/>
  <c r="O1591" i="246"/>
  <c r="M1661" i="1"/>
  <c r="S1661" i="1" s="1"/>
  <c r="O1595" i="246"/>
  <c r="S1595" i="246" s="1"/>
  <c r="M1657" i="1"/>
  <c r="R1115" i="1"/>
  <c r="R1121" i="1"/>
  <c r="B1102" i="246"/>
  <c r="B1228" i="1"/>
  <c r="D3286" i="246"/>
  <c r="D3122" i="246"/>
  <c r="D2958" i="246"/>
  <c r="D2642" i="246"/>
  <c r="D3846" i="1"/>
  <c r="D3682" i="1"/>
  <c r="D3518" i="1"/>
  <c r="D3354" i="1"/>
  <c r="D3190" i="1"/>
  <c r="D3026" i="1"/>
  <c r="D2710" i="1"/>
  <c r="M300" i="192"/>
  <c r="G300" i="192" s="1"/>
  <c r="I300" i="192" s="1"/>
  <c r="H300" i="5" s="1"/>
  <c r="K300" i="192"/>
  <c r="M299" i="192"/>
  <c r="G299" i="192" s="1"/>
  <c r="K299" i="192"/>
  <c r="M298" i="192"/>
  <c r="G298" i="192" s="1"/>
  <c r="I298" i="192" s="1"/>
  <c r="K298" i="192"/>
  <c r="M297" i="192"/>
  <c r="G297" i="192" s="1"/>
  <c r="I297" i="192" s="1"/>
  <c r="H297" i="5" s="1"/>
  <c r="K297" i="192"/>
  <c r="M296" i="192"/>
  <c r="G296" i="192" s="1"/>
  <c r="K296" i="192"/>
  <c r="M295" i="192"/>
  <c r="G295" i="192" s="1"/>
  <c r="I295" i="192" s="1"/>
  <c r="K295" i="192"/>
  <c r="M294" i="192"/>
  <c r="G294" i="192" s="1"/>
  <c r="I294" i="192" s="1"/>
  <c r="H294" i="5" s="1"/>
  <c r="K294" i="192"/>
  <c r="M293" i="192"/>
  <c r="G293" i="192" s="1"/>
  <c r="K293" i="192"/>
  <c r="M292" i="192"/>
  <c r="G292" i="192" s="1"/>
  <c r="I292" i="192" s="1"/>
  <c r="K292" i="192"/>
  <c r="M291" i="192"/>
  <c r="G291" i="192" s="1"/>
  <c r="I291" i="192" s="1"/>
  <c r="H291" i="5" s="1"/>
  <c r="K291" i="192"/>
  <c r="M290" i="192"/>
  <c r="G290" i="192" s="1"/>
  <c r="K290" i="192"/>
  <c r="M289" i="192"/>
  <c r="G289" i="192" s="1"/>
  <c r="I289" i="192" s="1"/>
  <c r="K289" i="192"/>
  <c r="M288" i="192"/>
  <c r="G288" i="192" s="1"/>
  <c r="I288" i="192" s="1"/>
  <c r="H288" i="5" s="1"/>
  <c r="K288" i="192"/>
  <c r="M287" i="192"/>
  <c r="G287" i="192" s="1"/>
  <c r="K287" i="192"/>
  <c r="M286" i="192"/>
  <c r="G286" i="192" s="1"/>
  <c r="I286" i="192" s="1"/>
  <c r="K286" i="192"/>
  <c r="M285" i="192"/>
  <c r="G285" i="192" s="1"/>
  <c r="I285" i="192" s="1"/>
  <c r="H285" i="5" s="1"/>
  <c r="K285" i="192"/>
  <c r="M284" i="192"/>
  <c r="G284" i="192" s="1"/>
  <c r="K284" i="192"/>
  <c r="M283" i="192"/>
  <c r="G283" i="192" s="1"/>
  <c r="I283" i="192" s="1"/>
  <c r="K283" i="192"/>
  <c r="M139" i="192"/>
  <c r="G139" i="192" s="1"/>
  <c r="I139" i="192" s="1"/>
  <c r="O3286" i="246" s="1"/>
  <c r="K139" i="192"/>
  <c r="O3682" i="1" s="1"/>
  <c r="K300" i="190"/>
  <c r="M300" i="190"/>
  <c r="G300" i="190" s="1"/>
  <c r="I300" i="190" s="1"/>
  <c r="G300" i="5" s="1"/>
  <c r="M299" i="190"/>
  <c r="G299" i="190" s="1"/>
  <c r="K299" i="190"/>
  <c r="M298" i="190"/>
  <c r="G298" i="190" s="1"/>
  <c r="I298" i="190" s="1"/>
  <c r="K298" i="190"/>
  <c r="M297" i="190"/>
  <c r="G297" i="190" s="1"/>
  <c r="I297" i="190" s="1"/>
  <c r="G297" i="5" s="1"/>
  <c r="K297" i="190"/>
  <c r="M296" i="190"/>
  <c r="G296" i="190" s="1"/>
  <c r="K296" i="190"/>
  <c r="M295" i="190"/>
  <c r="G295" i="190" s="1"/>
  <c r="I295" i="190" s="1"/>
  <c r="K295" i="190"/>
  <c r="M294" i="190"/>
  <c r="G294" i="190" s="1"/>
  <c r="I294" i="190" s="1"/>
  <c r="G294" i="5" s="1"/>
  <c r="K294" i="190"/>
  <c r="M293" i="190"/>
  <c r="G293" i="190" s="1"/>
  <c r="K293" i="190"/>
  <c r="M292" i="190"/>
  <c r="G292" i="190" s="1"/>
  <c r="I292" i="190" s="1"/>
  <c r="K292" i="190"/>
  <c r="M291" i="190"/>
  <c r="G291" i="190" s="1"/>
  <c r="I291" i="190" s="1"/>
  <c r="G291" i="5" s="1"/>
  <c r="K291" i="190"/>
  <c r="M290" i="190"/>
  <c r="G290" i="190" s="1"/>
  <c r="K290" i="190"/>
  <c r="M289" i="190"/>
  <c r="G289" i="190" s="1"/>
  <c r="I289" i="190" s="1"/>
  <c r="K289" i="190"/>
  <c r="M288" i="190"/>
  <c r="G288" i="190" s="1"/>
  <c r="I288" i="190" s="1"/>
  <c r="G288" i="5" s="1"/>
  <c r="K288" i="190"/>
  <c r="M287" i="190"/>
  <c r="G287" i="190" s="1"/>
  <c r="K287" i="190"/>
  <c r="M286" i="190"/>
  <c r="G286" i="190" s="1"/>
  <c r="I286" i="190" s="1"/>
  <c r="K286" i="190"/>
  <c r="M285" i="190"/>
  <c r="G285" i="190" s="1"/>
  <c r="I285" i="190" s="1"/>
  <c r="G285" i="5" s="1"/>
  <c r="K285" i="190"/>
  <c r="M284" i="190"/>
  <c r="G284" i="190" s="1"/>
  <c r="K284" i="190"/>
  <c r="M283" i="190"/>
  <c r="G283" i="190" s="1"/>
  <c r="I283" i="190" s="1"/>
  <c r="K283" i="190"/>
  <c r="M139" i="190"/>
  <c r="G139" i="190" s="1"/>
  <c r="I139" i="190" s="1"/>
  <c r="O3518" i="1" s="1"/>
  <c r="K139" i="190"/>
  <c r="O3354" i="1" s="1"/>
  <c r="M300" i="136"/>
  <c r="G300" i="136" s="1"/>
  <c r="I300" i="136" s="1"/>
  <c r="F300" i="5" s="1"/>
  <c r="K300" i="136"/>
  <c r="M299" i="136"/>
  <c r="G299" i="136" s="1"/>
  <c r="K299" i="136"/>
  <c r="M298" i="136"/>
  <c r="G298" i="136" s="1"/>
  <c r="I298" i="136" s="1"/>
  <c r="K298" i="136"/>
  <c r="M297" i="136"/>
  <c r="G297" i="136" s="1"/>
  <c r="I297" i="136" s="1"/>
  <c r="F297" i="5" s="1"/>
  <c r="K297" i="136"/>
  <c r="M296" i="136"/>
  <c r="G296" i="136" s="1"/>
  <c r="K296" i="136"/>
  <c r="M295" i="136"/>
  <c r="G295" i="136" s="1"/>
  <c r="I295" i="136" s="1"/>
  <c r="K295" i="136"/>
  <c r="M294" i="136"/>
  <c r="G294" i="136" s="1"/>
  <c r="I294" i="136" s="1"/>
  <c r="F294" i="5" s="1"/>
  <c r="K294" i="136"/>
  <c r="M293" i="136"/>
  <c r="G293" i="136" s="1"/>
  <c r="K293" i="136"/>
  <c r="M292" i="136"/>
  <c r="G292" i="136" s="1"/>
  <c r="I292" i="136" s="1"/>
  <c r="K292" i="136"/>
  <c r="M291" i="136"/>
  <c r="G291" i="136" s="1"/>
  <c r="I291" i="136" s="1"/>
  <c r="F291" i="5" s="1"/>
  <c r="K291" i="136"/>
  <c r="M290" i="136"/>
  <c r="G290" i="136" s="1"/>
  <c r="K290" i="136"/>
  <c r="M289" i="136"/>
  <c r="G289" i="136" s="1"/>
  <c r="I289" i="136" s="1"/>
  <c r="K289" i="136"/>
  <c r="M288" i="136"/>
  <c r="G288" i="136" s="1"/>
  <c r="I288" i="136" s="1"/>
  <c r="F288" i="5" s="1"/>
  <c r="K288" i="136"/>
  <c r="M287" i="136"/>
  <c r="G287" i="136" s="1"/>
  <c r="K287" i="136"/>
  <c r="M286" i="136"/>
  <c r="G286" i="136" s="1"/>
  <c r="I286" i="136" s="1"/>
  <c r="K286" i="136"/>
  <c r="M285" i="136"/>
  <c r="G285" i="136" s="1"/>
  <c r="I285" i="136" s="1"/>
  <c r="F285" i="5" s="1"/>
  <c r="K285" i="136"/>
  <c r="M284" i="136"/>
  <c r="G284" i="136" s="1"/>
  <c r="K284" i="136"/>
  <c r="M283" i="136"/>
  <c r="G283" i="136" s="1"/>
  <c r="I283" i="136" s="1"/>
  <c r="K283" i="136"/>
  <c r="M139" i="136"/>
  <c r="G139" i="136" s="1"/>
  <c r="I139" i="136" s="1"/>
  <c r="O2958" i="246" s="1"/>
  <c r="K139" i="136"/>
  <c r="O3026" i="1" s="1"/>
  <c r="P300" i="5"/>
  <c r="J300" i="5" s="1"/>
  <c r="N300" i="5"/>
  <c r="O1815" i="1" s="1"/>
  <c r="P299" i="5"/>
  <c r="J299" i="5" s="1"/>
  <c r="N299" i="5"/>
  <c r="O1810" i="1" s="1"/>
  <c r="P298" i="5"/>
  <c r="J298" i="5" s="1"/>
  <c r="L298" i="5" s="1"/>
  <c r="N298" i="5"/>
  <c r="P297" i="5"/>
  <c r="N297" i="5"/>
  <c r="P296" i="5"/>
  <c r="J296" i="5" s="1"/>
  <c r="N296" i="5"/>
  <c r="O1809" i="1" s="1"/>
  <c r="U1809" i="1" s="1"/>
  <c r="P295" i="5"/>
  <c r="J295" i="5" s="1"/>
  <c r="L295" i="5" s="1"/>
  <c r="N295" i="5"/>
  <c r="P294" i="5"/>
  <c r="J294" i="5" s="1"/>
  <c r="N294" i="5"/>
  <c r="O1813" i="1" s="1"/>
  <c r="P293" i="5"/>
  <c r="J293" i="5" s="1"/>
  <c r="N293" i="5"/>
  <c r="O1808" i="1" s="1"/>
  <c r="U1808" i="1" s="1"/>
  <c r="P292" i="5"/>
  <c r="J292" i="5" s="1"/>
  <c r="L292" i="5" s="1"/>
  <c r="N292" i="5"/>
  <c r="P291" i="5"/>
  <c r="N291" i="5"/>
  <c r="O1778" i="1" s="1"/>
  <c r="P290" i="5"/>
  <c r="J290" i="5" s="1"/>
  <c r="N290" i="5"/>
  <c r="O1773" i="1" s="1"/>
  <c r="P289" i="5"/>
  <c r="J289" i="5" s="1"/>
  <c r="L289" i="5" s="1"/>
  <c r="N289" i="5"/>
  <c r="P288" i="5"/>
  <c r="N288" i="5"/>
  <c r="P287" i="5"/>
  <c r="J287" i="5" s="1"/>
  <c r="N287" i="5"/>
  <c r="P286" i="5"/>
  <c r="J286" i="5" s="1"/>
  <c r="L286" i="5" s="1"/>
  <c r="N286" i="5"/>
  <c r="P285" i="5"/>
  <c r="J285" i="5" s="1"/>
  <c r="N285" i="5"/>
  <c r="P284" i="5"/>
  <c r="J284" i="5" s="1"/>
  <c r="N284" i="5"/>
  <c r="O1771" i="1" s="1"/>
  <c r="U1771" i="1" s="1"/>
  <c r="P283" i="5"/>
  <c r="J283" i="5" s="1"/>
  <c r="L283" i="5" s="1"/>
  <c r="N283" i="5"/>
  <c r="P139" i="5"/>
  <c r="N139" i="5"/>
  <c r="AD11" i="89" l="1"/>
  <c r="S1605" i="246"/>
  <c r="S1591" i="246"/>
  <c r="S1657" i="1"/>
  <c r="V1657" i="1"/>
  <c r="F290" i="192"/>
  <c r="I290" i="192" s="1"/>
  <c r="B1189" i="246"/>
  <c r="B1248" i="246" s="1"/>
  <c r="B1287" i="1"/>
  <c r="I296" i="5"/>
  <c r="L296" i="5" s="1"/>
  <c r="F296" i="192"/>
  <c r="I296" i="192" s="1"/>
  <c r="F299" i="192"/>
  <c r="F293" i="192"/>
  <c r="I293" i="192" s="1"/>
  <c r="F284" i="192"/>
  <c r="I284" i="192" s="1"/>
  <c r="F287" i="192"/>
  <c r="I287" i="192" s="1"/>
  <c r="I299" i="192"/>
  <c r="M3682" i="1"/>
  <c r="O3846" i="1"/>
  <c r="F296" i="190"/>
  <c r="I296" i="190" s="1"/>
  <c r="F290" i="190"/>
  <c r="I290" i="190" s="1"/>
  <c r="F293" i="190"/>
  <c r="I293" i="190" s="1"/>
  <c r="F299" i="190"/>
  <c r="I299" i="190" s="1"/>
  <c r="F284" i="190"/>
  <c r="I284" i="190" s="1"/>
  <c r="F287" i="190"/>
  <c r="I287" i="190" s="1"/>
  <c r="O3122" i="246"/>
  <c r="M3354" i="1"/>
  <c r="F293" i="136"/>
  <c r="I293" i="136" s="1"/>
  <c r="F296" i="136"/>
  <c r="I296" i="136" s="1"/>
  <c r="F299" i="136"/>
  <c r="I299" i="136" s="1"/>
  <c r="F284" i="136"/>
  <c r="I284" i="136" s="1"/>
  <c r="F287" i="136"/>
  <c r="I287" i="136" s="1"/>
  <c r="F290" i="136"/>
  <c r="I290" i="136" s="1"/>
  <c r="L294" i="5"/>
  <c r="M1813" i="1" s="1"/>
  <c r="R1813" i="1" s="1"/>
  <c r="M3026" i="1"/>
  <c r="O3190" i="1"/>
  <c r="O2508" i="1"/>
  <c r="L285" i="5"/>
  <c r="O1710" i="246" s="1"/>
  <c r="R1710" i="246" s="1"/>
  <c r="I287" i="5"/>
  <c r="L287" i="5" s="1"/>
  <c r="I284" i="5"/>
  <c r="L284" i="5" s="1"/>
  <c r="O2710" i="1"/>
  <c r="O1824" i="1"/>
  <c r="U1824" i="1" s="1"/>
  <c r="O1786" i="1"/>
  <c r="U1786" i="1" s="1"/>
  <c r="O1823" i="1"/>
  <c r="U1823" i="1" s="1"/>
  <c r="O1772" i="1"/>
  <c r="U1772" i="1" s="1"/>
  <c r="L300" i="5"/>
  <c r="O1749" i="246" s="1"/>
  <c r="R1749" i="246" s="1"/>
  <c r="I290" i="5"/>
  <c r="L290" i="5" s="1"/>
  <c r="I293" i="5"/>
  <c r="L293" i="5" s="1"/>
  <c r="I299" i="5"/>
  <c r="L299" i="5" s="1"/>
  <c r="O593" i="1"/>
  <c r="O1787" i="1"/>
  <c r="U1787" i="1" s="1"/>
  <c r="O1777" i="1"/>
  <c r="O1830" i="1"/>
  <c r="O1785" i="1"/>
  <c r="U1785" i="1" s="1"/>
  <c r="O1814" i="1"/>
  <c r="O1822" i="1"/>
  <c r="U1822" i="1" s="1"/>
  <c r="O1776" i="1"/>
  <c r="U1810" i="1"/>
  <c r="O1805" i="1" s="1"/>
  <c r="U1773" i="1"/>
  <c r="R337" i="246"/>
  <c r="R281" i="246"/>
  <c r="R225" i="246"/>
  <c r="R338" i="1"/>
  <c r="R391" i="1" s="1"/>
  <c r="R281" i="1"/>
  <c r="R291" i="1" s="1"/>
  <c r="R225" i="1"/>
  <c r="D75" i="246"/>
  <c r="D75" i="1"/>
  <c r="L330" i="246"/>
  <c r="D272" i="246"/>
  <c r="Q170" i="246"/>
  <c r="L331" i="1"/>
  <c r="R392" i="246" l="1"/>
  <c r="R334" i="246"/>
  <c r="R333" i="246"/>
  <c r="R332" i="246"/>
  <c r="R331" i="246"/>
  <c r="R336" i="246"/>
  <c r="R291" i="246"/>
  <c r="R393" i="1"/>
  <c r="R390" i="1"/>
  <c r="R389" i="1"/>
  <c r="R334" i="1"/>
  <c r="R333" i="1"/>
  <c r="R337" i="1"/>
  <c r="R335" i="1"/>
  <c r="R280" i="246"/>
  <c r="R239" i="246"/>
  <c r="R280" i="1"/>
  <c r="R239" i="1"/>
  <c r="X593" i="1"/>
  <c r="B1312" i="246"/>
  <c r="B1407" i="246" s="1"/>
  <c r="B1517" i="246" s="1"/>
  <c r="B1587" i="246" s="1"/>
  <c r="K594" i="246" s="1"/>
  <c r="B1351" i="1"/>
  <c r="B1446" i="1" s="1"/>
  <c r="O1747" i="246"/>
  <c r="R1747" i="246" s="1"/>
  <c r="O764" i="246"/>
  <c r="M762" i="1"/>
  <c r="M1776" i="1"/>
  <c r="R1776" i="1" s="1"/>
  <c r="O1781" i="1"/>
  <c r="O1768" i="1"/>
  <c r="O1818" i="1"/>
  <c r="M1815" i="1"/>
  <c r="R1815" i="1" s="1"/>
  <c r="M1773" i="1"/>
  <c r="O1707" i="246"/>
  <c r="O1743" i="246"/>
  <c r="S1743" i="246" s="1"/>
  <c r="M1809" i="1"/>
  <c r="S1809" i="1" s="1"/>
  <c r="O1744" i="246"/>
  <c r="O1758" i="246"/>
  <c r="M1810" i="1"/>
  <c r="M1824" i="1"/>
  <c r="O1756" i="246"/>
  <c r="S1756" i="246" s="1"/>
  <c r="O1742" i="246"/>
  <c r="S1742" i="246" s="1"/>
  <c r="M1808" i="1"/>
  <c r="S1808" i="1" s="1"/>
  <c r="M1822" i="1"/>
  <c r="S1822" i="1" s="1"/>
  <c r="O1706" i="246"/>
  <c r="S1706" i="246" s="1"/>
  <c r="M1772" i="1"/>
  <c r="S1772" i="1" s="1"/>
  <c r="O1719" i="246"/>
  <c r="S1719" i="246" s="1"/>
  <c r="O1705" i="246"/>
  <c r="S1705" i="246" s="1"/>
  <c r="M1771" i="1"/>
  <c r="S1771" i="1" s="1"/>
  <c r="M1785" i="1"/>
  <c r="S1785" i="1" s="1"/>
  <c r="X1818" i="1"/>
  <c r="R229" i="246"/>
  <c r="R237" i="246"/>
  <c r="R250" i="246"/>
  <c r="R258" i="246"/>
  <c r="R266" i="246"/>
  <c r="R274" i="246"/>
  <c r="R277" i="246"/>
  <c r="R285" i="246"/>
  <c r="R292" i="246"/>
  <c r="R304" i="246"/>
  <c r="R312" i="246"/>
  <c r="R319" i="246"/>
  <c r="R345" i="246"/>
  <c r="R353" i="246"/>
  <c r="R361" i="246"/>
  <c r="R365" i="246"/>
  <c r="R373" i="246"/>
  <c r="R384" i="246"/>
  <c r="R389" i="246"/>
  <c r="R226" i="246"/>
  <c r="R230" i="246"/>
  <c r="R234" i="246"/>
  <c r="R238" i="246"/>
  <c r="R243" i="246"/>
  <c r="R247" i="246"/>
  <c r="R251" i="246"/>
  <c r="R255" i="246"/>
  <c r="R259" i="246"/>
  <c r="R263" i="246"/>
  <c r="R267" i="246"/>
  <c r="R271" i="246"/>
  <c r="R275" i="246"/>
  <c r="R278" i="246"/>
  <c r="R282" i="246"/>
  <c r="R288" i="246"/>
  <c r="R293" i="246"/>
  <c r="R297" i="246"/>
  <c r="R301" i="246"/>
  <c r="R305" i="246"/>
  <c r="R309" i="246"/>
  <c r="R313" i="246"/>
  <c r="R317" i="246"/>
  <c r="R320" i="246"/>
  <c r="R324" i="246"/>
  <c r="R327" i="246"/>
  <c r="R338" i="246"/>
  <c r="R342" i="246"/>
  <c r="R346" i="246"/>
  <c r="R350" i="246"/>
  <c r="R354" i="246"/>
  <c r="R358" i="246"/>
  <c r="R362" i="246"/>
  <c r="R366" i="246"/>
  <c r="R370" i="246"/>
  <c r="R374" i="246"/>
  <c r="R377" i="246"/>
  <c r="R381" i="246"/>
  <c r="R385" i="246"/>
  <c r="R390" i="246"/>
  <c r="R242" i="246"/>
  <c r="R270" i="246"/>
  <c r="R300" i="246"/>
  <c r="R227" i="246"/>
  <c r="R231" i="246"/>
  <c r="R235" i="246"/>
  <c r="R240" i="246"/>
  <c r="R244" i="246"/>
  <c r="R248" i="246"/>
  <c r="R252" i="246"/>
  <c r="R256" i="246"/>
  <c r="R260" i="246"/>
  <c r="R264" i="246"/>
  <c r="R268" i="246"/>
  <c r="R272" i="246"/>
  <c r="R276" i="246"/>
  <c r="R279" i="246"/>
  <c r="R283" i="246"/>
  <c r="R289" i="246"/>
  <c r="R294" i="246"/>
  <c r="R298" i="246"/>
  <c r="R302" i="246"/>
  <c r="R306" i="246"/>
  <c r="R310" i="246"/>
  <c r="R314" i="246"/>
  <c r="R318" i="246"/>
  <c r="R321" i="246"/>
  <c r="R325" i="246"/>
  <c r="R328" i="246"/>
  <c r="R335" i="246"/>
  <c r="R339" i="246"/>
  <c r="R343" i="246"/>
  <c r="R347" i="246"/>
  <c r="R351" i="246"/>
  <c r="R355" i="246"/>
  <c r="R359" i="246"/>
  <c r="R363" i="246"/>
  <c r="R367" i="246"/>
  <c r="R371" i="246"/>
  <c r="R375" i="246"/>
  <c r="R378" i="246"/>
  <c r="R382" i="246"/>
  <c r="R386" i="246"/>
  <c r="R387" i="246"/>
  <c r="R391" i="246"/>
  <c r="R233" i="246"/>
  <c r="R246" i="246"/>
  <c r="R254" i="246"/>
  <c r="R262" i="246"/>
  <c r="R287" i="246"/>
  <c r="R296" i="246"/>
  <c r="R308" i="246"/>
  <c r="R316" i="246"/>
  <c r="R323" i="246"/>
  <c r="R326" i="246"/>
  <c r="R330" i="246"/>
  <c r="R341" i="246"/>
  <c r="R349" i="246"/>
  <c r="R357" i="246"/>
  <c r="R369" i="246"/>
  <c r="R380" i="246"/>
  <c r="R228" i="246"/>
  <c r="R232" i="246"/>
  <c r="R236" i="246"/>
  <c r="R241" i="246"/>
  <c r="R245" i="246"/>
  <c r="R249" i="246"/>
  <c r="R253" i="246"/>
  <c r="R257" i="246"/>
  <c r="R261" i="246"/>
  <c r="R265" i="246"/>
  <c r="R269" i="246"/>
  <c r="R273" i="246"/>
  <c r="R284" i="246"/>
  <c r="R286" i="246"/>
  <c r="R290" i="246"/>
  <c r="R295" i="246"/>
  <c r="R299" i="246"/>
  <c r="R303" i="246"/>
  <c r="R307" i="246"/>
  <c r="R311" i="246"/>
  <c r="R315" i="246"/>
  <c r="R322" i="246"/>
  <c r="R329" i="246"/>
  <c r="R340" i="246"/>
  <c r="R344" i="246"/>
  <c r="R348" i="246"/>
  <c r="R352" i="246"/>
  <c r="R356" i="246"/>
  <c r="R360" i="246"/>
  <c r="R364" i="246"/>
  <c r="R368" i="246"/>
  <c r="R372" i="246"/>
  <c r="R376" i="246"/>
  <c r="R379" i="246"/>
  <c r="R383" i="246"/>
  <c r="R388" i="246"/>
  <c r="R342" i="1"/>
  <c r="R347" i="1"/>
  <c r="R351" i="1"/>
  <c r="R355" i="1"/>
  <c r="R359" i="1"/>
  <c r="R363" i="1"/>
  <c r="R367" i="1"/>
  <c r="R371" i="1"/>
  <c r="R375" i="1"/>
  <c r="R379" i="1"/>
  <c r="R383" i="1"/>
  <c r="R387" i="1"/>
  <c r="R339" i="1"/>
  <c r="R343" i="1"/>
  <c r="R344" i="1"/>
  <c r="R348" i="1"/>
  <c r="R352" i="1"/>
  <c r="R356" i="1"/>
  <c r="R360" i="1"/>
  <c r="R364" i="1"/>
  <c r="R368" i="1"/>
  <c r="R372" i="1"/>
  <c r="R376" i="1"/>
  <c r="R380" i="1"/>
  <c r="R384" i="1"/>
  <c r="R388" i="1"/>
  <c r="R340" i="1"/>
  <c r="R345" i="1"/>
  <c r="R349" i="1"/>
  <c r="R353" i="1"/>
  <c r="R357" i="1"/>
  <c r="R361" i="1"/>
  <c r="R365" i="1"/>
  <c r="R369" i="1"/>
  <c r="R373" i="1"/>
  <c r="R377" i="1"/>
  <c r="R381" i="1"/>
  <c r="R385" i="1"/>
  <c r="R392" i="1"/>
  <c r="R341" i="1"/>
  <c r="R346" i="1"/>
  <c r="R350" i="1"/>
  <c r="R354" i="1"/>
  <c r="R358" i="1"/>
  <c r="R362" i="1"/>
  <c r="R366" i="1"/>
  <c r="R370" i="1"/>
  <c r="R374" i="1"/>
  <c r="R378" i="1"/>
  <c r="R382" i="1"/>
  <c r="R386" i="1"/>
  <c r="R282" i="1"/>
  <c r="R288" i="1"/>
  <c r="R293" i="1"/>
  <c r="R297" i="1"/>
  <c r="R301" i="1"/>
  <c r="R305" i="1"/>
  <c r="R309" i="1"/>
  <c r="R313" i="1"/>
  <c r="R317" i="1"/>
  <c r="R321" i="1"/>
  <c r="R325" i="1"/>
  <c r="R328" i="1"/>
  <c r="R332" i="1"/>
  <c r="R285" i="1"/>
  <c r="R287" i="1"/>
  <c r="R292" i="1"/>
  <c r="R296" i="1"/>
  <c r="R300" i="1"/>
  <c r="R304" i="1"/>
  <c r="R308" i="1"/>
  <c r="R312" i="1"/>
  <c r="R316" i="1"/>
  <c r="R320" i="1"/>
  <c r="R324" i="1"/>
  <c r="R327" i="1"/>
  <c r="R331" i="1"/>
  <c r="R283" i="1"/>
  <c r="R289" i="1"/>
  <c r="R294" i="1"/>
  <c r="R298" i="1"/>
  <c r="R302" i="1"/>
  <c r="R306" i="1"/>
  <c r="R310" i="1"/>
  <c r="R314" i="1"/>
  <c r="R318" i="1"/>
  <c r="R322" i="1"/>
  <c r="R329" i="1"/>
  <c r="R336" i="1"/>
  <c r="R284" i="1"/>
  <c r="R286" i="1"/>
  <c r="R290" i="1"/>
  <c r="R295" i="1"/>
  <c r="R299" i="1"/>
  <c r="R303" i="1"/>
  <c r="R307" i="1"/>
  <c r="R311" i="1"/>
  <c r="R315" i="1"/>
  <c r="R319" i="1"/>
  <c r="R323" i="1"/>
  <c r="R326" i="1"/>
  <c r="R330" i="1"/>
  <c r="R233" i="1"/>
  <c r="R246" i="1"/>
  <c r="R258" i="1"/>
  <c r="R270" i="1"/>
  <c r="R277" i="1"/>
  <c r="R226" i="1"/>
  <c r="R230" i="1"/>
  <c r="R234" i="1"/>
  <c r="R238" i="1"/>
  <c r="R243" i="1"/>
  <c r="R247" i="1"/>
  <c r="R251" i="1"/>
  <c r="R255" i="1"/>
  <c r="R259" i="1"/>
  <c r="R263" i="1"/>
  <c r="R267" i="1"/>
  <c r="R271" i="1"/>
  <c r="R275" i="1"/>
  <c r="R278" i="1"/>
  <c r="R229" i="1"/>
  <c r="R242" i="1"/>
  <c r="R254" i="1"/>
  <c r="R266" i="1"/>
  <c r="R227" i="1"/>
  <c r="R231" i="1"/>
  <c r="R235" i="1"/>
  <c r="R240" i="1"/>
  <c r="R244" i="1"/>
  <c r="R248" i="1"/>
  <c r="R252" i="1"/>
  <c r="R256" i="1"/>
  <c r="R260" i="1"/>
  <c r="R264" i="1"/>
  <c r="R268" i="1"/>
  <c r="R272" i="1"/>
  <c r="R276" i="1"/>
  <c r="R279" i="1"/>
  <c r="R237" i="1"/>
  <c r="R250" i="1"/>
  <c r="R262" i="1"/>
  <c r="R274" i="1"/>
  <c r="R228" i="1"/>
  <c r="R232" i="1"/>
  <c r="R236" i="1"/>
  <c r="R241" i="1"/>
  <c r="R245" i="1"/>
  <c r="R249" i="1"/>
  <c r="R253" i="1"/>
  <c r="R257" i="1"/>
  <c r="R261" i="1"/>
  <c r="R265" i="1"/>
  <c r="R269" i="1"/>
  <c r="R273" i="1"/>
  <c r="Q226" i="246"/>
  <c r="Q282" i="246" s="1"/>
  <c r="X1781" i="1" l="1"/>
  <c r="B1699" i="246"/>
  <c r="B1781" i="246" s="1"/>
  <c r="B1556" i="1"/>
  <c r="S1810" i="1"/>
  <c r="M1805" i="1" s="1"/>
  <c r="V1805" i="1" s="1"/>
  <c r="R1810" i="1"/>
  <c r="R1707" i="246"/>
  <c r="S1707" i="246"/>
  <c r="O1702" i="246" s="1"/>
  <c r="R1758" i="246"/>
  <c r="S1758" i="246"/>
  <c r="S1824" i="1"/>
  <c r="R1824" i="1"/>
  <c r="S1744" i="246"/>
  <c r="O1739" i="246" s="1"/>
  <c r="R1744" i="246"/>
  <c r="S1773" i="1"/>
  <c r="M1768" i="1" s="1"/>
  <c r="V1768" i="1" s="1"/>
  <c r="R1773" i="1"/>
  <c r="D272" i="1"/>
  <c r="Q170" i="1"/>
  <c r="D1514" i="246"/>
  <c r="D1511" i="246"/>
  <c r="D1510" i="246"/>
  <c r="D1553" i="1"/>
  <c r="D1550" i="1"/>
  <c r="D1549" i="1"/>
  <c r="O1100" i="246"/>
  <c r="D1097" i="246"/>
  <c r="D1094" i="246"/>
  <c r="R1094" i="246" s="1"/>
  <c r="D1093" i="246"/>
  <c r="O1056" i="246"/>
  <c r="D1053" i="246"/>
  <c r="D1050" i="246"/>
  <c r="D1049" i="246"/>
  <c r="D719" i="1"/>
  <c r="D720" i="1"/>
  <c r="R720" i="1" s="1"/>
  <c r="D723" i="1"/>
  <c r="M726" i="1"/>
  <c r="M1139" i="1"/>
  <c r="D1136" i="1"/>
  <c r="D1133" i="1"/>
  <c r="R1133" i="1" s="1"/>
  <c r="D1132" i="1"/>
  <c r="M1095" i="1"/>
  <c r="D1092" i="1"/>
  <c r="D1089" i="1"/>
  <c r="D1088" i="1"/>
  <c r="B1653" i="1" l="1"/>
  <c r="Q226" i="1"/>
  <c r="Q282" i="1" s="1"/>
  <c r="B1805" i="246"/>
  <c r="D1012" i="246"/>
  <c r="D1009" i="246"/>
  <c r="R1009" i="246" s="1"/>
  <c r="D1008" i="246"/>
  <c r="D991" i="246"/>
  <c r="D988" i="246"/>
  <c r="R988" i="246" s="1"/>
  <c r="D987" i="246"/>
  <c r="D972" i="246"/>
  <c r="D969" i="246"/>
  <c r="R969" i="246" s="1"/>
  <c r="D968" i="246"/>
  <c r="D957" i="246"/>
  <c r="D954" i="246"/>
  <c r="R954" i="246" s="1"/>
  <c r="D953" i="246"/>
  <c r="D935" i="246"/>
  <c r="D932" i="246"/>
  <c r="R932" i="246" s="1"/>
  <c r="D931" i="246"/>
  <c r="D917" i="246"/>
  <c r="D914" i="246"/>
  <c r="R914" i="246" s="1"/>
  <c r="D913" i="246"/>
  <c r="D899" i="246"/>
  <c r="D896" i="246"/>
  <c r="R896" i="246" s="1"/>
  <c r="D895" i="246"/>
  <c r="D882" i="246"/>
  <c r="D879" i="246"/>
  <c r="R879" i="246" s="1"/>
  <c r="D878" i="246"/>
  <c r="D856" i="246"/>
  <c r="D853" i="246"/>
  <c r="R853" i="246" s="1"/>
  <c r="D852" i="246"/>
  <c r="B1765" i="1" l="1"/>
  <c r="B1847" i="1" s="1"/>
  <c r="B1871" i="1" s="1"/>
  <c r="B1902" i="1" s="1"/>
  <c r="B1933" i="1" s="1"/>
  <c r="B1991" i="1" s="1"/>
  <c r="B2016" i="1" s="1"/>
  <c r="B2047" i="1" s="1"/>
  <c r="K788" i="1" s="1"/>
  <c r="K592" i="1"/>
  <c r="B1836" i="246"/>
  <c r="D1044" i="1"/>
  <c r="D1041" i="1"/>
  <c r="R1041" i="1" s="1"/>
  <c r="D1040" i="1"/>
  <c r="D1030" i="1"/>
  <c r="D1027" i="1"/>
  <c r="R1027" i="1" s="1"/>
  <c r="D1026" i="1"/>
  <c r="D1009" i="1"/>
  <c r="D1006" i="1"/>
  <c r="R1006" i="1" s="1"/>
  <c r="D1005" i="1"/>
  <c r="D990" i="1"/>
  <c r="D987" i="1"/>
  <c r="R987" i="1" s="1"/>
  <c r="D986" i="1"/>
  <c r="D975" i="1"/>
  <c r="D972" i="1"/>
  <c r="R972" i="1" s="1"/>
  <c r="D971" i="1"/>
  <c r="D953" i="1"/>
  <c r="D950" i="1"/>
  <c r="R950" i="1" s="1"/>
  <c r="D949" i="1"/>
  <c r="D935" i="1"/>
  <c r="D932" i="1"/>
  <c r="R932" i="1" s="1"/>
  <c r="D931" i="1"/>
  <c r="D917" i="1"/>
  <c r="D914" i="1"/>
  <c r="R914" i="1" s="1"/>
  <c r="D913" i="1"/>
  <c r="D900" i="1"/>
  <c r="D897" i="1"/>
  <c r="R897" i="1" s="1"/>
  <c r="D896" i="1"/>
  <c r="D874" i="1"/>
  <c r="D871" i="1"/>
  <c r="R871" i="1" s="1"/>
  <c r="D870" i="1"/>
  <c r="M232" i="192"/>
  <c r="K232" i="192"/>
  <c r="M232" i="190"/>
  <c r="K232" i="190"/>
  <c r="M232" i="136"/>
  <c r="K232" i="136"/>
  <c r="P232" i="5"/>
  <c r="N232" i="5"/>
  <c r="O1462" i="1" s="1"/>
  <c r="U1462" i="1" s="1"/>
  <c r="O1459" i="1" s="1"/>
  <c r="D925" i="246"/>
  <c r="D943" i="1"/>
  <c r="K862" i="246"/>
  <c r="J862" i="246"/>
  <c r="D862" i="246"/>
  <c r="K880" i="1"/>
  <c r="J880" i="1"/>
  <c r="D880" i="1"/>
  <c r="C811" i="246"/>
  <c r="C815" i="1"/>
  <c r="D1054" i="1"/>
  <c r="D1052" i="1"/>
  <c r="R1052" i="1" s="1"/>
  <c r="D1051" i="1"/>
  <c r="R1051" i="1" s="1"/>
  <c r="D1050" i="1"/>
  <c r="R1050" i="1" s="1"/>
  <c r="D1049" i="1"/>
  <c r="R1049" i="1" s="1"/>
  <c r="D1048" i="1"/>
  <c r="R1048" i="1" s="1"/>
  <c r="R1053" i="1" s="1"/>
  <c r="R813" i="1"/>
  <c r="R812" i="1"/>
  <c r="R811" i="1"/>
  <c r="R810" i="1"/>
  <c r="D809" i="1"/>
  <c r="R809" i="1" s="1"/>
  <c r="C152" i="192"/>
  <c r="C152" i="190"/>
  <c r="C152" i="136"/>
  <c r="C152" i="5"/>
  <c r="D1784" i="246"/>
  <c r="D1783" i="246"/>
  <c r="D1782" i="246"/>
  <c r="B1866" i="246" l="1"/>
  <c r="B1924" i="246" s="1"/>
  <c r="B1949" i="246" s="1"/>
  <c r="B1980" i="246" s="1"/>
  <c r="B2102" i="1"/>
  <c r="B2124" i="1" s="1"/>
  <c r="B2147" i="1" s="1"/>
  <c r="B2182" i="1" s="1"/>
  <c r="C823" i="246"/>
  <c r="C827" i="1"/>
  <c r="C857" i="1" s="1"/>
  <c r="D1850" i="1"/>
  <c r="D1849" i="1"/>
  <c r="D1848" i="1"/>
  <c r="K305" i="192"/>
  <c r="F305" i="192" s="1"/>
  <c r="K304" i="192"/>
  <c r="F304" i="192" s="1"/>
  <c r="K303" i="192"/>
  <c r="F303" i="192" s="1"/>
  <c r="M302" i="192"/>
  <c r="G302" i="192" s="1"/>
  <c r="I302" i="192" s="1"/>
  <c r="K302" i="192"/>
  <c r="C305" i="192"/>
  <c r="M305" i="192" s="1"/>
  <c r="G305" i="192" s="1"/>
  <c r="C304" i="192"/>
  <c r="M304" i="192" s="1"/>
  <c r="G304" i="192" s="1"/>
  <c r="C303" i="192"/>
  <c r="M303" i="192" s="1"/>
  <c r="M302" i="190"/>
  <c r="G302" i="190" s="1"/>
  <c r="I302" i="190" s="1"/>
  <c r="K302" i="190"/>
  <c r="K305" i="190"/>
  <c r="F305" i="190" s="1"/>
  <c r="K304" i="190"/>
  <c r="F304" i="190" s="1"/>
  <c r="K303" i="190"/>
  <c r="F303" i="190" s="1"/>
  <c r="C305" i="190"/>
  <c r="M305" i="190" s="1"/>
  <c r="G305" i="190" s="1"/>
  <c r="C304" i="190"/>
  <c r="M304" i="190" s="1"/>
  <c r="G304" i="190" s="1"/>
  <c r="C303" i="190"/>
  <c r="M303" i="190" s="1"/>
  <c r="G303" i="190" s="1"/>
  <c r="P305" i="5"/>
  <c r="J305" i="5" s="1"/>
  <c r="N305" i="5"/>
  <c r="I305" i="5" s="1"/>
  <c r="P304" i="5"/>
  <c r="J304" i="5" s="1"/>
  <c r="N304" i="5"/>
  <c r="P303" i="5"/>
  <c r="J303" i="5" s="1"/>
  <c r="N303" i="5"/>
  <c r="P302" i="5"/>
  <c r="J302" i="5" s="1"/>
  <c r="L302" i="5" s="1"/>
  <c r="N302" i="5"/>
  <c r="C304" i="136"/>
  <c r="M304" i="136" s="1"/>
  <c r="G304" i="136" s="1"/>
  <c r="C305" i="136"/>
  <c r="M305" i="136" s="1"/>
  <c r="G305" i="136" s="1"/>
  <c r="K303" i="136"/>
  <c r="F303" i="136" s="1"/>
  <c r="K305" i="136"/>
  <c r="F305" i="136" s="1"/>
  <c r="K304" i="136"/>
  <c r="F304" i="136" s="1"/>
  <c r="M302" i="136"/>
  <c r="G302" i="136" s="1"/>
  <c r="I302" i="136" s="1"/>
  <c r="K302" i="136"/>
  <c r="C303" i="136"/>
  <c r="M303" i="136" s="1"/>
  <c r="G303" i="136" s="1"/>
  <c r="O1779" i="246"/>
  <c r="D1776" i="246"/>
  <c r="D1773" i="246"/>
  <c r="D1772" i="246"/>
  <c r="M91" i="192"/>
  <c r="G91" i="192" s="1"/>
  <c r="I91" i="192" s="1"/>
  <c r="K91" i="192"/>
  <c r="M91" i="190"/>
  <c r="G91" i="190" s="1"/>
  <c r="I91" i="190" s="1"/>
  <c r="K91" i="190"/>
  <c r="M91" i="136"/>
  <c r="K91" i="136"/>
  <c r="P91" i="5"/>
  <c r="J91" i="5" s="1"/>
  <c r="L91" i="5" s="1"/>
  <c r="N91" i="5"/>
  <c r="M1845" i="1"/>
  <c r="D1842" i="1"/>
  <c r="D1839" i="1"/>
  <c r="D1838" i="1"/>
  <c r="D1560" i="246"/>
  <c r="D1557" i="246"/>
  <c r="D1556" i="246"/>
  <c r="D1441" i="1"/>
  <c r="D1438" i="1"/>
  <c r="D1437" i="1"/>
  <c r="B2035" i="246" l="1"/>
  <c r="B2057" i="246" s="1"/>
  <c r="B2080" i="246" s="1"/>
  <c r="B2115" i="246" s="1"/>
  <c r="K790" i="246"/>
  <c r="B2221" i="1"/>
  <c r="B2259" i="1" s="1"/>
  <c r="B2323" i="1" s="1"/>
  <c r="B2349" i="1" s="1"/>
  <c r="B2375" i="1" s="1"/>
  <c r="B2398" i="1" s="1"/>
  <c r="B2423" i="1" s="1"/>
  <c r="C841" i="246"/>
  <c r="C885" i="246" s="1"/>
  <c r="I305" i="192"/>
  <c r="H305" i="5" s="1"/>
  <c r="I304" i="192"/>
  <c r="H304" i="5" s="1"/>
  <c r="O1850" i="1"/>
  <c r="O1848" i="1"/>
  <c r="I304" i="5"/>
  <c r="O1849" i="1"/>
  <c r="O594" i="1"/>
  <c r="I303" i="5"/>
  <c r="I305" i="190"/>
  <c r="G305" i="5" s="1"/>
  <c r="I304" i="190"/>
  <c r="G304" i="5" s="1"/>
  <c r="I303" i="190"/>
  <c r="G303" i="5" s="1"/>
  <c r="I305" i="136"/>
  <c r="F305" i="5" s="1"/>
  <c r="I304" i="136"/>
  <c r="F304" i="5" s="1"/>
  <c r="I303" i="136"/>
  <c r="F303" i="5" s="1"/>
  <c r="O1234" i="1"/>
  <c r="D1038" i="246"/>
  <c r="D1037" i="246"/>
  <c r="D1036" i="246"/>
  <c r="D1035" i="246"/>
  <c r="D1034" i="246"/>
  <c r="D1033" i="246"/>
  <c r="D1032" i="246"/>
  <c r="O1029" i="246"/>
  <c r="D1402" i="246"/>
  <c r="D1399" i="246"/>
  <c r="D1398" i="246"/>
  <c r="D1077" i="1"/>
  <c r="D1076" i="1"/>
  <c r="D1075" i="1"/>
  <c r="D1074" i="1"/>
  <c r="D1073" i="1"/>
  <c r="D1072" i="1"/>
  <c r="D1071" i="1"/>
  <c r="M1068" i="1"/>
  <c r="K647" i="1" l="1"/>
  <c r="K608" i="1"/>
  <c r="B2154" i="246"/>
  <c r="B2192" i="246" s="1"/>
  <c r="B2256" i="246" s="1"/>
  <c r="B2282" i="246" s="1"/>
  <c r="B2308" i="246" s="1"/>
  <c r="B2331" i="246" s="1"/>
  <c r="B2356" i="246" s="1"/>
  <c r="B2450" i="1"/>
  <c r="C902" i="246"/>
  <c r="C938" i="246" s="1"/>
  <c r="C960" i="246" s="1"/>
  <c r="C903" i="1"/>
  <c r="C920" i="1" s="1"/>
  <c r="L305" i="5"/>
  <c r="O1784" i="246" s="1"/>
  <c r="R1784" i="246" s="1"/>
  <c r="L304" i="5"/>
  <c r="O1783" i="246" s="1"/>
  <c r="R1783" i="246" s="1"/>
  <c r="O1853" i="1"/>
  <c r="X594" i="1" s="1"/>
  <c r="K526" i="246"/>
  <c r="K525" i="1"/>
  <c r="C10" i="192"/>
  <c r="C9" i="192"/>
  <c r="C8" i="192"/>
  <c r="M8" i="192" s="1"/>
  <c r="G8" i="192" s="1"/>
  <c r="I8" i="192" s="1"/>
  <c r="C10" i="190"/>
  <c r="C9" i="190"/>
  <c r="C8" i="190"/>
  <c r="M8" i="190" s="1"/>
  <c r="G8" i="190" s="1"/>
  <c r="I8" i="190" s="1"/>
  <c r="C10" i="136"/>
  <c r="C9" i="136"/>
  <c r="M9" i="136" s="1"/>
  <c r="G9" i="136" s="1"/>
  <c r="I9" i="136" s="1"/>
  <c r="C8" i="136"/>
  <c r="M8" i="136" s="1"/>
  <c r="G8" i="136" s="1"/>
  <c r="I8" i="136" s="1"/>
  <c r="M9" i="192"/>
  <c r="G9" i="192" s="1"/>
  <c r="I9" i="192" s="1"/>
  <c r="K9" i="192"/>
  <c r="K8" i="192"/>
  <c r="M7" i="192"/>
  <c r="G7" i="192" s="1"/>
  <c r="I7" i="192" s="1"/>
  <c r="K7" i="192"/>
  <c r="M6" i="192"/>
  <c r="K6" i="192"/>
  <c r="M9" i="190"/>
  <c r="G9" i="190" s="1"/>
  <c r="I9" i="190" s="1"/>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J6" i="5" s="1"/>
  <c r="L6" i="5" s="1"/>
  <c r="N6" i="5"/>
  <c r="C2546" i="1"/>
  <c r="C2547" i="1"/>
  <c r="D490" i="246"/>
  <c r="R490" i="246" s="1"/>
  <c r="D489" i="1"/>
  <c r="R489" i="1" s="1"/>
  <c r="D499" i="246"/>
  <c r="D500" i="246"/>
  <c r="R500" i="246" s="1"/>
  <c r="D498" i="246"/>
  <c r="D498" i="1"/>
  <c r="D499" i="1"/>
  <c r="R499" i="1" s="1"/>
  <c r="D497" i="1"/>
  <c r="D494" i="246"/>
  <c r="D495" i="246"/>
  <c r="D493" i="1"/>
  <c r="D494" i="1"/>
  <c r="D491" i="246"/>
  <c r="R491" i="246" s="1"/>
  <c r="D489" i="246"/>
  <c r="D490" i="1"/>
  <c r="R490" i="1" s="1"/>
  <c r="D488" i="1"/>
  <c r="D409" i="246"/>
  <c r="R409" i="246" s="1"/>
  <c r="D407" i="246"/>
  <c r="D409" i="1"/>
  <c r="D410" i="1"/>
  <c r="R410" i="1" s="1"/>
  <c r="K610" i="246" l="1"/>
  <c r="K649" i="246"/>
  <c r="B2383" i="246"/>
  <c r="B2408" i="246" s="1"/>
  <c r="B2434" i="246" s="1"/>
  <c r="B2477" i="246" s="1"/>
  <c r="B2475" i="1"/>
  <c r="B2501" i="1" s="1"/>
  <c r="B2544" i="1" s="1"/>
  <c r="M1850" i="1"/>
  <c r="R1850" i="1" s="1"/>
  <c r="K593" i="246"/>
  <c r="C975" i="246"/>
  <c r="C1015" i="246" s="1"/>
  <c r="K752" i="1"/>
  <c r="C956" i="1"/>
  <c r="C978" i="1" s="1"/>
  <c r="M1849" i="1"/>
  <c r="R1849" i="1" s="1"/>
  <c r="O1073" i="1"/>
  <c r="O1072" i="1"/>
  <c r="O1075" i="1"/>
  <c r="O1074" i="1"/>
  <c r="O1034" i="246"/>
  <c r="R1034" i="246" s="1"/>
  <c r="M1073" i="1"/>
  <c r="O1036" i="246"/>
  <c r="R1036" i="246" s="1"/>
  <c r="M1075" i="1"/>
  <c r="M1074" i="1"/>
  <c r="O1035" i="246"/>
  <c r="R1035" i="246" s="1"/>
  <c r="D408" i="1"/>
  <c r="D180" i="246"/>
  <c r="D180" i="1"/>
  <c r="C280" i="4"/>
  <c r="C277" i="4"/>
  <c r="C274" i="4"/>
  <c r="C271" i="4"/>
  <c r="C268" i="4"/>
  <c r="C265" i="4"/>
  <c r="C1518" i="246" l="1"/>
  <c r="C1563" i="246" s="1"/>
  <c r="K591" i="1"/>
  <c r="R1073" i="1"/>
  <c r="C993" i="1"/>
  <c r="C1033" i="1" s="1"/>
  <c r="R1075" i="1"/>
  <c r="R1074" i="1"/>
  <c r="D1897" i="246"/>
  <c r="D1896" i="246"/>
  <c r="D1895" i="246"/>
  <c r="D1894" i="246"/>
  <c r="D1893" i="246"/>
  <c r="D1892" i="246"/>
  <c r="D1878" i="246"/>
  <c r="D1877" i="246"/>
  <c r="D1876" i="246"/>
  <c r="D1875" i="246"/>
  <c r="D1874" i="246"/>
  <c r="D1873" i="246"/>
  <c r="D1964" i="1"/>
  <c r="D1963" i="1"/>
  <c r="D1962" i="1"/>
  <c r="D1961" i="1"/>
  <c r="D1960" i="1"/>
  <c r="D1959" i="1"/>
  <c r="D1945" i="1"/>
  <c r="D1944" i="1"/>
  <c r="D1943" i="1"/>
  <c r="D1942" i="1"/>
  <c r="D1941" i="1"/>
  <c r="D1940" i="1"/>
  <c r="P339" i="5"/>
  <c r="J339" i="5" s="1"/>
  <c r="N339" i="5"/>
  <c r="I339" i="5" s="1"/>
  <c r="P338" i="5"/>
  <c r="J338" i="5" s="1"/>
  <c r="N338" i="5"/>
  <c r="I338" i="5" s="1"/>
  <c r="P337" i="5"/>
  <c r="J337" i="5" s="1"/>
  <c r="N337" i="5"/>
  <c r="I337" i="5" s="1"/>
  <c r="P336" i="5"/>
  <c r="J336" i="5" s="1"/>
  <c r="N336" i="5"/>
  <c r="I336" i="5" s="1"/>
  <c r="P335" i="5"/>
  <c r="J335" i="5" s="1"/>
  <c r="N335" i="5"/>
  <c r="I335" i="5" s="1"/>
  <c r="P334" i="5"/>
  <c r="J334" i="5" s="1"/>
  <c r="N334" i="5"/>
  <c r="I334" i="5" s="1"/>
  <c r="P328" i="5"/>
  <c r="J328" i="5" s="1"/>
  <c r="N328" i="5"/>
  <c r="I328" i="5" s="1"/>
  <c r="P327" i="5"/>
  <c r="J327" i="5" s="1"/>
  <c r="N327" i="5"/>
  <c r="I327" i="5" s="1"/>
  <c r="P326" i="5"/>
  <c r="J326" i="5" s="1"/>
  <c r="N326" i="5"/>
  <c r="I326" i="5" s="1"/>
  <c r="P325" i="5"/>
  <c r="J325" i="5" s="1"/>
  <c r="N325" i="5"/>
  <c r="I325" i="5" s="1"/>
  <c r="P324" i="5"/>
  <c r="J324" i="5" s="1"/>
  <c r="N324" i="5"/>
  <c r="I324" i="5" s="1"/>
  <c r="P323" i="5"/>
  <c r="J323" i="5" s="1"/>
  <c r="N323" i="5"/>
  <c r="I323" i="5"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34" i="192"/>
  <c r="F334" i="192" s="1"/>
  <c r="C334" i="192"/>
  <c r="M334" i="192" s="1"/>
  <c r="G334"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23" i="192"/>
  <c r="F323" i="192" s="1"/>
  <c r="C323" i="192"/>
  <c r="M323" i="192" s="1"/>
  <c r="G323" i="192"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34" i="190"/>
  <c r="F334" i="190" s="1"/>
  <c r="C334" i="190"/>
  <c r="M334" i="190" s="1"/>
  <c r="G334"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23" i="190"/>
  <c r="F323" i="190" s="1"/>
  <c r="C323" i="190"/>
  <c r="M323" i="190" s="1"/>
  <c r="G323" i="190"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34" i="136"/>
  <c r="F334" i="136" s="1"/>
  <c r="C334" i="136"/>
  <c r="M334" i="136" s="1"/>
  <c r="G334"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K323" i="136"/>
  <c r="F323" i="136" s="1"/>
  <c r="C323" i="136"/>
  <c r="M323" i="136" s="1"/>
  <c r="G323" i="136" s="1"/>
  <c r="C1700" i="246" l="1"/>
  <c r="I324" i="192"/>
  <c r="H324" i="5" s="1"/>
  <c r="I335" i="190"/>
  <c r="G335" i="5" s="1"/>
  <c r="I339" i="190"/>
  <c r="G339" i="5" s="1"/>
  <c r="C1557" i="1"/>
  <c r="C1622" i="1" s="1"/>
  <c r="I334" i="136"/>
  <c r="F334" i="5" s="1"/>
  <c r="I336" i="136"/>
  <c r="F336" i="5" s="1"/>
  <c r="I338" i="136"/>
  <c r="F338" i="5" s="1"/>
  <c r="I336" i="192"/>
  <c r="H336" i="5" s="1"/>
  <c r="I326" i="192"/>
  <c r="H326" i="5" s="1"/>
  <c r="I328" i="192"/>
  <c r="H328" i="5" s="1"/>
  <c r="I323" i="190"/>
  <c r="G323" i="5" s="1"/>
  <c r="I325" i="190"/>
  <c r="G325" i="5" s="1"/>
  <c r="I327" i="190"/>
  <c r="G327" i="5" s="1"/>
  <c r="I336" i="190"/>
  <c r="G336" i="5" s="1"/>
  <c r="I338" i="190"/>
  <c r="G338" i="5" s="1"/>
  <c r="I323" i="136"/>
  <c r="F323" i="5" s="1"/>
  <c r="I327" i="136"/>
  <c r="F327" i="5" s="1"/>
  <c r="I326" i="136"/>
  <c r="F326" i="5" s="1"/>
  <c r="O1945" i="1"/>
  <c r="O1962" i="1"/>
  <c r="O1941" i="1"/>
  <c r="I325" i="136"/>
  <c r="F325" i="5" s="1"/>
  <c r="I334" i="190"/>
  <c r="G334" i="5" s="1"/>
  <c r="O1940" i="1"/>
  <c r="O1944" i="1"/>
  <c r="O1961" i="1"/>
  <c r="I334" i="192"/>
  <c r="H334" i="5" s="1"/>
  <c r="I338" i="192"/>
  <c r="H338" i="5" s="1"/>
  <c r="O1943" i="1"/>
  <c r="O1960" i="1"/>
  <c r="O1964" i="1"/>
  <c r="I324" i="136"/>
  <c r="F324" i="5" s="1"/>
  <c r="I328" i="136"/>
  <c r="F328" i="5" s="1"/>
  <c r="I335" i="136"/>
  <c r="F335" i="5" s="1"/>
  <c r="I337" i="136"/>
  <c r="F337" i="5" s="1"/>
  <c r="I339" i="136"/>
  <c r="F339" i="5" s="1"/>
  <c r="I324" i="190"/>
  <c r="G324" i="5" s="1"/>
  <c r="I326" i="190"/>
  <c r="G326" i="5" s="1"/>
  <c r="I328" i="190"/>
  <c r="G328" i="5" s="1"/>
  <c r="I323" i="192"/>
  <c r="H323" i="5" s="1"/>
  <c r="I325" i="192"/>
  <c r="H325" i="5" s="1"/>
  <c r="I327" i="192"/>
  <c r="H327" i="5" s="1"/>
  <c r="I335" i="192"/>
  <c r="H335" i="5" s="1"/>
  <c r="I339" i="192"/>
  <c r="H339" i="5" s="1"/>
  <c r="O1942" i="1"/>
  <c r="O1959" i="1"/>
  <c r="O1963" i="1"/>
  <c r="I337" i="192"/>
  <c r="H337" i="5" s="1"/>
  <c r="I337" i="190"/>
  <c r="G337" i="5" s="1"/>
  <c r="G22" i="4"/>
  <c r="C1701" i="246" l="1"/>
  <c r="C1738" i="246" s="1"/>
  <c r="L339" i="5"/>
  <c r="M1964" i="1" s="1"/>
  <c r="R1964" i="1" s="1"/>
  <c r="L326" i="5"/>
  <c r="E274" i="4" s="1"/>
  <c r="L327" i="5"/>
  <c r="E277" i="4" s="1"/>
  <c r="L323" i="5"/>
  <c r="E265" i="4" s="1"/>
  <c r="L336" i="5"/>
  <c r="O1894" i="246" s="1"/>
  <c r="R1894" i="246" s="1"/>
  <c r="L338" i="5"/>
  <c r="M1963" i="1" s="1"/>
  <c r="R1963" i="1" s="1"/>
  <c r="L337" i="5"/>
  <c r="M1962" i="1" s="1"/>
  <c r="R1962" i="1" s="1"/>
  <c r="L335" i="5"/>
  <c r="O1893" i="246" s="1"/>
  <c r="R1893" i="246" s="1"/>
  <c r="L328" i="5"/>
  <c r="L324" i="5"/>
  <c r="L334" i="5"/>
  <c r="L325" i="5"/>
  <c r="U21" i="80"/>
  <c r="C1766" i="1" l="1"/>
  <c r="O1897" i="246"/>
  <c r="R1897" i="246" s="1"/>
  <c r="M1944" i="1"/>
  <c r="R1944" i="1" s="1"/>
  <c r="O1877" i="246"/>
  <c r="R1877" i="246" s="1"/>
  <c r="O1876" i="246"/>
  <c r="R1876" i="246" s="1"/>
  <c r="M1961" i="1"/>
  <c r="R1961" i="1" s="1"/>
  <c r="M1943" i="1"/>
  <c r="R1943" i="1" s="1"/>
  <c r="M1940" i="1"/>
  <c r="R1940" i="1" s="1"/>
  <c r="O1873" i="246"/>
  <c r="R1873" i="246" s="1"/>
  <c r="O1896" i="246"/>
  <c r="R1896" i="246" s="1"/>
  <c r="O1895" i="246"/>
  <c r="R1895" i="246" s="1"/>
  <c r="M1960" i="1"/>
  <c r="R1960" i="1" s="1"/>
  <c r="E271" i="4"/>
  <c r="O1875" i="246"/>
  <c r="R1875" i="246" s="1"/>
  <c r="M1942" i="1"/>
  <c r="R1942" i="1" s="1"/>
  <c r="E280" i="4"/>
  <c r="M1945" i="1"/>
  <c r="R1945" i="1" s="1"/>
  <c r="O1878" i="246"/>
  <c r="R1878" i="246" s="1"/>
  <c r="O1892" i="246"/>
  <c r="R1892" i="246" s="1"/>
  <c r="M1959" i="1"/>
  <c r="R1959" i="1" s="1"/>
  <c r="E268" i="4"/>
  <c r="M1941" i="1"/>
  <c r="R1941" i="1" s="1"/>
  <c r="O1874" i="246"/>
  <c r="R1874" i="246" s="1"/>
  <c r="C1767" i="1" l="1"/>
  <c r="C1804" i="1" s="1"/>
  <c r="C5" i="248" l="1"/>
  <c r="E40" i="248" s="1"/>
  <c r="C40" i="248" l="1"/>
  <c r="C30" i="229" l="1"/>
  <c r="C29" i="229"/>
  <c r="C28" i="229"/>
  <c r="C27" i="229"/>
  <c r="C26" i="229"/>
  <c r="C25" i="229"/>
  <c r="C24" i="229"/>
  <c r="C23" i="229"/>
  <c r="C22" i="229"/>
  <c r="C21" i="229"/>
  <c r="C20" i="229"/>
  <c r="C19" i="229"/>
  <c r="C18" i="229"/>
  <c r="C17" i="229"/>
  <c r="C16" i="229"/>
  <c r="C15" i="229"/>
  <c r="C14" i="229"/>
  <c r="C13" i="229"/>
  <c r="C12" i="229"/>
  <c r="C11" i="229"/>
  <c r="C10" i="229"/>
  <c r="C9" i="229"/>
  <c r="C8" i="229"/>
  <c r="D1061" i="1" l="1"/>
  <c r="D1062" i="1"/>
  <c r="R1062" i="1" s="1"/>
  <c r="D1065" i="1"/>
  <c r="H1558" i="1"/>
  <c r="J1558" i="1"/>
  <c r="K1558" i="1"/>
  <c r="M1558" i="1"/>
  <c r="H1559" i="1"/>
  <c r="J1559" i="1"/>
  <c r="K1559" i="1"/>
  <c r="M1559" i="1"/>
  <c r="G1603" i="1"/>
  <c r="D1615" i="1"/>
  <c r="D1616" i="1"/>
  <c r="D1619" i="1"/>
  <c r="H1623" i="1"/>
  <c r="J1623" i="1"/>
  <c r="K1623" i="1"/>
  <c r="M1623" i="1"/>
  <c r="H1624" i="1"/>
  <c r="J1624" i="1"/>
  <c r="K1624" i="1"/>
  <c r="M1624" i="1"/>
  <c r="H1628" i="1"/>
  <c r="J1628" i="1"/>
  <c r="K1628" i="1"/>
  <c r="M1628" i="1"/>
  <c r="H1629" i="1"/>
  <c r="J1629" i="1"/>
  <c r="K1629" i="1"/>
  <c r="M1629" i="1"/>
  <c r="G1632" i="1"/>
  <c r="H1635" i="1"/>
  <c r="J1635" i="1"/>
  <c r="K1635" i="1"/>
  <c r="M1635" i="1"/>
  <c r="H1636" i="1"/>
  <c r="J1636" i="1"/>
  <c r="K1636" i="1"/>
  <c r="M1636" i="1"/>
  <c r="D1022" i="246"/>
  <c r="D1023" i="246"/>
  <c r="R1023" i="246" s="1"/>
  <c r="D1026" i="246"/>
  <c r="H1519" i="246"/>
  <c r="J1519" i="246"/>
  <c r="K1519" i="246"/>
  <c r="M1519" i="246"/>
  <c r="H1520" i="246"/>
  <c r="J1520" i="246"/>
  <c r="K1520" i="246"/>
  <c r="M1520" i="246"/>
  <c r="G1543" i="246"/>
  <c r="H1564" i="246"/>
  <c r="J1564" i="246"/>
  <c r="K1564" i="246"/>
  <c r="M1564" i="246"/>
  <c r="H1565" i="246"/>
  <c r="J1565" i="246"/>
  <c r="K1565" i="246"/>
  <c r="M1565" i="246"/>
  <c r="G1566" i="246"/>
  <c r="H1569" i="246"/>
  <c r="J1569" i="246"/>
  <c r="K1569" i="246"/>
  <c r="M1569" i="246"/>
  <c r="H1570" i="246"/>
  <c r="J1570" i="246"/>
  <c r="K1570" i="246"/>
  <c r="M1570" i="246"/>
  <c r="M1566" i="246" l="1"/>
  <c r="H1566" i="246"/>
  <c r="K1566" i="246"/>
  <c r="M1625" i="1"/>
  <c r="M1632" i="1"/>
  <c r="O1570" i="246"/>
  <c r="O1569" i="246"/>
  <c r="K1632" i="1"/>
  <c r="O1636" i="1"/>
  <c r="K1625" i="1"/>
  <c r="O1629" i="1"/>
  <c r="O1635" i="1"/>
  <c r="J1625" i="1"/>
  <c r="H1632" i="1"/>
  <c r="O1628" i="1"/>
  <c r="H1625" i="1"/>
  <c r="J1632" i="1"/>
  <c r="J1566" i="246"/>
  <c r="O1566" i="246" l="1"/>
  <c r="O1632" i="1"/>
  <c r="O1625" i="1"/>
  <c r="O2505" i="246" l="1"/>
  <c r="M2505" i="246"/>
  <c r="O2504" i="246"/>
  <c r="M2504" i="246"/>
  <c r="O2503" i="246"/>
  <c r="M2503" i="246"/>
  <c r="O2502" i="246"/>
  <c r="M2502" i="246"/>
  <c r="O2501" i="246"/>
  <c r="M2501" i="246"/>
  <c r="O2500" i="246"/>
  <c r="M2500" i="246"/>
  <c r="O2499" i="246"/>
  <c r="M2499" i="246"/>
  <c r="O2498" i="246"/>
  <c r="M2498" i="246"/>
  <c r="C2505" i="246"/>
  <c r="C2504" i="246"/>
  <c r="C2503" i="246"/>
  <c r="C2502" i="246"/>
  <c r="C2501" i="246"/>
  <c r="C2500" i="246"/>
  <c r="C2499" i="246"/>
  <c r="C2498" i="246"/>
  <c r="D2486" i="246"/>
  <c r="R2486" i="246" s="1"/>
  <c r="D2485" i="246"/>
  <c r="R2485" i="246" s="1"/>
  <c r="D2484" i="246"/>
  <c r="R2484" i="246" s="1"/>
  <c r="D2483" i="246"/>
  <c r="R2483" i="246" s="1"/>
  <c r="D2482" i="246"/>
  <c r="R2482" i="246" s="1"/>
  <c r="D2474" i="246"/>
  <c r="D2470" i="246"/>
  <c r="D2471" i="246"/>
  <c r="R2471" i="246" s="1"/>
  <c r="R2547" i="1"/>
  <c r="M2573" i="1"/>
  <c r="M2572" i="1"/>
  <c r="M2571" i="1"/>
  <c r="M2570" i="1"/>
  <c r="M2569" i="1"/>
  <c r="M2568" i="1"/>
  <c r="M2567" i="1"/>
  <c r="M2566" i="1"/>
  <c r="O2573" i="1"/>
  <c r="O2572" i="1"/>
  <c r="O2571" i="1"/>
  <c r="O2570" i="1"/>
  <c r="O2569" i="1"/>
  <c r="O2568" i="1"/>
  <c r="O2567" i="1"/>
  <c r="O2566" i="1"/>
  <c r="C2573" i="1"/>
  <c r="C2572" i="1"/>
  <c r="C2571" i="1"/>
  <c r="C2570" i="1"/>
  <c r="C2569" i="1"/>
  <c r="C2568" i="1"/>
  <c r="C2567" i="1"/>
  <c r="C2566" i="1"/>
  <c r="C2565" i="1"/>
  <c r="C2496" i="246"/>
  <c r="D2554" i="1"/>
  <c r="R2554" i="1" s="1"/>
  <c r="D2553" i="1"/>
  <c r="R2553" i="1" s="1"/>
  <c r="D2552" i="1"/>
  <c r="R2552" i="1" s="1"/>
  <c r="D2551" i="1"/>
  <c r="R2551" i="1" s="1"/>
  <c r="D2550" i="1"/>
  <c r="R2550" i="1" s="1"/>
  <c r="R2568" i="1" l="1"/>
  <c r="R2572" i="1"/>
  <c r="C2497" i="246"/>
  <c r="C2564" i="1"/>
  <c r="R2498" i="246"/>
  <c r="R2500" i="246"/>
  <c r="R2502" i="246"/>
  <c r="R2504" i="246"/>
  <c r="R2499" i="246"/>
  <c r="R2501" i="246"/>
  <c r="R2503" i="246"/>
  <c r="R2505" i="246"/>
  <c r="R2566" i="1"/>
  <c r="R2570" i="1"/>
  <c r="R2567" i="1"/>
  <c r="R2571" i="1"/>
  <c r="R2569" i="1"/>
  <c r="R2573" i="1"/>
  <c r="D2541" i="1"/>
  <c r="D2538" i="1"/>
  <c r="R2538" i="1" s="1"/>
  <c r="D2537" i="1"/>
  <c r="O1425" i="1"/>
  <c r="O2732" i="246"/>
  <c r="S2732" i="246" s="1"/>
  <c r="D2795" i="1"/>
  <c r="M2795" i="1"/>
  <c r="R2795" i="1" s="1"/>
  <c r="D2796" i="1"/>
  <c r="M2796" i="1"/>
  <c r="R2796" i="1" s="1"/>
  <c r="O2800" i="1"/>
  <c r="O1421" i="1"/>
  <c r="O1371" i="246"/>
  <c r="D1368" i="246"/>
  <c r="D1365" i="246"/>
  <c r="R1365" i="246" s="1"/>
  <c r="D1364" i="246"/>
  <c r="G505" i="4"/>
  <c r="M1410" i="1"/>
  <c r="D1407" i="1"/>
  <c r="D1404" i="1"/>
  <c r="R1404" i="1" s="1"/>
  <c r="D1403" i="1"/>
  <c r="R2800" i="1" l="1"/>
  <c r="R2799" i="1" s="1"/>
  <c r="R2798" i="1" s="1"/>
  <c r="R2797" i="1" s="1"/>
  <c r="S2800" i="1"/>
  <c r="R2732" i="246"/>
  <c r="R2731" i="246" s="1"/>
  <c r="R2730" i="246" s="1"/>
  <c r="R2729" i="246" s="1"/>
  <c r="J145" i="246" l="1"/>
  <c r="R145" i="246" s="1"/>
  <c r="J144" i="246"/>
  <c r="R144" i="246" s="1"/>
  <c r="J143" i="246"/>
  <c r="R143" i="246" s="1"/>
  <c r="J142" i="246"/>
  <c r="R142" i="246" s="1"/>
  <c r="R141" i="246" s="1"/>
  <c r="J145" i="1"/>
  <c r="R145" i="1" s="1"/>
  <c r="J144" i="1"/>
  <c r="R144" i="1" s="1"/>
  <c r="J143" i="1"/>
  <c r="R143" i="1" s="1"/>
  <c r="J142" i="1"/>
  <c r="R142" i="1" s="1"/>
  <c r="J147" i="1"/>
  <c r="R147" i="1" s="1"/>
  <c r="J148" i="1"/>
  <c r="R148" i="1" s="1"/>
  <c r="R141" i="1" l="1"/>
  <c r="G1625" i="1" l="1"/>
  <c r="G1521" i="246"/>
  <c r="G1581" i="1"/>
  <c r="C295" i="4"/>
  <c r="C292" i="4"/>
  <c r="C289" i="4"/>
  <c r="C286" i="4"/>
  <c r="C283" i="4"/>
  <c r="C262" i="4"/>
  <c r="C259" i="4"/>
  <c r="D1966" i="246" l="1"/>
  <c r="R1966" i="246" s="1"/>
  <c r="D2033" i="1"/>
  <c r="R2033" i="1" s="1"/>
  <c r="D865" i="246" l="1"/>
  <c r="D884" i="1"/>
  <c r="D883" i="1"/>
  <c r="K866" i="246"/>
  <c r="J866" i="246"/>
  <c r="D866" i="246"/>
  <c r="K865" i="246"/>
  <c r="J865" i="246"/>
  <c r="K864" i="246"/>
  <c r="J864" i="246"/>
  <c r="D864" i="246"/>
  <c r="K863" i="246"/>
  <c r="J863" i="246"/>
  <c r="D863" i="246"/>
  <c r="R499" i="246"/>
  <c r="R498" i="246"/>
  <c r="R497" i="246" s="1"/>
  <c r="R496" i="246" s="1"/>
  <c r="R498" i="1"/>
  <c r="R497" i="1"/>
  <c r="R496" i="1" s="1"/>
  <c r="R495" i="1" s="1"/>
  <c r="R495" i="246"/>
  <c r="R494" i="246"/>
  <c r="R493" i="246" s="1"/>
  <c r="R492" i="246" s="1"/>
  <c r="R494" i="1"/>
  <c r="R493" i="1"/>
  <c r="R492" i="1" s="1"/>
  <c r="R491" i="1" s="1"/>
  <c r="D460" i="1" l="1"/>
  <c r="D445" i="246" l="1"/>
  <c r="D447" i="1"/>
  <c r="R447" i="1" s="1"/>
  <c r="C28" i="5" l="1"/>
  <c r="O1819" i="246" l="1"/>
  <c r="R1819" i="246" s="1"/>
  <c r="O1850" i="246"/>
  <c r="R1850" i="246" s="1"/>
  <c r="M1916" i="1"/>
  <c r="O1916" i="1"/>
  <c r="M1885" i="1"/>
  <c r="O1885" i="1"/>
  <c r="R1851" i="246" l="1"/>
  <c r="R1852" i="246" s="1"/>
  <c r="R1849" i="246"/>
  <c r="R1848" i="246" s="1"/>
  <c r="R1820" i="246"/>
  <c r="R1821" i="246" s="1"/>
  <c r="R1818" i="246"/>
  <c r="R1817" i="246" s="1"/>
  <c r="R1916" i="1"/>
  <c r="R1917" i="1" s="1"/>
  <c r="R1918" i="1" s="1"/>
  <c r="R1885" i="1"/>
  <c r="R1884" i="1" s="1"/>
  <c r="R1883" i="1" s="1"/>
  <c r="R1915" i="1" l="1"/>
  <c r="R1914" i="1" s="1"/>
  <c r="R1886" i="1"/>
  <c r="R1887" i="1" s="1"/>
  <c r="D1890" i="246" l="1"/>
  <c r="D1882" i="246"/>
  <c r="D1872" i="246"/>
  <c r="D1871" i="246"/>
  <c r="D1957" i="1"/>
  <c r="D1949" i="1"/>
  <c r="D1939" i="1"/>
  <c r="D1938" i="1"/>
  <c r="K344" i="192"/>
  <c r="F344" i="192" s="1"/>
  <c r="C345" i="192"/>
  <c r="C344" i="192"/>
  <c r="M344" i="192" s="1"/>
  <c r="G344" i="192" s="1"/>
  <c r="K332" i="192"/>
  <c r="F332" i="192" s="1"/>
  <c r="C332" i="192"/>
  <c r="M332" i="192" s="1"/>
  <c r="G332" i="192" s="1"/>
  <c r="K322" i="192"/>
  <c r="F322" i="192" s="1"/>
  <c r="K321" i="192"/>
  <c r="F321" i="192" s="1"/>
  <c r="C322" i="192"/>
  <c r="M322" i="192" s="1"/>
  <c r="G322" i="192" s="1"/>
  <c r="C321" i="192"/>
  <c r="M321" i="192" s="1"/>
  <c r="G321" i="192" s="1"/>
  <c r="K344" i="190"/>
  <c r="F344" i="190" s="1"/>
  <c r="C345" i="190"/>
  <c r="C344" i="190"/>
  <c r="M344" i="190" s="1"/>
  <c r="G344" i="190" s="1"/>
  <c r="K332" i="190"/>
  <c r="F332" i="190" s="1"/>
  <c r="C332" i="190"/>
  <c r="M332" i="190" s="1"/>
  <c r="G332" i="190" s="1"/>
  <c r="K322" i="190"/>
  <c r="F322" i="190" s="1"/>
  <c r="K321" i="190"/>
  <c r="F321" i="190" s="1"/>
  <c r="C322" i="190"/>
  <c r="M322" i="190" s="1"/>
  <c r="G322" i="190" s="1"/>
  <c r="C321" i="190"/>
  <c r="M321" i="190" s="1"/>
  <c r="G321" i="190" s="1"/>
  <c r="K344" i="136"/>
  <c r="F344" i="136" s="1"/>
  <c r="C345" i="136"/>
  <c r="C344" i="136"/>
  <c r="M344" i="136" s="1"/>
  <c r="G344" i="136" s="1"/>
  <c r="K332" i="136"/>
  <c r="F332" i="136" s="1"/>
  <c r="C332" i="136"/>
  <c r="M332" i="136" s="1"/>
  <c r="G332" i="136" s="1"/>
  <c r="K322" i="136"/>
  <c r="F322" i="136" s="1"/>
  <c r="K321" i="136"/>
  <c r="F321" i="136" s="1"/>
  <c r="C322" i="136"/>
  <c r="M322" i="136" s="1"/>
  <c r="G322" i="136" s="1"/>
  <c r="C321" i="136"/>
  <c r="M321" i="136" s="1"/>
  <c r="G321" i="136" s="1"/>
  <c r="P345" i="5"/>
  <c r="J345" i="5" s="1"/>
  <c r="N345" i="5"/>
  <c r="P332" i="5"/>
  <c r="N332" i="5"/>
  <c r="P322" i="5"/>
  <c r="J322" i="5" s="1"/>
  <c r="N322" i="5"/>
  <c r="P321" i="5"/>
  <c r="J321" i="5" s="1"/>
  <c r="N321" i="5"/>
  <c r="I321" i="5" l="1"/>
  <c r="H11" i="229"/>
  <c r="I332" i="5"/>
  <c r="H16" i="229"/>
  <c r="I322" i="5"/>
  <c r="H12" i="229"/>
  <c r="I345" i="5"/>
  <c r="H23" i="229"/>
  <c r="I321" i="136"/>
  <c r="F321" i="5" s="1"/>
  <c r="I344" i="136"/>
  <c r="F344" i="5" s="1"/>
  <c r="I332" i="136"/>
  <c r="F332" i="5" s="1"/>
  <c r="I322" i="192"/>
  <c r="H322" i="5" s="1"/>
  <c r="I332" i="192"/>
  <c r="H332" i="5" s="1"/>
  <c r="I321" i="192"/>
  <c r="H321" i="5" s="1"/>
  <c r="I344" i="192"/>
  <c r="H344" i="5" s="1"/>
  <c r="I344" i="190"/>
  <c r="G344" i="5" s="1"/>
  <c r="I332" i="190"/>
  <c r="G332" i="5" s="1"/>
  <c r="I322" i="190"/>
  <c r="G322" i="5" s="1"/>
  <c r="O1939" i="1"/>
  <c r="O1957" i="1"/>
  <c r="O1938" i="1"/>
  <c r="O1949" i="1"/>
  <c r="I321" i="190"/>
  <c r="G321" i="5" s="1"/>
  <c r="I322" i="136"/>
  <c r="F322" i="5" s="1"/>
  <c r="L321" i="5" l="1"/>
  <c r="G11" i="229" s="1"/>
  <c r="L322" i="5"/>
  <c r="G12" i="229" s="1"/>
  <c r="O1872" i="246" l="1"/>
  <c r="R1872" i="246" s="1"/>
  <c r="E262" i="4"/>
  <c r="O1871" i="246"/>
  <c r="R1871" i="246" s="1"/>
  <c r="E259" i="4"/>
  <c r="M1938" i="1"/>
  <c r="R1938" i="1" s="1"/>
  <c r="M1939" i="1"/>
  <c r="R1939" i="1" s="1"/>
  <c r="G32" i="170" l="1"/>
  <c r="J32" i="170" s="1"/>
  <c r="I26" i="26" s="1"/>
  <c r="I32" i="170" l="1"/>
  <c r="C37" i="5"/>
  <c r="C36" i="5"/>
  <c r="C35" i="5"/>
  <c r="C28" i="192"/>
  <c r="C28" i="190"/>
  <c r="C28" i="136"/>
  <c r="G57" i="4"/>
  <c r="H57" i="4" s="1"/>
  <c r="G56" i="4"/>
  <c r="H56" i="4" s="1"/>
  <c r="G55" i="4"/>
  <c r="G54" i="4"/>
  <c r="G53" i="4"/>
  <c r="H54" i="4" l="1"/>
  <c r="H55" i="4" s="1"/>
  <c r="H53" i="4"/>
  <c r="D290" i="1" l="1"/>
  <c r="D290" i="246"/>
  <c r="D238" i="1"/>
  <c r="D238" i="246"/>
  <c r="D67" i="246"/>
  <c r="D67" i="1"/>
  <c r="G115" i="4"/>
  <c r="G112" i="4"/>
  <c r="D2775" i="1" l="1"/>
  <c r="D2777" i="1"/>
  <c r="M2777" i="1"/>
  <c r="R2777" i="1" s="1"/>
  <c r="D2778" i="1"/>
  <c r="M2778" i="1"/>
  <c r="R2778" i="1" s="1"/>
  <c r="D2779" i="1"/>
  <c r="M2779" i="1"/>
  <c r="R2779" i="1" s="1"/>
  <c r="D2780" i="1"/>
  <c r="M2780" i="1"/>
  <c r="R2780" i="1" s="1"/>
  <c r="D2786" i="1"/>
  <c r="D2787" i="1"/>
  <c r="D2788" i="1"/>
  <c r="D2690" i="1" l="1"/>
  <c r="M2728" i="246" l="1"/>
  <c r="R2728" i="246" s="1"/>
  <c r="M2727" i="246"/>
  <c r="R2727" i="246" s="1"/>
  <c r="D2728" i="246"/>
  <c r="D2727" i="246"/>
  <c r="D2720" i="246"/>
  <c r="D2719" i="246"/>
  <c r="D2718" i="246"/>
  <c r="D415" i="246" l="1"/>
  <c r="R415" i="246" s="1"/>
  <c r="D416" i="1"/>
  <c r="R416" i="1" s="1"/>
  <c r="D348" i="246" l="1"/>
  <c r="D385" i="246"/>
  <c r="D347" i="1"/>
  <c r="D385" i="1"/>
  <c r="Q339" i="1" l="1"/>
  <c r="D1958" i="1" l="1"/>
  <c r="D1965" i="1"/>
  <c r="D1966" i="1"/>
  <c r="D1967" i="1"/>
  <c r="D1968" i="1"/>
  <c r="D1969" i="1"/>
  <c r="D1970" i="1"/>
  <c r="D1946" i="1"/>
  <c r="D1947" i="1"/>
  <c r="D1948" i="1"/>
  <c r="D1950" i="1"/>
  <c r="D1756" i="1" l="1"/>
  <c r="D1757" i="1"/>
  <c r="D1760" i="1"/>
  <c r="M1763" i="1"/>
  <c r="D1986" i="246" l="1"/>
  <c r="D1985" i="246"/>
  <c r="D1984" i="246"/>
  <c r="D1983" i="246"/>
  <c r="D1982" i="246"/>
  <c r="D1981" i="246"/>
  <c r="D2053" i="1"/>
  <c r="D2052" i="1"/>
  <c r="D2051" i="1"/>
  <c r="D2050" i="1"/>
  <c r="D2049" i="1"/>
  <c r="D2048" i="1"/>
  <c r="D465" i="246" l="1"/>
  <c r="D462" i="246"/>
  <c r="R462" i="246" s="1"/>
  <c r="D461" i="246"/>
  <c r="D475" i="1"/>
  <c r="R475" i="1" s="1"/>
  <c r="M475" i="1"/>
  <c r="D476" i="1"/>
  <c r="R476" i="1" s="1"/>
  <c r="M476" i="1"/>
  <c r="D477" i="1"/>
  <c r="R477" i="1" s="1"/>
  <c r="M477" i="1"/>
  <c r="D458" i="1"/>
  <c r="R458" i="1" s="1"/>
  <c r="D464" i="1"/>
  <c r="D461" i="1"/>
  <c r="R461" i="1" s="1"/>
  <c r="J154" i="246" l="1"/>
  <c r="R154" i="246" s="1"/>
  <c r="J153" i="246"/>
  <c r="R153" i="246" s="1"/>
  <c r="J152" i="246"/>
  <c r="R152" i="246" s="1"/>
  <c r="J154" i="1"/>
  <c r="R154" i="1" s="1"/>
  <c r="J153" i="1"/>
  <c r="R153" i="1" s="1"/>
  <c r="J152" i="1"/>
  <c r="R152" i="1" s="1"/>
  <c r="R445" i="246"/>
  <c r="D480" i="246" l="1"/>
  <c r="M478" i="246"/>
  <c r="D478" i="246"/>
  <c r="R478" i="246" s="1"/>
  <c r="M477" i="246"/>
  <c r="D477" i="246"/>
  <c r="R477" i="246" s="1"/>
  <c r="M476" i="246"/>
  <c r="D476" i="246"/>
  <c r="R476" i="246" s="1"/>
  <c r="M475" i="246"/>
  <c r="D475" i="246"/>
  <c r="R475" i="246" s="1"/>
  <c r="M474" i="246"/>
  <c r="D474" i="246"/>
  <c r="D479" i="1"/>
  <c r="M474" i="1"/>
  <c r="M473" i="1"/>
  <c r="D474" i="1"/>
  <c r="R474" i="1" s="1"/>
  <c r="D473" i="1"/>
  <c r="D405" i="246" l="1"/>
  <c r="D196" i="246" l="1"/>
  <c r="D196" i="1"/>
  <c r="W703" i="246" l="1"/>
  <c r="D60" i="1" l="1"/>
  <c r="H21" i="230" l="1"/>
  <c r="J162" i="246" l="1"/>
  <c r="R162" i="246" s="1"/>
  <c r="J161" i="246"/>
  <c r="R161" i="246" s="1"/>
  <c r="J160" i="246"/>
  <c r="J159" i="246"/>
  <c r="J158" i="246"/>
  <c r="D158" i="246"/>
  <c r="C376" i="192" l="1"/>
  <c r="C375" i="192"/>
  <c r="C374" i="192"/>
  <c r="C371" i="192"/>
  <c r="C370" i="192"/>
  <c r="C369" i="192"/>
  <c r="C368" i="192"/>
  <c r="C367" i="192"/>
  <c r="C366" i="192"/>
  <c r="C352" i="192"/>
  <c r="C351" i="192"/>
  <c r="C350" i="192"/>
  <c r="C349" i="192"/>
  <c r="C348" i="192"/>
  <c r="C346" i="192"/>
  <c r="C343" i="192"/>
  <c r="C340" i="192"/>
  <c r="C333" i="192"/>
  <c r="C331" i="192"/>
  <c r="C329" i="192"/>
  <c r="C320" i="192"/>
  <c r="C317" i="192"/>
  <c r="C316" i="192"/>
  <c r="C315" i="192"/>
  <c r="C314" i="192"/>
  <c r="C313" i="192"/>
  <c r="C311" i="192"/>
  <c r="C310" i="192"/>
  <c r="C309" i="192"/>
  <c r="C308" i="192"/>
  <c r="C307" i="192"/>
  <c r="C218" i="192"/>
  <c r="C217" i="192"/>
  <c r="C216" i="192"/>
  <c r="C215" i="192"/>
  <c r="C214" i="192"/>
  <c r="C213" i="192"/>
  <c r="C212" i="192"/>
  <c r="C211" i="192"/>
  <c r="C210" i="192"/>
  <c r="C209" i="192"/>
  <c r="C208" i="192"/>
  <c r="C207" i="192"/>
  <c r="C206" i="192"/>
  <c r="C205" i="192"/>
  <c r="C204" i="192"/>
  <c r="C203" i="192"/>
  <c r="C202" i="192"/>
  <c r="C199" i="192"/>
  <c r="C198" i="192"/>
  <c r="C197" i="192"/>
  <c r="C196" i="192"/>
  <c r="C195" i="192"/>
  <c r="C194" i="192"/>
  <c r="C193" i="192"/>
  <c r="C192" i="192"/>
  <c r="C191" i="192"/>
  <c r="C190" i="192"/>
  <c r="C189" i="192"/>
  <c r="C188" i="192"/>
  <c r="C187" i="192"/>
  <c r="C186" i="192"/>
  <c r="C185" i="192"/>
  <c r="C376" i="190"/>
  <c r="C375" i="190"/>
  <c r="C374" i="190"/>
  <c r="C371" i="190"/>
  <c r="C370" i="190"/>
  <c r="C369" i="190"/>
  <c r="C368" i="190"/>
  <c r="C367" i="190"/>
  <c r="C366" i="190"/>
  <c r="C352" i="190"/>
  <c r="C351" i="190"/>
  <c r="C350" i="190"/>
  <c r="C349" i="190"/>
  <c r="C348" i="190"/>
  <c r="C346" i="190"/>
  <c r="C343" i="190"/>
  <c r="C340" i="190"/>
  <c r="C333" i="190"/>
  <c r="C331" i="190"/>
  <c r="C329" i="190"/>
  <c r="C320" i="190"/>
  <c r="C317" i="190"/>
  <c r="C316" i="190"/>
  <c r="C315" i="190"/>
  <c r="C314" i="190"/>
  <c r="C313" i="190"/>
  <c r="C311" i="190"/>
  <c r="C310" i="190"/>
  <c r="C309" i="190"/>
  <c r="C308" i="190"/>
  <c r="C307" i="190"/>
  <c r="C218" i="190"/>
  <c r="C217" i="190"/>
  <c r="C216" i="190"/>
  <c r="C215" i="190"/>
  <c r="C214" i="190"/>
  <c r="C213" i="190"/>
  <c r="C212" i="190"/>
  <c r="C211" i="190"/>
  <c r="C210" i="190"/>
  <c r="C209" i="190"/>
  <c r="C208" i="190"/>
  <c r="C207" i="190"/>
  <c r="C206" i="190"/>
  <c r="C205" i="190"/>
  <c r="C204" i="190"/>
  <c r="C203" i="190"/>
  <c r="C202" i="190"/>
  <c r="C199" i="190"/>
  <c r="C198" i="190"/>
  <c r="C197" i="190"/>
  <c r="C196" i="190"/>
  <c r="C195" i="190"/>
  <c r="C194" i="190"/>
  <c r="C193" i="190"/>
  <c r="C192" i="190"/>
  <c r="C191" i="190"/>
  <c r="C190" i="190"/>
  <c r="C189" i="190"/>
  <c r="C188" i="190"/>
  <c r="C187" i="190"/>
  <c r="C186" i="190"/>
  <c r="C185" i="190"/>
  <c r="C376" i="136"/>
  <c r="C375" i="136"/>
  <c r="C374" i="136"/>
  <c r="C371" i="136"/>
  <c r="C370" i="136"/>
  <c r="C369" i="136"/>
  <c r="C368" i="136"/>
  <c r="C367" i="136"/>
  <c r="C366" i="136"/>
  <c r="C352" i="136"/>
  <c r="C351" i="136"/>
  <c r="C350" i="136"/>
  <c r="C349" i="136"/>
  <c r="C348" i="136"/>
  <c r="C346" i="136"/>
  <c r="C343" i="136"/>
  <c r="C340" i="136"/>
  <c r="C333" i="136"/>
  <c r="C331" i="136"/>
  <c r="C329" i="136"/>
  <c r="C320" i="136"/>
  <c r="C317" i="136"/>
  <c r="C316" i="136"/>
  <c r="C315" i="136"/>
  <c r="C314" i="136"/>
  <c r="C313" i="136"/>
  <c r="C311" i="136"/>
  <c r="C310" i="136"/>
  <c r="C309" i="136"/>
  <c r="C308" i="136"/>
  <c r="C307" i="136"/>
  <c r="C218" i="136"/>
  <c r="C217" i="136"/>
  <c r="C216" i="136"/>
  <c r="C215" i="136"/>
  <c r="C214" i="136"/>
  <c r="C213" i="136"/>
  <c r="C212" i="136"/>
  <c r="C211" i="136"/>
  <c r="C210" i="136"/>
  <c r="C209" i="136"/>
  <c r="C208" i="136"/>
  <c r="C207" i="136"/>
  <c r="C206" i="136"/>
  <c r="C205" i="136"/>
  <c r="C204" i="136"/>
  <c r="C203" i="136"/>
  <c r="C202" i="136"/>
  <c r="C199" i="136"/>
  <c r="C198" i="136"/>
  <c r="C197" i="136"/>
  <c r="C196" i="136"/>
  <c r="C195" i="136"/>
  <c r="C194" i="136"/>
  <c r="C193" i="136"/>
  <c r="C192" i="136"/>
  <c r="C191" i="136"/>
  <c r="C190" i="136"/>
  <c r="C189" i="136"/>
  <c r="C188" i="136"/>
  <c r="C187" i="136"/>
  <c r="C186" i="136"/>
  <c r="C185" i="136"/>
  <c r="C256" i="4" l="1"/>
  <c r="D3285" i="246" l="1"/>
  <c r="D3284" i="246"/>
  <c r="D3283" i="246"/>
  <c r="D3282" i="246"/>
  <c r="D3281" i="246"/>
  <c r="D3280" i="246"/>
  <c r="D3279" i="246"/>
  <c r="D3278" i="246"/>
  <c r="D3277" i="246"/>
  <c r="D3276" i="246"/>
  <c r="O3246" i="246"/>
  <c r="D3240" i="246"/>
  <c r="Q3239" i="246"/>
  <c r="D3239" i="246"/>
  <c r="D3228" i="246"/>
  <c r="D3227" i="246"/>
  <c r="D3226" i="246"/>
  <c r="D3225" i="246"/>
  <c r="D3224" i="246"/>
  <c r="D3223" i="246"/>
  <c r="D3222" i="246"/>
  <c r="D3221" i="246"/>
  <c r="D3220" i="246"/>
  <c r="D3219" i="246"/>
  <c r="D3192" i="246"/>
  <c r="D3191" i="246"/>
  <c r="D3190" i="246"/>
  <c r="D3189" i="246"/>
  <c r="D3178" i="246"/>
  <c r="D3177" i="246"/>
  <c r="D3176" i="246"/>
  <c r="D3175" i="246"/>
  <c r="D3174" i="246"/>
  <c r="O3163" i="246"/>
  <c r="D3160" i="246"/>
  <c r="D3243" i="246" s="1"/>
  <c r="D3157" i="246"/>
  <c r="D3156" i="246"/>
  <c r="D3121" i="246"/>
  <c r="D3120" i="246"/>
  <c r="D3119" i="246"/>
  <c r="D3118" i="246"/>
  <c r="D3117" i="246"/>
  <c r="D3116" i="246"/>
  <c r="D3115" i="246"/>
  <c r="D3114" i="246"/>
  <c r="D3113" i="246"/>
  <c r="D3112" i="246"/>
  <c r="O3082" i="246"/>
  <c r="D3076" i="246"/>
  <c r="Q3075" i="246"/>
  <c r="D3075" i="246"/>
  <c r="D3064" i="246"/>
  <c r="D3063" i="246"/>
  <c r="D3062" i="246"/>
  <c r="D3061" i="246"/>
  <c r="D3060" i="246"/>
  <c r="D3059" i="246"/>
  <c r="D3058" i="246"/>
  <c r="D3057" i="246"/>
  <c r="D3056" i="246"/>
  <c r="D3055" i="246"/>
  <c r="D3028" i="246"/>
  <c r="D3027" i="246"/>
  <c r="D3026" i="246"/>
  <c r="D3025" i="246"/>
  <c r="D3014" i="246"/>
  <c r="D3013" i="246"/>
  <c r="D3012" i="246"/>
  <c r="D3011" i="246"/>
  <c r="D3010" i="246"/>
  <c r="O2999" i="246"/>
  <c r="D2996" i="246"/>
  <c r="D3079" i="246" s="1"/>
  <c r="D2993" i="246"/>
  <c r="D2992" i="246"/>
  <c r="D2957" i="246"/>
  <c r="D2956" i="246"/>
  <c r="D2955" i="246"/>
  <c r="D2954" i="246"/>
  <c r="D2953" i="246"/>
  <c r="D2952" i="246"/>
  <c r="D2951" i="246"/>
  <c r="D2950" i="246"/>
  <c r="D2949" i="246"/>
  <c r="D2948" i="246"/>
  <c r="O2918" i="246"/>
  <c r="D2912" i="246"/>
  <c r="Q2911" i="246"/>
  <c r="D2911" i="246"/>
  <c r="D2900" i="246"/>
  <c r="D2899" i="246"/>
  <c r="D2898" i="246"/>
  <c r="D2897" i="246"/>
  <c r="D2896" i="246"/>
  <c r="D2895" i="246"/>
  <c r="D2894" i="246"/>
  <c r="D2893" i="246"/>
  <c r="D2892" i="246"/>
  <c r="D2891" i="246"/>
  <c r="D2864" i="246"/>
  <c r="D2863" i="246"/>
  <c r="D2862" i="246"/>
  <c r="D2861" i="246"/>
  <c r="D2850" i="246"/>
  <c r="D2849" i="246"/>
  <c r="D2848" i="246"/>
  <c r="D2847" i="246"/>
  <c r="D2846" i="246"/>
  <c r="O2835" i="246"/>
  <c r="D2832" i="246"/>
  <c r="D2915" i="246" s="1"/>
  <c r="D2829" i="246"/>
  <c r="D2828" i="246"/>
  <c r="O2777" i="246"/>
  <c r="D2766" i="246"/>
  <c r="D2763" i="246"/>
  <c r="D2762" i="246"/>
  <c r="I2740" i="246"/>
  <c r="H2739" i="246"/>
  <c r="M2712" i="246"/>
  <c r="R2712" i="246" s="1"/>
  <c r="D2712" i="246"/>
  <c r="M2711" i="246"/>
  <c r="R2711" i="246" s="1"/>
  <c r="D2711" i="246"/>
  <c r="M2710" i="246"/>
  <c r="R2710" i="246" s="1"/>
  <c r="D2710" i="246"/>
  <c r="M2709" i="246"/>
  <c r="R2709" i="246" s="1"/>
  <c r="D2709" i="246"/>
  <c r="D2707" i="246"/>
  <c r="D2690" i="246"/>
  <c r="D2687" i="246"/>
  <c r="R2687" i="246" s="1"/>
  <c r="D2686" i="246"/>
  <c r="D2641" i="246"/>
  <c r="D2640" i="246"/>
  <c r="D2639" i="246"/>
  <c r="D2638" i="246"/>
  <c r="D2637" i="246"/>
  <c r="D2636" i="246"/>
  <c r="D2635" i="246"/>
  <c r="D2634" i="246"/>
  <c r="D2633" i="246"/>
  <c r="D2632" i="246"/>
  <c r="D2622" i="246"/>
  <c r="O2601" i="246"/>
  <c r="R2595" i="246"/>
  <c r="D2595" i="246"/>
  <c r="D2594" i="246"/>
  <c r="D2583" i="246"/>
  <c r="D2582" i="246"/>
  <c r="D2581" i="246"/>
  <c r="D2580" i="246"/>
  <c r="D2579" i="246"/>
  <c r="D2578" i="246"/>
  <c r="D2577" i="246"/>
  <c r="D2576" i="246"/>
  <c r="D2575" i="246"/>
  <c r="D2574" i="246"/>
  <c r="D2547" i="246"/>
  <c r="D2546" i="246"/>
  <c r="D2545" i="246"/>
  <c r="D2544" i="246"/>
  <c r="D2533" i="246"/>
  <c r="D2532" i="246"/>
  <c r="D2531" i="246"/>
  <c r="D2530" i="246"/>
  <c r="D2529" i="246"/>
  <c r="O2518" i="246"/>
  <c r="D2515" i="246"/>
  <c r="D2598" i="246" s="1"/>
  <c r="R2512" i="246"/>
  <c r="D2512" i="246"/>
  <c r="D2511" i="246"/>
  <c r="O2432" i="246"/>
  <c r="D2429" i="246"/>
  <c r="D2426" i="246"/>
  <c r="R2426" i="246" s="1"/>
  <c r="D2425" i="246"/>
  <c r="D1292" i="246"/>
  <c r="D1291" i="246"/>
  <c r="D1290" i="246"/>
  <c r="D1289" i="246"/>
  <c r="D1288" i="246"/>
  <c r="D1287" i="246"/>
  <c r="D1286" i="246"/>
  <c r="D1285" i="246"/>
  <c r="D1284" i="246"/>
  <c r="D1283" i="246"/>
  <c r="D1282" i="246"/>
  <c r="D1281" i="246"/>
  <c r="D1280" i="246"/>
  <c r="D1279" i="246"/>
  <c r="D1278" i="246"/>
  <c r="D1277" i="246"/>
  <c r="D1276" i="246"/>
  <c r="D1275" i="246"/>
  <c r="D1274" i="246"/>
  <c r="D1273" i="246"/>
  <c r="D1272" i="246"/>
  <c r="D1271" i="246"/>
  <c r="D1270" i="246"/>
  <c r="D1269" i="246"/>
  <c r="D1268" i="246"/>
  <c r="D1267" i="246"/>
  <c r="D1266" i="246"/>
  <c r="D1265" i="246"/>
  <c r="D1264" i="246"/>
  <c r="D1263" i="246"/>
  <c r="D1262" i="246"/>
  <c r="D1261" i="246"/>
  <c r="D1260" i="246"/>
  <c r="D1259" i="246"/>
  <c r="D1258" i="246"/>
  <c r="D1257" i="246"/>
  <c r="D1256" i="246"/>
  <c r="D1255" i="246"/>
  <c r="D1254" i="246"/>
  <c r="D1253" i="246"/>
  <c r="D1252" i="246"/>
  <c r="D1251" i="246"/>
  <c r="D1250" i="246"/>
  <c r="D1249" i="246"/>
  <c r="O1246" i="246"/>
  <c r="D1243" i="246"/>
  <c r="D1240" i="246"/>
  <c r="D1239" i="246"/>
  <c r="D1217" i="246"/>
  <c r="D1216" i="246"/>
  <c r="D1215" i="246"/>
  <c r="D1214" i="246"/>
  <c r="D1213" i="246"/>
  <c r="D1212" i="246"/>
  <c r="D1211" i="246"/>
  <c r="D1210" i="246"/>
  <c r="D1209" i="246"/>
  <c r="D1208" i="246"/>
  <c r="D1207" i="246"/>
  <c r="D1206" i="246"/>
  <c r="D1205" i="246"/>
  <c r="D1204" i="246"/>
  <c r="D1203" i="246"/>
  <c r="D1202" i="246"/>
  <c r="O1187" i="246"/>
  <c r="D1184" i="246"/>
  <c r="D1181" i="246"/>
  <c r="D1180" i="246"/>
  <c r="O1162" i="246"/>
  <c r="D1159" i="246"/>
  <c r="D1156" i="246"/>
  <c r="D1155" i="246"/>
  <c r="D1144" i="246"/>
  <c r="D1143" i="246"/>
  <c r="D1142" i="246"/>
  <c r="D1141" i="246"/>
  <c r="D1140" i="246"/>
  <c r="D1139" i="246"/>
  <c r="D1138" i="246"/>
  <c r="D1137" i="246"/>
  <c r="D1136" i="246"/>
  <c r="D1135" i="246"/>
  <c r="D1134" i="246"/>
  <c r="D1133" i="246"/>
  <c r="O1130" i="246"/>
  <c r="D1127" i="246"/>
  <c r="D1124" i="246"/>
  <c r="D1123" i="246"/>
  <c r="D1081" i="246"/>
  <c r="D1080" i="246"/>
  <c r="D1079" i="246"/>
  <c r="D1078" i="246"/>
  <c r="D1075" i="246"/>
  <c r="D1074" i="246"/>
  <c r="D1073" i="246"/>
  <c r="D1072" i="246"/>
  <c r="D1069" i="246"/>
  <c r="D1068" i="246"/>
  <c r="D1067" i="246"/>
  <c r="D1066" i="246"/>
  <c r="D1063" i="246"/>
  <c r="D1062" i="246"/>
  <c r="D1061" i="246"/>
  <c r="D1060" i="246"/>
  <c r="O1349" i="246"/>
  <c r="D1346" i="246"/>
  <c r="D1343" i="246"/>
  <c r="R1343" i="246" s="1"/>
  <c r="D1342" i="246"/>
  <c r="O1310" i="246"/>
  <c r="D1307" i="246"/>
  <c r="D1304" i="246"/>
  <c r="R1304" i="246" s="1"/>
  <c r="D1303" i="246"/>
  <c r="D2336" i="246"/>
  <c r="D2335" i="246"/>
  <c r="D2334" i="246"/>
  <c r="D2333" i="246"/>
  <c r="D2332" i="246"/>
  <c r="O2329" i="246"/>
  <c r="D2326" i="246"/>
  <c r="D2323" i="246"/>
  <c r="D2322" i="246"/>
  <c r="D2311" i="246"/>
  <c r="D2310" i="246"/>
  <c r="D2309" i="246"/>
  <c r="O2306" i="246"/>
  <c r="D2303" i="246"/>
  <c r="D2300" i="246"/>
  <c r="D2299" i="246"/>
  <c r="D2288" i="246"/>
  <c r="D2287" i="246"/>
  <c r="D2286" i="246"/>
  <c r="D2285" i="246"/>
  <c r="D2284" i="246"/>
  <c r="D2283" i="246"/>
  <c r="O2280" i="246"/>
  <c r="D2277" i="246"/>
  <c r="D2274" i="246"/>
  <c r="D2273" i="246"/>
  <c r="O2254" i="246"/>
  <c r="D2251" i="246"/>
  <c r="D2248" i="246"/>
  <c r="D2247" i="246"/>
  <c r="O2190" i="246"/>
  <c r="D2187" i="246"/>
  <c r="D2184" i="246"/>
  <c r="D2183" i="246"/>
  <c r="D2171" i="246"/>
  <c r="D2170" i="246"/>
  <c r="D2169" i="246"/>
  <c r="D2168" i="246"/>
  <c r="D2167" i="246"/>
  <c r="D2166" i="246"/>
  <c r="D2165" i="246"/>
  <c r="D2164" i="246"/>
  <c r="D2163" i="246"/>
  <c r="D2162" i="246"/>
  <c r="D2161" i="246"/>
  <c r="D2160" i="246"/>
  <c r="D2159" i="246"/>
  <c r="D2158" i="246"/>
  <c r="D2157" i="246"/>
  <c r="D2156" i="246"/>
  <c r="D2155" i="246"/>
  <c r="O2152" i="246"/>
  <c r="D2149" i="246"/>
  <c r="D2146" i="246"/>
  <c r="D2145" i="246"/>
  <c r="D2130" i="246"/>
  <c r="D2129" i="246"/>
  <c r="D2128" i="246"/>
  <c r="D2127" i="246"/>
  <c r="D2126" i="246"/>
  <c r="D2125" i="246"/>
  <c r="D2124" i="246"/>
  <c r="D2123" i="246"/>
  <c r="D2122" i="246"/>
  <c r="D2121" i="246"/>
  <c r="D2120" i="246"/>
  <c r="D2119" i="246"/>
  <c r="D2118" i="246"/>
  <c r="D2117" i="246"/>
  <c r="D2116" i="246"/>
  <c r="O2113" i="246"/>
  <c r="D2110" i="246"/>
  <c r="D2107" i="246"/>
  <c r="D2106" i="246"/>
  <c r="O2078" i="246"/>
  <c r="D2075" i="246"/>
  <c r="D2072" i="246"/>
  <c r="D2071" i="246"/>
  <c r="O2055" i="246"/>
  <c r="D2052" i="246"/>
  <c r="D2049" i="246"/>
  <c r="D2048" i="246"/>
  <c r="O2037" i="246"/>
  <c r="O2033" i="246"/>
  <c r="D2030" i="246"/>
  <c r="D2027" i="246"/>
  <c r="R2027" i="246" s="1"/>
  <c r="D2026" i="246"/>
  <c r="O1978" i="246"/>
  <c r="D1975" i="246"/>
  <c r="D1972" i="246"/>
  <c r="R1972" i="246" s="1"/>
  <c r="D1971" i="246"/>
  <c r="D1965" i="246"/>
  <c r="R1965" i="246" s="1"/>
  <c r="O1947" i="246"/>
  <c r="D1944" i="246"/>
  <c r="D1941" i="246"/>
  <c r="D1940" i="246"/>
  <c r="O1922" i="246"/>
  <c r="D1919" i="246"/>
  <c r="D1916" i="246"/>
  <c r="D1915" i="246"/>
  <c r="D1903" i="246"/>
  <c r="D1902" i="246"/>
  <c r="D1901" i="246"/>
  <c r="D1900" i="246"/>
  <c r="D1899" i="246"/>
  <c r="D1898" i="246"/>
  <c r="D1891" i="246"/>
  <c r="D1889" i="246"/>
  <c r="D1883" i="246"/>
  <c r="D1881" i="246"/>
  <c r="D1880" i="246"/>
  <c r="D1879" i="246"/>
  <c r="D1870" i="246"/>
  <c r="O1864" i="246"/>
  <c r="D1861" i="246"/>
  <c r="D1858" i="246"/>
  <c r="D1857" i="246"/>
  <c r="D1841" i="246"/>
  <c r="D1840" i="246"/>
  <c r="D1839" i="246"/>
  <c r="D1838" i="246"/>
  <c r="D1837" i="246"/>
  <c r="O1834" i="246"/>
  <c r="D1831" i="246"/>
  <c r="D1828" i="246"/>
  <c r="D1827" i="246"/>
  <c r="D1810" i="246"/>
  <c r="D1809" i="246"/>
  <c r="D1808" i="246"/>
  <c r="D1807" i="246"/>
  <c r="D1806" i="246"/>
  <c r="O1803" i="246"/>
  <c r="D1800" i="246"/>
  <c r="D1797" i="246"/>
  <c r="D1796" i="246"/>
  <c r="O1697" i="246"/>
  <c r="D1694" i="246"/>
  <c r="D1691" i="246"/>
  <c r="D1690" i="246"/>
  <c r="D801" i="246"/>
  <c r="D798" i="246"/>
  <c r="R798" i="246" s="1"/>
  <c r="D797" i="246"/>
  <c r="O728" i="246"/>
  <c r="D725" i="246"/>
  <c r="D722" i="246"/>
  <c r="R722" i="246" s="1"/>
  <c r="D721" i="246"/>
  <c r="B681" i="246"/>
  <c r="B692" i="246" s="1"/>
  <c r="O669" i="246"/>
  <c r="D666" i="246"/>
  <c r="D663" i="246"/>
  <c r="R663" i="246" s="1"/>
  <c r="D662" i="246"/>
  <c r="O524" i="246"/>
  <c r="D521" i="246"/>
  <c r="D518" i="246"/>
  <c r="R518" i="246" s="1"/>
  <c r="D517" i="246"/>
  <c r="O585" i="246"/>
  <c r="D582" i="246"/>
  <c r="D580" i="246"/>
  <c r="R580" i="246" s="1"/>
  <c r="D579" i="246"/>
  <c r="D469" i="246"/>
  <c r="D456" i="246"/>
  <c r="R456" i="246" s="1"/>
  <c r="D450" i="246"/>
  <c r="R408" i="246"/>
  <c r="C404" i="246"/>
  <c r="D398" i="246"/>
  <c r="D395" i="246"/>
  <c r="R395" i="246" s="1"/>
  <c r="D394" i="246"/>
  <c r="D211" i="246"/>
  <c r="M208" i="246"/>
  <c r="D208" i="246"/>
  <c r="M207" i="246"/>
  <c r="D171" i="246"/>
  <c r="R171" i="246" s="1"/>
  <c r="D170" i="246"/>
  <c r="J156" i="246"/>
  <c r="J150" i="246"/>
  <c r="R150" i="246" s="1"/>
  <c r="J149" i="246"/>
  <c r="R149" i="246" s="1"/>
  <c r="J148" i="246"/>
  <c r="R148" i="246" s="1"/>
  <c r="J147" i="246"/>
  <c r="R147" i="246" s="1"/>
  <c r="J140" i="246"/>
  <c r="R140" i="246" s="1"/>
  <c r="J139" i="246"/>
  <c r="R139" i="246" s="1"/>
  <c r="J138" i="246"/>
  <c r="J137" i="246"/>
  <c r="J135" i="246"/>
  <c r="R135" i="246" s="1"/>
  <c r="J134" i="246"/>
  <c r="R134" i="246" s="1"/>
  <c r="J133" i="246"/>
  <c r="R133" i="246" s="1"/>
  <c r="J132" i="246"/>
  <c r="R132" i="246" s="1"/>
  <c r="J131" i="246"/>
  <c r="J129" i="246"/>
  <c r="R129" i="246" s="1"/>
  <c r="J128" i="246"/>
  <c r="R128" i="246" s="1"/>
  <c r="J127" i="246"/>
  <c r="R127" i="246" s="1"/>
  <c r="J126" i="246"/>
  <c r="D115" i="246"/>
  <c r="R115" i="246" s="1"/>
  <c r="D114" i="246"/>
  <c r="R98" i="246"/>
  <c r="F98" i="246"/>
  <c r="R97" i="246"/>
  <c r="F97" i="246"/>
  <c r="R96" i="246"/>
  <c r="F96" i="246"/>
  <c r="R95" i="246"/>
  <c r="O71" i="246"/>
  <c r="D63" i="246"/>
  <c r="D60" i="246"/>
  <c r="D59" i="246"/>
  <c r="R59" i="246" s="1"/>
  <c r="D58" i="246"/>
  <c r="D20" i="246"/>
  <c r="D16" i="246"/>
  <c r="K33" i="89"/>
  <c r="C411" i="246" l="1"/>
  <c r="O73" i="246"/>
  <c r="B703" i="246"/>
  <c r="Q338" i="246" l="1"/>
  <c r="C449" i="246"/>
  <c r="J128" i="1"/>
  <c r="R128" i="1" s="1"/>
  <c r="O75" i="246" l="1"/>
  <c r="C452" i="246"/>
  <c r="C468" i="246" s="1"/>
  <c r="D171" i="1"/>
  <c r="R171" i="1" s="1"/>
  <c r="D170" i="1"/>
  <c r="C471" i="246" l="1"/>
  <c r="O73" i="1"/>
  <c r="Q394" i="246"/>
  <c r="Q461" i="246" l="1"/>
  <c r="O77" i="246" s="1"/>
  <c r="C482" i="246"/>
  <c r="C488" i="246" s="1"/>
  <c r="O75" i="1"/>
  <c r="C493" i="246" l="1"/>
  <c r="C497" i="246" s="1"/>
  <c r="V303" i="242" l="1"/>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29" i="242"/>
  <c r="U229" i="242"/>
  <c r="V228" i="242"/>
  <c r="U228" i="242"/>
  <c r="V227" i="242"/>
  <c r="U227" i="242"/>
  <c r="V226" i="242"/>
  <c r="U226" i="242"/>
  <c r="V225" i="242"/>
  <c r="U225" i="242"/>
  <c r="V224" i="242"/>
  <c r="U224" i="242"/>
  <c r="V223" i="242"/>
  <c r="U223" i="242"/>
  <c r="V222" i="242"/>
  <c r="U222" i="242"/>
  <c r="V221" i="242"/>
  <c r="U221" i="242"/>
  <c r="V220" i="242"/>
  <c r="U220" i="242"/>
  <c r="V219" i="242"/>
  <c r="U219" i="242"/>
  <c r="V218" i="242"/>
  <c r="U218" i="242"/>
  <c r="V217" i="242"/>
  <c r="U217" i="242"/>
  <c r="V216" i="242"/>
  <c r="U216" i="242"/>
  <c r="V215" i="242"/>
  <c r="U215" i="242"/>
  <c r="V214" i="242"/>
  <c r="U214" i="242"/>
  <c r="V213" i="242"/>
  <c r="U213" i="242"/>
  <c r="V212" i="242"/>
  <c r="U212" i="242"/>
  <c r="V211" i="242"/>
  <c r="U211" i="242"/>
  <c r="V210" i="242"/>
  <c r="U210" i="242"/>
  <c r="V209" i="242"/>
  <c r="U209" i="242"/>
  <c r="V198" i="242"/>
  <c r="U198" i="242"/>
  <c r="V197" i="242"/>
  <c r="U197" i="242"/>
  <c r="V196" i="242"/>
  <c r="U196" i="242"/>
  <c r="V195" i="242"/>
  <c r="U195" i="242"/>
  <c r="V194" i="242"/>
  <c r="U194" i="242"/>
  <c r="V193" i="242"/>
  <c r="U193" i="242"/>
  <c r="V192" i="242"/>
  <c r="U192" i="242"/>
  <c r="V191" i="242"/>
  <c r="U191" i="242"/>
  <c r="V190" i="242"/>
  <c r="U190" i="242"/>
  <c r="V189" i="242"/>
  <c r="U189" i="242"/>
  <c r="V188" i="242"/>
  <c r="U188" i="242"/>
  <c r="V187" i="242"/>
  <c r="U187" i="242"/>
  <c r="V186" i="242"/>
  <c r="U186" i="242"/>
  <c r="V185" i="242"/>
  <c r="U185" i="242"/>
  <c r="V184" i="242"/>
  <c r="U184" i="242"/>
  <c r="V183" i="242"/>
  <c r="U183" i="242"/>
  <c r="V182" i="242"/>
  <c r="U182" i="242"/>
  <c r="V181" i="242"/>
  <c r="U181" i="242"/>
  <c r="V180" i="242"/>
  <c r="U180" i="242"/>
  <c r="V179" i="242"/>
  <c r="U179" i="242"/>
  <c r="V178" i="242"/>
  <c r="U178" i="242"/>
  <c r="V177" i="242"/>
  <c r="U177" i="242"/>
  <c r="V176" i="242"/>
  <c r="U176" i="242"/>
  <c r="V175" i="242"/>
  <c r="U175" i="242"/>
  <c r="V174" i="242"/>
  <c r="U174" i="242"/>
  <c r="V173" i="242"/>
  <c r="U173" i="242"/>
  <c r="V172" i="242"/>
  <c r="U172" i="242"/>
  <c r="V171" i="242"/>
  <c r="U171" i="242"/>
  <c r="V170" i="242"/>
  <c r="U170" i="242"/>
  <c r="V159" i="242"/>
  <c r="U159" i="242"/>
  <c r="V158" i="242"/>
  <c r="U158" i="242"/>
  <c r="V157" i="242"/>
  <c r="U157" i="242"/>
  <c r="V156" i="242"/>
  <c r="U156" i="242"/>
  <c r="V155" i="242"/>
  <c r="U155" i="242"/>
  <c r="V154" i="242"/>
  <c r="U154" i="242"/>
  <c r="V153" i="242"/>
  <c r="U153" i="242"/>
  <c r="V152" i="242"/>
  <c r="U152" i="242"/>
  <c r="V151" i="242"/>
  <c r="U151" i="242"/>
  <c r="V150" i="242"/>
  <c r="U150" i="242"/>
  <c r="V149" i="242"/>
  <c r="U149" i="242"/>
  <c r="V148" i="242"/>
  <c r="U148" i="242"/>
  <c r="V147" i="242"/>
  <c r="U147" i="242"/>
  <c r="V146" i="242"/>
  <c r="U146"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11" i="242"/>
  <c r="U111" i="242"/>
  <c r="V110" i="242"/>
  <c r="U110" i="242"/>
  <c r="V109" i="242"/>
  <c r="U109" i="242"/>
  <c r="V108" i="242"/>
  <c r="U108" i="242"/>
  <c r="V107" i="242"/>
  <c r="U107" i="242"/>
  <c r="V106" i="242"/>
  <c r="U106" i="242"/>
  <c r="V105" i="242"/>
  <c r="U105" i="242"/>
  <c r="V104" i="242"/>
  <c r="U104" i="242"/>
  <c r="V103" i="242"/>
  <c r="U103"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AA368" i="89"/>
  <c r="AA367" i="89"/>
  <c r="AA366" i="89"/>
  <c r="AA365" i="89"/>
  <c r="AA364" i="89"/>
  <c r="AA363" i="89"/>
  <c r="AA362" i="89"/>
  <c r="AA361" i="89"/>
  <c r="AA360" i="89"/>
  <c r="AA359" i="89"/>
  <c r="AA358" i="89"/>
  <c r="AA357" i="89"/>
  <c r="AA356" i="89"/>
  <c r="AA355" i="89"/>
  <c r="AA354" i="89"/>
  <c r="AA353" i="89"/>
  <c r="AA352" i="89"/>
  <c r="AA351" i="89"/>
  <c r="AA350" i="89"/>
  <c r="AA349" i="89"/>
  <c r="AA348" i="89"/>
  <c r="AA347" i="89"/>
  <c r="AA346" i="89"/>
  <c r="AA345" i="89"/>
  <c r="AA344" i="89"/>
  <c r="AA343" i="89"/>
  <c r="AA342" i="89"/>
  <c r="AA341" i="89"/>
  <c r="AA340" i="89"/>
  <c r="AA339" i="89"/>
  <c r="AA338" i="89"/>
  <c r="AA337" i="89"/>
  <c r="AA336" i="89"/>
  <c r="AA335" i="89"/>
  <c r="AA334" i="89"/>
  <c r="AA333" i="89"/>
  <c r="AA332" i="89"/>
  <c r="AA331" i="89"/>
  <c r="AA330" i="89"/>
  <c r="AA329" i="89"/>
  <c r="AA328" i="89"/>
  <c r="AA327" i="89"/>
  <c r="AA326" i="89"/>
  <c r="AA325" i="89"/>
  <c r="AA324" i="89"/>
  <c r="AA323" i="89"/>
  <c r="AA322" i="89"/>
  <c r="AA321" i="89"/>
  <c r="AA320" i="89"/>
  <c r="AA319" i="89"/>
  <c r="AA318" i="89"/>
  <c r="AA317" i="89"/>
  <c r="AA316" i="89"/>
  <c r="AA315" i="89"/>
  <c r="AA314" i="89"/>
  <c r="AA313" i="89"/>
  <c r="AA312" i="89"/>
  <c r="AA311" i="89"/>
  <c r="AA310" i="89"/>
  <c r="AA309" i="89"/>
  <c r="AA308" i="89"/>
  <c r="AA307" i="89"/>
  <c r="AA306" i="89"/>
  <c r="AA305" i="89"/>
  <c r="AA304" i="89"/>
  <c r="AA303" i="89"/>
  <c r="AA302" i="89"/>
  <c r="AA301" i="89"/>
  <c r="AA300" i="89"/>
  <c r="AA299" i="89"/>
  <c r="AA298" i="89"/>
  <c r="AA297" i="89"/>
  <c r="AA296" i="89"/>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40" i="89"/>
  <c r="AA239" i="89"/>
  <c r="AA238" i="89"/>
  <c r="AA237" i="89"/>
  <c r="AA236" i="89"/>
  <c r="AA235" i="89"/>
  <c r="AA234" i="89"/>
  <c r="AA224" i="89"/>
  <c r="AA223" i="89"/>
  <c r="AA222" i="89"/>
  <c r="AA221" i="89"/>
  <c r="AA220" i="89"/>
  <c r="AA219" i="89"/>
  <c r="AA218" i="89"/>
  <c r="AA217" i="89"/>
  <c r="AA216" i="89"/>
  <c r="AA215" i="89"/>
  <c r="AA214" i="89"/>
  <c r="AA213" i="89"/>
  <c r="AA212" i="89"/>
  <c r="AA211" i="89"/>
  <c r="AA210" i="89"/>
  <c r="AA209" i="89"/>
  <c r="AA208" i="89"/>
  <c r="AA207" i="89"/>
  <c r="AA206" i="89"/>
  <c r="AA205" i="89"/>
  <c r="AA204" i="89"/>
  <c r="AA203" i="89"/>
  <c r="AA202" i="89"/>
  <c r="AA201" i="89"/>
  <c r="AA200" i="89"/>
  <c r="AA190" i="89"/>
  <c r="AA189" i="89"/>
  <c r="AA188" i="89"/>
  <c r="AA187" i="89"/>
  <c r="AA186" i="89"/>
  <c r="AA185" i="89"/>
  <c r="AA184" i="89"/>
  <c r="AA183" i="89"/>
  <c r="AA182" i="89"/>
  <c r="AA181"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M308"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K229" i="242"/>
  <c r="K228" i="242"/>
  <c r="K227" i="242"/>
  <c r="K226" i="242"/>
  <c r="K225" i="242"/>
  <c r="K224" i="242"/>
  <c r="K223" i="242"/>
  <c r="K222" i="242"/>
  <c r="K221" i="242"/>
  <c r="K220" i="242"/>
  <c r="K219" i="242"/>
  <c r="K218" i="242"/>
  <c r="K217" i="242"/>
  <c r="K216" i="242"/>
  <c r="K215" i="242"/>
  <c r="K214" i="242"/>
  <c r="K213" i="242"/>
  <c r="K212" i="242"/>
  <c r="K211" i="242"/>
  <c r="K210" i="242"/>
  <c r="K209" i="242"/>
  <c r="U208" i="242"/>
  <c r="K208" i="242"/>
  <c r="V208" i="242" s="1"/>
  <c r="K198" i="242"/>
  <c r="K197" i="242"/>
  <c r="K196" i="242"/>
  <c r="K195" i="242"/>
  <c r="K194" i="242"/>
  <c r="K193" i="242"/>
  <c r="K192" i="242"/>
  <c r="K191" i="242"/>
  <c r="K190" i="242"/>
  <c r="K189" i="242"/>
  <c r="K188" i="242"/>
  <c r="K187" i="242"/>
  <c r="K186" i="242"/>
  <c r="K185" i="242"/>
  <c r="K184" i="242"/>
  <c r="K183" i="242"/>
  <c r="K182" i="242"/>
  <c r="K181" i="242"/>
  <c r="K180" i="242"/>
  <c r="K179" i="242"/>
  <c r="K178" i="242"/>
  <c r="K177" i="242"/>
  <c r="K176" i="242"/>
  <c r="K175" i="242"/>
  <c r="K174" i="242"/>
  <c r="K173" i="242"/>
  <c r="K172" i="242"/>
  <c r="K171" i="242"/>
  <c r="K170" i="242"/>
  <c r="V169" i="242"/>
  <c r="U169" i="242"/>
  <c r="K169" i="242"/>
  <c r="K159" i="242"/>
  <c r="K158" i="242"/>
  <c r="K157" i="242"/>
  <c r="K156" i="242"/>
  <c r="K155" i="242"/>
  <c r="K154" i="242"/>
  <c r="K153" i="242"/>
  <c r="K152" i="242"/>
  <c r="K151" i="242"/>
  <c r="K150" i="242"/>
  <c r="K149" i="242"/>
  <c r="K148" i="242"/>
  <c r="K147" i="242"/>
  <c r="K146" i="242"/>
  <c r="K145" i="242"/>
  <c r="K144" i="242"/>
  <c r="K143" i="242"/>
  <c r="K142" i="242"/>
  <c r="K141" i="242"/>
  <c r="K140" i="242"/>
  <c r="K139" i="242"/>
  <c r="K138" i="242"/>
  <c r="K137" i="242"/>
  <c r="K136" i="242"/>
  <c r="K135" i="242"/>
  <c r="K125" i="242"/>
  <c r="K124" i="242"/>
  <c r="K123" i="242"/>
  <c r="K122" i="242"/>
  <c r="K121" i="242"/>
  <c r="K120" i="242"/>
  <c r="K119" i="242"/>
  <c r="K118" i="242"/>
  <c r="K117" i="242"/>
  <c r="K116" i="242"/>
  <c r="K115" i="242"/>
  <c r="K114" i="242"/>
  <c r="K113" i="242"/>
  <c r="K112" i="242"/>
  <c r="K111" i="242"/>
  <c r="K110" i="242"/>
  <c r="K109" i="242"/>
  <c r="K108" i="242"/>
  <c r="K107" i="242"/>
  <c r="K106" i="242"/>
  <c r="K105" i="242"/>
  <c r="K104" i="242"/>
  <c r="K103" i="242"/>
  <c r="K102" i="242"/>
  <c r="K101" i="242"/>
  <c r="K100" i="242"/>
  <c r="K99" i="242"/>
  <c r="K98" i="242"/>
  <c r="K97" i="242"/>
  <c r="K96" i="242"/>
  <c r="K95" i="242"/>
  <c r="K94" i="242"/>
  <c r="K93" i="242"/>
  <c r="K92" i="242"/>
  <c r="K91"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M15" i="242"/>
  <c r="C14" i="242"/>
  <c r="C13" i="242"/>
  <c r="C12" i="242"/>
  <c r="C11" i="242"/>
  <c r="C10" i="242"/>
  <c r="D3" i="242"/>
  <c r="C2" i="242"/>
  <c r="W370" i="89"/>
  <c r="W16" i="89" s="1"/>
  <c r="W265" i="89"/>
  <c r="W15" i="89" s="1"/>
  <c r="W226" i="89"/>
  <c r="R134" i="242" s="1"/>
  <c r="R161" i="242" s="1"/>
  <c r="R12" i="242" s="1"/>
  <c r="W192" i="89"/>
  <c r="W13" i="89" s="1"/>
  <c r="W149" i="89"/>
  <c r="R84" i="242" l="1"/>
  <c r="R10" i="242" s="1"/>
  <c r="W373" i="89"/>
  <c r="W14" i="89"/>
  <c r="W29" i="242"/>
  <c r="W55" i="242"/>
  <c r="W58" i="242"/>
  <c r="W60" i="242"/>
  <c r="W62" i="242"/>
  <c r="W64" i="242"/>
  <c r="W66" i="242"/>
  <c r="W68" i="242"/>
  <c r="W72" i="242"/>
  <c r="W147" i="242"/>
  <c r="W151" i="242"/>
  <c r="W159" i="242"/>
  <c r="W171" i="242"/>
  <c r="W175" i="242"/>
  <c r="W289" i="242"/>
  <c r="W293" i="242"/>
  <c r="W301" i="242"/>
  <c r="W30" i="242"/>
  <c r="W288" i="242"/>
  <c r="W38" i="242"/>
  <c r="W46" i="242"/>
  <c r="W54" i="242"/>
  <c r="W57" i="242"/>
  <c r="W69" i="242"/>
  <c r="W76" i="242"/>
  <c r="W98" i="242"/>
  <c r="W110" i="242"/>
  <c r="W73" i="242"/>
  <c r="W81" i="242"/>
  <c r="W91" i="242"/>
  <c r="W99" i="242"/>
  <c r="W146" i="242"/>
  <c r="W176" i="242"/>
  <c r="W178" i="242"/>
  <c r="W180" i="242"/>
  <c r="W182" i="242"/>
  <c r="W184" i="242"/>
  <c r="W186" i="242"/>
  <c r="W192" i="242"/>
  <c r="W194" i="242"/>
  <c r="W196" i="242"/>
  <c r="W198" i="242"/>
  <c r="W214" i="242"/>
  <c r="W218" i="242"/>
  <c r="W222" i="242"/>
  <c r="W224" i="242"/>
  <c r="W246" i="242"/>
  <c r="W250" i="242"/>
  <c r="W254" i="242"/>
  <c r="W256" i="242"/>
  <c r="W262" i="242"/>
  <c r="W266" i="242"/>
  <c r="W270" i="242"/>
  <c r="W272" i="242"/>
  <c r="W278" i="242"/>
  <c r="W282" i="242"/>
  <c r="W286" i="242"/>
  <c r="W183" i="242"/>
  <c r="W225" i="242"/>
  <c r="W229" i="242"/>
  <c r="W237" i="242"/>
  <c r="W241" i="242"/>
  <c r="W245" i="242"/>
  <c r="W253" i="242"/>
  <c r="W273" i="242"/>
  <c r="W277" i="242"/>
  <c r="W285" i="242"/>
  <c r="W292" i="242"/>
  <c r="W296" i="242"/>
  <c r="W300" i="242"/>
  <c r="R207" i="242"/>
  <c r="R305" i="242" s="1"/>
  <c r="R14" i="242" s="1"/>
  <c r="W12" i="89"/>
  <c r="W17" i="89" s="1"/>
  <c r="R168" i="242"/>
  <c r="R200" i="242" s="1"/>
  <c r="R13" i="242" s="1"/>
  <c r="W25" i="242"/>
  <c r="W107" i="242"/>
  <c r="W111" i="242"/>
  <c r="W115" i="242"/>
  <c r="W123" i="242"/>
  <c r="W136" i="242"/>
  <c r="W138" i="242"/>
  <c r="W140" i="242"/>
  <c r="W142" i="242"/>
  <c r="W144" i="242"/>
  <c r="W197" i="242"/>
  <c r="W26" i="242"/>
  <c r="W33" i="242"/>
  <c r="W45" i="242"/>
  <c r="W49" i="242"/>
  <c r="W116" i="242"/>
  <c r="W118" i="242"/>
  <c r="W120" i="242"/>
  <c r="W122" i="242"/>
  <c r="W124" i="242"/>
  <c r="W135" i="242"/>
  <c r="W143" i="242"/>
  <c r="W150" i="242"/>
  <c r="W170" i="242"/>
  <c r="R90" i="242"/>
  <c r="R127" i="242" s="1"/>
  <c r="R11" i="242" s="1"/>
  <c r="W63" i="242"/>
  <c r="W67" i="242"/>
  <c r="W114" i="242"/>
  <c r="W141" i="242"/>
  <c r="W174" i="242"/>
  <c r="W259" i="242"/>
  <c r="W263" i="242"/>
  <c r="W267" i="242"/>
  <c r="W271" i="242"/>
  <c r="W36" i="242"/>
  <c r="W44" i="242"/>
  <c r="W79" i="242"/>
  <c r="W97" i="242"/>
  <c r="W105" i="242"/>
  <c r="W157" i="242"/>
  <c r="W190" i="242"/>
  <c r="W35" i="242"/>
  <c r="W37" i="242"/>
  <c r="W39" i="242"/>
  <c r="W41" i="242"/>
  <c r="W47" i="242"/>
  <c r="W52" i="242"/>
  <c r="W56" i="242"/>
  <c r="W78" i="242"/>
  <c r="W80" i="242"/>
  <c r="W82" i="242"/>
  <c r="W92" i="242"/>
  <c r="W94" i="242"/>
  <c r="W100" i="242"/>
  <c r="W102" i="242"/>
  <c r="W104" i="242"/>
  <c r="W106" i="242"/>
  <c r="W108" i="242"/>
  <c r="W121" i="242"/>
  <c r="W152" i="242"/>
  <c r="W154" i="242"/>
  <c r="W156" i="242"/>
  <c r="W158" i="242"/>
  <c r="W181" i="242"/>
  <c r="W187" i="242"/>
  <c r="W191" i="242"/>
  <c r="W209" i="242"/>
  <c r="W213" i="242"/>
  <c r="W221" i="242"/>
  <c r="W228" i="242"/>
  <c r="W232" i="242"/>
  <c r="W236" i="242"/>
  <c r="W240" i="242"/>
  <c r="W28" i="242"/>
  <c r="W71" i="242"/>
  <c r="W109" i="242"/>
  <c r="W145" i="242"/>
  <c r="W185" i="242"/>
  <c r="W275" i="242"/>
  <c r="W279" i="242"/>
  <c r="W283" i="242"/>
  <c r="W287" i="242"/>
  <c r="W31" i="242"/>
  <c r="W40" i="242"/>
  <c r="W42" i="242"/>
  <c r="W51" i="242"/>
  <c r="W53" i="242"/>
  <c r="W65" i="242"/>
  <c r="W74" i="242"/>
  <c r="W93" i="242"/>
  <c r="W95" i="242"/>
  <c r="W125" i="242"/>
  <c r="W211" i="242"/>
  <c r="W215" i="242"/>
  <c r="W219" i="242"/>
  <c r="W223" i="242"/>
  <c r="W244" i="242"/>
  <c r="W248" i="242"/>
  <c r="W252" i="242"/>
  <c r="W113" i="242"/>
  <c r="W149" i="242"/>
  <c r="W173" i="242"/>
  <c r="W189" i="242"/>
  <c r="W227" i="242"/>
  <c r="W231" i="242"/>
  <c r="W235" i="242"/>
  <c r="W239" i="242"/>
  <c r="W260" i="242"/>
  <c r="W264" i="242"/>
  <c r="W268" i="242"/>
  <c r="W291" i="242"/>
  <c r="W295" i="242"/>
  <c r="W299" i="242"/>
  <c r="W303" i="242"/>
  <c r="W27" i="242"/>
  <c r="W32" i="242"/>
  <c r="W34" i="242"/>
  <c r="W43" i="242"/>
  <c r="W48" i="242"/>
  <c r="W50" i="242"/>
  <c r="W59" i="242"/>
  <c r="W61" i="242"/>
  <c r="W70" i="242"/>
  <c r="W75" i="242"/>
  <c r="W77" i="242"/>
  <c r="W96" i="242"/>
  <c r="W101" i="242"/>
  <c r="W103" i="242"/>
  <c r="W112" i="242"/>
  <c r="W117" i="242"/>
  <c r="W119" i="242"/>
  <c r="W137" i="242"/>
  <c r="W139" i="242"/>
  <c r="W148" i="242"/>
  <c r="W153" i="242"/>
  <c r="W155" i="242"/>
  <c r="W172" i="242"/>
  <c r="W177" i="242"/>
  <c r="W179" i="242"/>
  <c r="W188" i="242"/>
  <c r="W193" i="242"/>
  <c r="W195" i="242"/>
  <c r="W212" i="242"/>
  <c r="W216" i="242"/>
  <c r="W220" i="242"/>
  <c r="W230" i="242"/>
  <c r="W234" i="242"/>
  <c r="W238" i="242"/>
  <c r="W243" i="242"/>
  <c r="W247" i="242"/>
  <c r="W251" i="242"/>
  <c r="W255" i="242"/>
  <c r="W257" i="242"/>
  <c r="W261" i="242"/>
  <c r="W269" i="242"/>
  <c r="W276" i="242"/>
  <c r="W280" i="242"/>
  <c r="W284" i="242"/>
  <c r="W294" i="242"/>
  <c r="W298" i="242"/>
  <c r="W302" i="242"/>
  <c r="W210" i="242"/>
  <c r="W217" i="242"/>
  <c r="W226" i="242"/>
  <c r="W233" i="242"/>
  <c r="W242" i="242"/>
  <c r="W249" i="242"/>
  <c r="W258" i="242"/>
  <c r="W265" i="242"/>
  <c r="W274" i="242"/>
  <c r="W281" i="242"/>
  <c r="W290" i="242"/>
  <c r="W297" i="242"/>
  <c r="W169" i="242"/>
  <c r="W208" i="242"/>
  <c r="R15" i="242" l="1"/>
  <c r="G498" i="4" s="1"/>
  <c r="M2720" i="246" s="1"/>
  <c r="R308" i="242"/>
  <c r="W374" i="89"/>
  <c r="R309" i="242" l="1"/>
  <c r="M2788" i="1"/>
  <c r="R2788" i="1" s="1"/>
  <c r="K261" i="89" l="1"/>
  <c r="Z261" i="89" s="1"/>
  <c r="AB261" i="89" s="1"/>
  <c r="AC261" i="89" s="1"/>
  <c r="K260" i="89"/>
  <c r="Z260" i="89" s="1"/>
  <c r="AB260" i="89" s="1"/>
  <c r="AC260" i="89" s="1"/>
  <c r="K259" i="89"/>
  <c r="Z259" i="89" s="1"/>
  <c r="AB259" i="89" s="1"/>
  <c r="AC259" i="89" s="1"/>
  <c r="K258" i="89"/>
  <c r="Z258" i="89" s="1"/>
  <c r="AB258" i="89" s="1"/>
  <c r="AC258" i="89" s="1"/>
  <c r="K257" i="89"/>
  <c r="Z257" i="89" s="1"/>
  <c r="AB257" i="89" s="1"/>
  <c r="AC257" i="89" s="1"/>
  <c r="K256" i="89"/>
  <c r="Z256" i="89" s="1"/>
  <c r="AB256" i="89" s="1"/>
  <c r="AC256" i="89" s="1"/>
  <c r="K255" i="89"/>
  <c r="Z255" i="89" s="1"/>
  <c r="AB255" i="89" s="1"/>
  <c r="AC255" i="89" s="1"/>
  <c r="K254" i="89"/>
  <c r="Z254" i="89" s="1"/>
  <c r="AB254" i="89" s="1"/>
  <c r="AC254" i="89" s="1"/>
  <c r="K253" i="89"/>
  <c r="Z253" i="89" s="1"/>
  <c r="AB253" i="89" s="1"/>
  <c r="AC253" i="89" s="1"/>
  <c r="K252" i="89"/>
  <c r="Z252" i="89" s="1"/>
  <c r="AB252" i="89" s="1"/>
  <c r="AC252" i="89" s="1"/>
  <c r="K251" i="89"/>
  <c r="Z251" i="89" s="1"/>
  <c r="AB251" i="89" s="1"/>
  <c r="AC251" i="89" s="1"/>
  <c r="K250" i="89"/>
  <c r="Z250" i="89" s="1"/>
  <c r="AB250" i="89" s="1"/>
  <c r="AC250" i="89" s="1"/>
  <c r="K249" i="89"/>
  <c r="Z249" i="89" s="1"/>
  <c r="AB249" i="89" s="1"/>
  <c r="AC249" i="89" s="1"/>
  <c r="K248" i="89"/>
  <c r="Z248" i="89" s="1"/>
  <c r="AB248" i="89" s="1"/>
  <c r="AC248" i="89" s="1"/>
  <c r="K247" i="89"/>
  <c r="Z247" i="89" s="1"/>
  <c r="AB247" i="89" s="1"/>
  <c r="AC247" i="89" s="1"/>
  <c r="K246" i="89"/>
  <c r="Z246" i="89" s="1"/>
  <c r="AB246" i="89" s="1"/>
  <c r="AC246" i="89" s="1"/>
  <c r="K245" i="89"/>
  <c r="Z245" i="89" s="1"/>
  <c r="AB245" i="89" s="1"/>
  <c r="AC245" i="89" s="1"/>
  <c r="K244" i="89"/>
  <c r="Z244" i="89" s="1"/>
  <c r="AB244" i="89" s="1"/>
  <c r="AC244" i="89" s="1"/>
  <c r="K243" i="89"/>
  <c r="Z243" i="89" s="1"/>
  <c r="AB243" i="89" s="1"/>
  <c r="AC243" i="89" s="1"/>
  <c r="K242" i="89"/>
  <c r="Z242" i="89" s="1"/>
  <c r="AB242" i="89" s="1"/>
  <c r="AC242" i="89" s="1"/>
  <c r="K241" i="89"/>
  <c r="Z241" i="89" s="1"/>
  <c r="AB241" i="89" s="1"/>
  <c r="AC241" i="89" s="1"/>
  <c r="K240" i="89"/>
  <c r="Z240" i="89" s="1"/>
  <c r="AB240" i="89" s="1"/>
  <c r="AC240" i="89" s="1"/>
  <c r="K239" i="89"/>
  <c r="Z239" i="89" s="1"/>
  <c r="AB239" i="89" s="1"/>
  <c r="AC239" i="89" s="1"/>
  <c r="K238" i="89"/>
  <c r="Z238" i="89" s="1"/>
  <c r="AB238" i="89" s="1"/>
  <c r="AC238" i="89" s="1"/>
  <c r="K237" i="89"/>
  <c r="Z237" i="89" s="1"/>
  <c r="AB237" i="89" s="1"/>
  <c r="AC237" i="89" s="1"/>
  <c r="K236" i="89"/>
  <c r="Z236" i="89" s="1"/>
  <c r="AB236" i="89" s="1"/>
  <c r="AC236" i="89" s="1"/>
  <c r="K235" i="89"/>
  <c r="Z235" i="89" s="1"/>
  <c r="AB235" i="89" s="1"/>
  <c r="AC235" i="89" s="1"/>
  <c r="K234" i="89"/>
  <c r="K223" i="89"/>
  <c r="Z223" i="89" s="1"/>
  <c r="AB223" i="89" s="1"/>
  <c r="AC223" i="89" s="1"/>
  <c r="K222" i="89"/>
  <c r="Z222" i="89" s="1"/>
  <c r="AB222" i="89" s="1"/>
  <c r="AC222" i="89" s="1"/>
  <c r="K221" i="89"/>
  <c r="Z221" i="89" s="1"/>
  <c r="AB221" i="89" s="1"/>
  <c r="AC221" i="89" s="1"/>
  <c r="K220" i="89"/>
  <c r="Z220" i="89" s="1"/>
  <c r="AB220" i="89" s="1"/>
  <c r="AC220" i="89" s="1"/>
  <c r="K219" i="89"/>
  <c r="Z219" i="89" s="1"/>
  <c r="AB219" i="89" s="1"/>
  <c r="AC219" i="89" s="1"/>
  <c r="K218" i="89"/>
  <c r="Z218" i="89" s="1"/>
  <c r="AB218" i="89" s="1"/>
  <c r="AC218" i="89" s="1"/>
  <c r="K217" i="89"/>
  <c r="Z217" i="89" s="1"/>
  <c r="AB217" i="89" s="1"/>
  <c r="AC217" i="89" s="1"/>
  <c r="K216" i="89"/>
  <c r="Z216" i="89" s="1"/>
  <c r="AB216" i="89" s="1"/>
  <c r="AC216" i="89" s="1"/>
  <c r="K215" i="89"/>
  <c r="Z215" i="89" s="1"/>
  <c r="AB215" i="89" s="1"/>
  <c r="AC215" i="89" s="1"/>
  <c r="K214" i="89"/>
  <c r="Z214" i="89" s="1"/>
  <c r="AB214" i="89" s="1"/>
  <c r="AC214" i="89" s="1"/>
  <c r="K213" i="89"/>
  <c r="Z213" i="89" s="1"/>
  <c r="AB213" i="89" s="1"/>
  <c r="AC213" i="89" s="1"/>
  <c r="K212" i="89"/>
  <c r="Z212" i="89" s="1"/>
  <c r="AB212" i="89" s="1"/>
  <c r="AC212" i="89" s="1"/>
  <c r="K211" i="89"/>
  <c r="Z211" i="89" s="1"/>
  <c r="AB211" i="89" s="1"/>
  <c r="AC211" i="89" s="1"/>
  <c r="K210" i="89"/>
  <c r="Z210" i="89" s="1"/>
  <c r="AB210" i="89" s="1"/>
  <c r="AC210" i="89" s="1"/>
  <c r="K209" i="89"/>
  <c r="Z209" i="89" s="1"/>
  <c r="AB209" i="89" s="1"/>
  <c r="AC209" i="89" s="1"/>
  <c r="K208" i="89"/>
  <c r="Z208" i="89" s="1"/>
  <c r="AB208" i="89" s="1"/>
  <c r="AC208" i="89" s="1"/>
  <c r="K207" i="89"/>
  <c r="Z207" i="89" s="1"/>
  <c r="AB207" i="89" s="1"/>
  <c r="AC207" i="89" s="1"/>
  <c r="K206" i="89"/>
  <c r="Z206" i="89" s="1"/>
  <c r="AB206" i="89" s="1"/>
  <c r="AC206" i="89" s="1"/>
  <c r="K205" i="89"/>
  <c r="Z205" i="89" s="1"/>
  <c r="AB205" i="89" s="1"/>
  <c r="AC205" i="89" s="1"/>
  <c r="K204" i="89"/>
  <c r="K203" i="89"/>
  <c r="Z203" i="89" s="1"/>
  <c r="AB203" i="89" s="1"/>
  <c r="AC203" i="89" s="1"/>
  <c r="K202" i="89"/>
  <c r="Z202" i="89" s="1"/>
  <c r="AB202" i="89" s="1"/>
  <c r="AC202" i="89" s="1"/>
  <c r="K189" i="89"/>
  <c r="Z189" i="89" s="1"/>
  <c r="AB189" i="89" s="1"/>
  <c r="AC189" i="89" s="1"/>
  <c r="K188" i="89"/>
  <c r="Z188" i="89" s="1"/>
  <c r="AB188" i="89" s="1"/>
  <c r="AC188" i="89" s="1"/>
  <c r="K187" i="89"/>
  <c r="Z187" i="89" s="1"/>
  <c r="AB187" i="89" s="1"/>
  <c r="AC187" i="89" s="1"/>
  <c r="K186" i="89"/>
  <c r="Z186" i="89" s="1"/>
  <c r="AB186" i="89" s="1"/>
  <c r="AC186" i="89" s="1"/>
  <c r="K185" i="89"/>
  <c r="Z185" i="89" s="1"/>
  <c r="AB185" i="89" s="1"/>
  <c r="AC185" i="89" s="1"/>
  <c r="K184" i="89"/>
  <c r="Z184" i="89" s="1"/>
  <c r="AB184" i="89" s="1"/>
  <c r="AC184" i="89" s="1"/>
  <c r="K183" i="89"/>
  <c r="Z183" i="89" s="1"/>
  <c r="AB183" i="89" s="1"/>
  <c r="AC183" i="89" s="1"/>
  <c r="K182" i="89"/>
  <c r="Z182" i="89" s="1"/>
  <c r="AB182" i="89" s="1"/>
  <c r="AC182" i="89" s="1"/>
  <c r="K181" i="89"/>
  <c r="Z181" i="89" s="1"/>
  <c r="AB181" i="89" s="1"/>
  <c r="AC181" i="89" s="1"/>
  <c r="K180" i="89"/>
  <c r="Z180" i="89" s="1"/>
  <c r="AB180" i="89" s="1"/>
  <c r="AC180" i="89" s="1"/>
  <c r="K179" i="89"/>
  <c r="Z179" i="89" s="1"/>
  <c r="AB179" i="89" s="1"/>
  <c r="AC179" i="89" s="1"/>
  <c r="K178" i="89"/>
  <c r="Z178" i="89" s="1"/>
  <c r="AB178" i="89" s="1"/>
  <c r="AC178" i="89" s="1"/>
  <c r="K177" i="89"/>
  <c r="Z177" i="89" s="1"/>
  <c r="AB177" i="89" s="1"/>
  <c r="AC177" i="89" s="1"/>
  <c r="K176" i="89"/>
  <c r="Z176" i="89" s="1"/>
  <c r="AB176" i="89" s="1"/>
  <c r="AC176" i="89" s="1"/>
  <c r="K175" i="89"/>
  <c r="Z175" i="89" s="1"/>
  <c r="AB175" i="89" s="1"/>
  <c r="AC175" i="89" s="1"/>
  <c r="K174" i="89"/>
  <c r="Z174" i="89" s="1"/>
  <c r="AB174" i="89" s="1"/>
  <c r="AC174" i="89" s="1"/>
  <c r="Y370" i="89"/>
  <c r="X370" i="89"/>
  <c r="V370" i="89"/>
  <c r="T370" i="89"/>
  <c r="S370" i="89"/>
  <c r="P207" i="242" s="1"/>
  <c r="P305" i="242" s="1"/>
  <c r="R370" i="89"/>
  <c r="O207" i="242" s="1"/>
  <c r="O305" i="242" s="1"/>
  <c r="O14" i="242" s="1"/>
  <c r="Q370" i="89"/>
  <c r="N207" i="242" s="1"/>
  <c r="N305" i="242" s="1"/>
  <c r="L370" i="89"/>
  <c r="L207" i="242" s="1"/>
  <c r="L305" i="242" s="1"/>
  <c r="J370" i="89"/>
  <c r="J207" i="242" s="1"/>
  <c r="Y265" i="89"/>
  <c r="X265" i="89"/>
  <c r="V265" i="89"/>
  <c r="T265" i="89"/>
  <c r="S265" i="89"/>
  <c r="P168" i="242" s="1"/>
  <c r="P200" i="242" s="1"/>
  <c r="R265" i="89"/>
  <c r="O168" i="242" s="1"/>
  <c r="O200" i="242" s="1"/>
  <c r="O13" i="242" s="1"/>
  <c r="Q265" i="89"/>
  <c r="N168" i="242" s="1"/>
  <c r="N200" i="242" s="1"/>
  <c r="L265" i="89"/>
  <c r="L168" i="242" s="1"/>
  <c r="L200" i="242" s="1"/>
  <c r="J265" i="89"/>
  <c r="J168" i="242" s="1"/>
  <c r="Y226" i="89"/>
  <c r="X226" i="89"/>
  <c r="V226" i="89"/>
  <c r="T226" i="89"/>
  <c r="S226" i="89"/>
  <c r="P134" i="242" s="1"/>
  <c r="P161" i="242" s="1"/>
  <c r="R226" i="89"/>
  <c r="O134" i="242" s="1"/>
  <c r="O161" i="242" s="1"/>
  <c r="O12" i="242" s="1"/>
  <c r="Q226" i="89"/>
  <c r="N134" i="242" s="1"/>
  <c r="N161" i="242" s="1"/>
  <c r="L226" i="89"/>
  <c r="L134" i="242" s="1"/>
  <c r="L161" i="242" s="1"/>
  <c r="J226" i="89"/>
  <c r="J134" i="242" s="1"/>
  <c r="J161" i="242" s="1"/>
  <c r="J12" i="242" s="1"/>
  <c r="I226" i="89"/>
  <c r="I134" i="242" s="1"/>
  <c r="Y192" i="89"/>
  <c r="X192" i="89"/>
  <c r="V192" i="89"/>
  <c r="T192" i="89"/>
  <c r="S192" i="89"/>
  <c r="P90" i="242" s="1"/>
  <c r="P127" i="242" s="1"/>
  <c r="R192" i="89"/>
  <c r="O90" i="242" s="1"/>
  <c r="O127" i="242" s="1"/>
  <c r="Q192" i="89"/>
  <c r="N90" i="242" s="1"/>
  <c r="N127" i="242" s="1"/>
  <c r="L192" i="89"/>
  <c r="L90" i="242" s="1"/>
  <c r="L127" i="242" s="1"/>
  <c r="J192" i="89"/>
  <c r="J90" i="242" s="1"/>
  <c r="J127" i="242" s="1"/>
  <c r="J11" i="242" s="1"/>
  <c r="Y149" i="89"/>
  <c r="X149" i="89"/>
  <c r="V149" i="89"/>
  <c r="Q84" i="242" s="1"/>
  <c r="Q10" i="242" s="1"/>
  <c r="T149" i="89"/>
  <c r="S149" i="89"/>
  <c r="R149" i="89"/>
  <c r="Q149" i="89"/>
  <c r="L149" i="89"/>
  <c r="J149" i="89"/>
  <c r="J373" i="89" s="1"/>
  <c r="I149" i="89"/>
  <c r="Q3799" i="1"/>
  <c r="Q3635" i="1"/>
  <c r="Q3471" i="1"/>
  <c r="Q3307" i="1"/>
  <c r="Q3143" i="1"/>
  <c r="Q2979" i="1"/>
  <c r="D468" i="1"/>
  <c r="O84" i="242" l="1"/>
  <c r="O10" i="242" s="1"/>
  <c r="R373" i="89"/>
  <c r="P84" i="242"/>
  <c r="P10" i="242" s="1"/>
  <c r="S373" i="89"/>
  <c r="N84" i="242"/>
  <c r="N308" i="242" s="1"/>
  <c r="Q373" i="89"/>
  <c r="N85" i="242"/>
  <c r="L84" i="242"/>
  <c r="L85" i="242" s="1"/>
  <c r="I373" i="89"/>
  <c r="N14" i="242"/>
  <c r="N306" i="242"/>
  <c r="P14" i="242"/>
  <c r="P306" i="242"/>
  <c r="L14" i="242"/>
  <c r="L306" i="242"/>
  <c r="V12" i="89"/>
  <c r="X12" i="89"/>
  <c r="S84" i="242"/>
  <c r="S10" i="242" s="1"/>
  <c r="P12" i="242"/>
  <c r="P162" i="242"/>
  <c r="X15" i="89"/>
  <c r="S168" i="242"/>
  <c r="S200" i="242" s="1"/>
  <c r="S13" i="242" s="1"/>
  <c r="V16" i="89"/>
  <c r="Q207" i="242"/>
  <c r="Q305" i="242" s="1"/>
  <c r="Q14" i="242" s="1"/>
  <c r="N10" i="242"/>
  <c r="N13" i="242"/>
  <c r="N201" i="242"/>
  <c r="L12" i="242"/>
  <c r="L162" i="242"/>
  <c r="P13" i="242"/>
  <c r="P201" i="242"/>
  <c r="X16" i="89"/>
  <c r="S207" i="242"/>
  <c r="S305" i="242" s="1"/>
  <c r="S14" i="242" s="1"/>
  <c r="L11" i="242"/>
  <c r="L128" i="242"/>
  <c r="X14" i="89"/>
  <c r="S134" i="242"/>
  <c r="S161" i="242" s="1"/>
  <c r="S12" i="242" s="1"/>
  <c r="V15" i="89"/>
  <c r="Q168" i="242"/>
  <c r="Q200" i="242" s="1"/>
  <c r="Q13" i="242" s="1"/>
  <c r="N12" i="242"/>
  <c r="N162" i="242"/>
  <c r="V14" i="89"/>
  <c r="Q134" i="242"/>
  <c r="Q161" i="242" s="1"/>
  <c r="Q12" i="242" s="1"/>
  <c r="L201" i="242"/>
  <c r="L13" i="242"/>
  <c r="J305" i="242"/>
  <c r="J14" i="242" s="1"/>
  <c r="J200" i="242"/>
  <c r="J13" i="242" s="1"/>
  <c r="I161" i="242"/>
  <c r="K134" i="242"/>
  <c r="U134" i="242"/>
  <c r="O11" i="242"/>
  <c r="O15" i="242" s="1"/>
  <c r="X13" i="89"/>
  <c r="S90" i="242"/>
  <c r="S127" i="242" s="1"/>
  <c r="P11" i="242"/>
  <c r="P128" i="242"/>
  <c r="N11" i="242"/>
  <c r="N128" i="242"/>
  <c r="V13" i="89"/>
  <c r="Q90" i="242"/>
  <c r="Q127" i="242" s="1"/>
  <c r="U84" i="242"/>
  <c r="J84" i="242"/>
  <c r="I84" i="242"/>
  <c r="I85" i="242" s="1"/>
  <c r="K84" i="242"/>
  <c r="Z234" i="89"/>
  <c r="AB234" i="89" s="1"/>
  <c r="AC234" i="89" s="1"/>
  <c r="Z204" i="89"/>
  <c r="AB204" i="89" s="1"/>
  <c r="AC204" i="89" s="1"/>
  <c r="O308" i="242" l="1"/>
  <c r="L308" i="242"/>
  <c r="L10" i="242"/>
  <c r="P85" i="242"/>
  <c r="P308" i="242"/>
  <c r="V374" i="89"/>
  <c r="X374" i="89"/>
  <c r="L15" i="242"/>
  <c r="P15" i="242"/>
  <c r="N15" i="242"/>
  <c r="J308" i="242"/>
  <c r="O309" i="242"/>
  <c r="U161" i="242"/>
  <c r="U12" i="242" s="1"/>
  <c r="K161" i="242"/>
  <c r="K12" i="242" s="1"/>
  <c r="I12" i="242"/>
  <c r="I162" i="242"/>
  <c r="Q11" i="242"/>
  <c r="Q15" i="242" s="1"/>
  <c r="Q308" i="242"/>
  <c r="S11" i="242"/>
  <c r="S15" i="242" s="1"/>
  <c r="G503" i="4" s="1"/>
  <c r="S308" i="242"/>
  <c r="J10" i="242"/>
  <c r="J15" i="242" s="1"/>
  <c r="K10" i="242"/>
  <c r="I10" i="242"/>
  <c r="U10" i="242"/>
  <c r="P309" i="242" l="1"/>
  <c r="L309" i="242"/>
  <c r="N309" i="242"/>
  <c r="Q309" i="242"/>
  <c r="J309" i="242"/>
  <c r="G490" i="4"/>
  <c r="M2775" i="1" s="1"/>
  <c r="R2775" i="1" s="1"/>
  <c r="O2841" i="1"/>
  <c r="H503" i="4"/>
  <c r="O2775" i="246" s="1"/>
  <c r="S309" i="242"/>
  <c r="O2845" i="1"/>
  <c r="M207" i="1"/>
  <c r="M2707" i="246" l="1"/>
  <c r="R2707" i="246" s="1"/>
  <c r="O2773" i="246"/>
  <c r="O2780" i="246" s="1"/>
  <c r="O2784" i="246" s="1"/>
  <c r="M249" i="136"/>
  <c r="G249" i="136" s="1"/>
  <c r="I249" i="136" s="1"/>
  <c r="F249" i="5" s="1"/>
  <c r="K249" i="136"/>
  <c r="M247" i="136"/>
  <c r="G247" i="136" s="1"/>
  <c r="I247" i="136" s="1"/>
  <c r="F247" i="5" s="1"/>
  <c r="K247" i="136"/>
  <c r="M246" i="136"/>
  <c r="G246" i="136" s="1"/>
  <c r="K246" i="136"/>
  <c r="F246" i="136" s="1"/>
  <c r="M245" i="136"/>
  <c r="G245" i="136" s="1"/>
  <c r="I245" i="136" s="1"/>
  <c r="K245" i="136"/>
  <c r="M249" i="190"/>
  <c r="G249" i="190" s="1"/>
  <c r="I249" i="190" s="1"/>
  <c r="G249" i="5" s="1"/>
  <c r="K249" i="190"/>
  <c r="M247" i="190"/>
  <c r="G247" i="190" s="1"/>
  <c r="I247" i="190" s="1"/>
  <c r="G247" i="5" s="1"/>
  <c r="K247" i="190"/>
  <c r="M246" i="190"/>
  <c r="G246" i="190" s="1"/>
  <c r="K246" i="190"/>
  <c r="M245" i="190"/>
  <c r="G245" i="190" s="1"/>
  <c r="I245" i="190" s="1"/>
  <c r="K245" i="190"/>
  <c r="M249" i="192"/>
  <c r="G249" i="192" s="1"/>
  <c r="I249" i="192" s="1"/>
  <c r="H249" i="5" s="1"/>
  <c r="K249" i="192"/>
  <c r="M247" i="192"/>
  <c r="G247" i="192" s="1"/>
  <c r="I247" i="192" s="1"/>
  <c r="H247" i="5" s="1"/>
  <c r="K247" i="192"/>
  <c r="M246" i="192"/>
  <c r="G246" i="192" s="1"/>
  <c r="K246" i="192"/>
  <c r="M245" i="192"/>
  <c r="G245" i="192" s="1"/>
  <c r="I245" i="192" s="1"/>
  <c r="K245" i="192"/>
  <c r="P249" i="5"/>
  <c r="N249" i="5"/>
  <c r="O1678" i="1" s="1"/>
  <c r="U1678" i="1" s="1"/>
  <c r="O1674" i="1" s="1"/>
  <c r="P247" i="5"/>
  <c r="N247" i="5"/>
  <c r="O1666" i="1" s="1"/>
  <c r="U1666" i="1" s="1"/>
  <c r="P246" i="5"/>
  <c r="J246" i="5" s="1"/>
  <c r="N246" i="5"/>
  <c r="P245" i="5"/>
  <c r="J245" i="5" s="1"/>
  <c r="L245" i="5" s="1"/>
  <c r="N245" i="5"/>
  <c r="I10" i="89"/>
  <c r="K32" i="89"/>
  <c r="K31" i="89"/>
  <c r="K30" i="89"/>
  <c r="K29" i="89"/>
  <c r="K28" i="89"/>
  <c r="K27" i="89"/>
  <c r="AB10" i="89"/>
  <c r="Z10" i="89"/>
  <c r="T34" i="89"/>
  <c r="T373" i="89" s="1"/>
  <c r="L34" i="89"/>
  <c r="L373" i="89" s="1"/>
  <c r="G17" i="240"/>
  <c r="H17" i="240"/>
  <c r="H31" i="240"/>
  <c r="G31" i="240"/>
  <c r="I2808" i="1"/>
  <c r="H2807" i="1"/>
  <c r="I246" i="5" l="1"/>
  <c r="O1658" i="1"/>
  <c r="O1688" i="1"/>
  <c r="O592" i="1"/>
  <c r="F246" i="190"/>
  <c r="I246" i="190" s="1"/>
  <c r="I246" i="136"/>
  <c r="F246" i="192"/>
  <c r="I246" i="192" s="1"/>
  <c r="W2773" i="246"/>
  <c r="D2780" i="246"/>
  <c r="M2699" i="246"/>
  <c r="R2780" i="246"/>
  <c r="L246" i="5"/>
  <c r="Y10" i="89"/>
  <c r="L10" i="89"/>
  <c r="T10" i="89"/>
  <c r="AC34" i="89"/>
  <c r="K34" i="89"/>
  <c r="AA34" i="89"/>
  <c r="K10" i="89" l="1"/>
  <c r="AC10" i="89"/>
  <c r="AA10" i="89"/>
  <c r="U1658" i="1"/>
  <c r="O1683" i="1" s="1"/>
  <c r="O1654" i="1"/>
  <c r="O1664" i="1" s="1"/>
  <c r="O1592" i="246"/>
  <c r="M1658" i="1"/>
  <c r="R2820" i="246"/>
  <c r="R2787" i="246"/>
  <c r="R2784" i="246"/>
  <c r="R2812" i="246"/>
  <c r="R2805" i="246"/>
  <c r="R2779" i="246"/>
  <c r="R2810" i="246"/>
  <c r="R2776" i="246"/>
  <c r="R2761" i="246"/>
  <c r="R93" i="246" s="1"/>
  <c r="R2798" i="246"/>
  <c r="R2813" i="246"/>
  <c r="R2814" i="246"/>
  <c r="R2773" i="246"/>
  <c r="R2770" i="246"/>
  <c r="R2819" i="246"/>
  <c r="R2795" i="246"/>
  <c r="R2775" i="246"/>
  <c r="R2767" i="246"/>
  <c r="R2816" i="246"/>
  <c r="R2802" i="246"/>
  <c r="R2804" i="246"/>
  <c r="R2763" i="246"/>
  <c r="R2764" i="246"/>
  <c r="R2768" i="246"/>
  <c r="R2789" i="246"/>
  <c r="R2791" i="246"/>
  <c r="R2801" i="246"/>
  <c r="R2762" i="246"/>
  <c r="R2793" i="246"/>
  <c r="R2790" i="246"/>
  <c r="R2799" i="246"/>
  <c r="R2792" i="246"/>
  <c r="R2774" i="246"/>
  <c r="R2807" i="246"/>
  <c r="R2822" i="246"/>
  <c r="R2771" i="246"/>
  <c r="R2769" i="246"/>
  <c r="R2777" i="246"/>
  <c r="R2778" i="246"/>
  <c r="R2781" i="246"/>
  <c r="R2785" i="246"/>
  <c r="R2772" i="246"/>
  <c r="R2786" i="246"/>
  <c r="R2788" i="246"/>
  <c r="R2797" i="246"/>
  <c r="R2806" i="246"/>
  <c r="R2815" i="246"/>
  <c r="R2808" i="246"/>
  <c r="R2766" i="246"/>
  <c r="R2824" i="246"/>
  <c r="R2782" i="246"/>
  <c r="R2811" i="246"/>
  <c r="R2809" i="246"/>
  <c r="R2794" i="246"/>
  <c r="R2803" i="246"/>
  <c r="R2796" i="246"/>
  <c r="R2783" i="246"/>
  <c r="R2800" i="246"/>
  <c r="R2818" i="246"/>
  <c r="R2821" i="246"/>
  <c r="R2817" i="246"/>
  <c r="R2823" i="246"/>
  <c r="R2765" i="246"/>
  <c r="R2699" i="246"/>
  <c r="X1683" i="1" l="1"/>
  <c r="X1749" i="1"/>
  <c r="AF10" i="89"/>
  <c r="AD10" i="89"/>
  <c r="X592" i="1"/>
  <c r="S1592" i="246"/>
  <c r="O1588" i="246"/>
  <c r="O1598" i="246" s="1"/>
  <c r="S1658" i="1"/>
  <c r="V1658" i="1"/>
  <c r="M1654" i="1"/>
  <c r="G6" i="240"/>
  <c r="E3" i="240"/>
  <c r="C2" i="240"/>
  <c r="M1664" i="1" l="1"/>
  <c r="V1654" i="1"/>
  <c r="C115" i="192"/>
  <c r="C114" i="192"/>
  <c r="C113" i="192"/>
  <c r="C112" i="192"/>
  <c r="C111" i="192"/>
  <c r="C115" i="190"/>
  <c r="C114" i="190"/>
  <c r="C113" i="190"/>
  <c r="C112" i="190"/>
  <c r="C111" i="190"/>
  <c r="C115" i="136"/>
  <c r="C114" i="136"/>
  <c r="C113" i="136"/>
  <c r="C112" i="136"/>
  <c r="C111" i="136"/>
  <c r="C115" i="5"/>
  <c r="C114" i="5"/>
  <c r="C113" i="5"/>
  <c r="C112" i="5"/>
  <c r="C111" i="5"/>
  <c r="P2" i="5"/>
  <c r="D1106" i="246" l="1"/>
  <c r="D1110" i="246"/>
  <c r="D1109" i="246"/>
  <c r="D1107" i="246"/>
  <c r="D1108" i="246"/>
  <c r="D3716" i="1"/>
  <c r="D3717" i="1"/>
  <c r="D3720" i="1"/>
  <c r="D3803" i="1" s="1"/>
  <c r="O3723" i="1"/>
  <c r="D3734" i="1"/>
  <c r="D3735" i="1"/>
  <c r="D3736" i="1"/>
  <c r="D3737" i="1"/>
  <c r="D3738" i="1"/>
  <c r="D3749" i="1"/>
  <c r="D3750" i="1"/>
  <c r="D3751" i="1"/>
  <c r="D3752" i="1"/>
  <c r="D3779" i="1"/>
  <c r="D3780" i="1"/>
  <c r="D3781" i="1"/>
  <c r="D3782" i="1"/>
  <c r="D3783" i="1"/>
  <c r="D3784" i="1"/>
  <c r="D3785" i="1"/>
  <c r="D3786" i="1"/>
  <c r="D3787" i="1"/>
  <c r="D3788" i="1"/>
  <c r="D3799" i="1"/>
  <c r="D3800" i="1"/>
  <c r="O3806" i="1"/>
  <c r="D3836" i="1"/>
  <c r="D3837" i="1"/>
  <c r="D3838" i="1"/>
  <c r="D3839" i="1"/>
  <c r="D3840" i="1"/>
  <c r="D3841" i="1"/>
  <c r="D3842" i="1"/>
  <c r="D3843" i="1"/>
  <c r="D3844" i="1"/>
  <c r="D3845" i="1"/>
  <c r="D3552" i="1"/>
  <c r="D3553" i="1"/>
  <c r="D3556" i="1"/>
  <c r="D3639" i="1" s="1"/>
  <c r="M3559" i="1"/>
  <c r="D3570" i="1"/>
  <c r="D3571" i="1"/>
  <c r="D3572" i="1"/>
  <c r="D3573" i="1"/>
  <c r="D3574" i="1"/>
  <c r="D3585" i="1"/>
  <c r="D3586" i="1"/>
  <c r="D3587" i="1"/>
  <c r="D3588" i="1"/>
  <c r="D3615" i="1"/>
  <c r="D3616" i="1"/>
  <c r="D3617" i="1"/>
  <c r="D3618" i="1"/>
  <c r="D3619" i="1"/>
  <c r="D3620" i="1"/>
  <c r="D3621" i="1"/>
  <c r="D3622" i="1"/>
  <c r="D3623" i="1"/>
  <c r="D3624" i="1"/>
  <c r="D3635" i="1"/>
  <c r="D3636" i="1"/>
  <c r="M3642" i="1"/>
  <c r="D3672" i="1"/>
  <c r="D3673" i="1"/>
  <c r="D3674" i="1"/>
  <c r="D3675" i="1"/>
  <c r="D3676" i="1"/>
  <c r="D3677" i="1"/>
  <c r="D3678" i="1"/>
  <c r="D3679" i="1"/>
  <c r="D3680" i="1"/>
  <c r="D3681" i="1"/>
  <c r="K5" i="190"/>
  <c r="K10" i="190"/>
  <c r="K11" i="190"/>
  <c r="K12" i="190"/>
  <c r="K13" i="190"/>
  <c r="K14" i="190"/>
  <c r="K15" i="190"/>
  <c r="K16" i="190"/>
  <c r="K17" i="190"/>
  <c r="O3241" i="1" s="1"/>
  <c r="K18" i="190"/>
  <c r="O3242" i="1" s="1"/>
  <c r="K19" i="190"/>
  <c r="O3243" i="1" s="1"/>
  <c r="K20" i="190"/>
  <c r="O3244" i="1" s="1"/>
  <c r="K21" i="190"/>
  <c r="O3245" i="1" s="1"/>
  <c r="K22" i="190"/>
  <c r="O3246" i="1" s="1"/>
  <c r="K23" i="190"/>
  <c r="K24" i="190"/>
  <c r="K25" i="190"/>
  <c r="K26" i="190"/>
  <c r="K27" i="190"/>
  <c r="K28" i="190"/>
  <c r="O3256" i="1" s="1"/>
  <c r="K29" i="190"/>
  <c r="O3257" i="1" s="1"/>
  <c r="K30" i="190"/>
  <c r="O3258" i="1" s="1"/>
  <c r="K31" i="190"/>
  <c r="O3259" i="1" s="1"/>
  <c r="K32" i="190"/>
  <c r="O3260" i="1" s="1"/>
  <c r="K34" i="190"/>
  <c r="K35" i="190"/>
  <c r="K36" i="190"/>
  <c r="K37" i="190"/>
  <c r="K38" i="190"/>
  <c r="K39" i="190"/>
  <c r="K40" i="190"/>
  <c r="O3270" i="1" s="1"/>
  <c r="K41" i="190"/>
  <c r="O3271" i="1" s="1"/>
  <c r="K42" i="190"/>
  <c r="O3272" i="1" s="1"/>
  <c r="K43" i="190"/>
  <c r="K44" i="190"/>
  <c r="K45" i="190"/>
  <c r="K46" i="190"/>
  <c r="K47" i="190"/>
  <c r="O3274" i="1" s="1"/>
  <c r="K48" i="190"/>
  <c r="O3275" i="1" s="1"/>
  <c r="K49" i="190"/>
  <c r="O3276" i="1" s="1"/>
  <c r="K50" i="190"/>
  <c r="O3277" i="1" s="1"/>
  <c r="K51" i="190"/>
  <c r="K52" i="190"/>
  <c r="K53" i="190"/>
  <c r="O3279" i="1" s="1"/>
  <c r="K54" i="190"/>
  <c r="K55" i="190"/>
  <c r="K56" i="190"/>
  <c r="K57" i="190"/>
  <c r="K58" i="190"/>
  <c r="K59" i="190"/>
  <c r="K60" i="190"/>
  <c r="K61" i="190"/>
  <c r="K62" i="190"/>
  <c r="K63" i="190"/>
  <c r="K64" i="190"/>
  <c r="O3282" i="1" s="1"/>
  <c r="K65" i="190"/>
  <c r="K66" i="190"/>
  <c r="K67" i="190"/>
  <c r="K68" i="190"/>
  <c r="K69" i="190"/>
  <c r="K70" i="190"/>
  <c r="O3285" i="1" s="1"/>
  <c r="K71" i="190"/>
  <c r="O3286" i="1" s="1"/>
  <c r="K72" i="190"/>
  <c r="O3287" i="1" s="1"/>
  <c r="K73" i="190"/>
  <c r="O3288" i="1" s="1"/>
  <c r="K74" i="190"/>
  <c r="O3289" i="1" s="1"/>
  <c r="K75" i="190"/>
  <c r="O3290" i="1" s="1"/>
  <c r="K76" i="190"/>
  <c r="O3291" i="1" s="1"/>
  <c r="K77" i="190"/>
  <c r="O3292" i="1" s="1"/>
  <c r="K78" i="190"/>
  <c r="O3293" i="1" s="1"/>
  <c r="K79" i="190"/>
  <c r="O3294" i="1" s="1"/>
  <c r="K80" i="190"/>
  <c r="O3295" i="1" s="1"/>
  <c r="K81" i="190"/>
  <c r="O3296" i="1" s="1"/>
  <c r="K82" i="190"/>
  <c r="K83" i="190"/>
  <c r="O3368" i="1" s="1"/>
  <c r="K84" i="190"/>
  <c r="K85" i="190"/>
  <c r="K86" i="190"/>
  <c r="K87" i="190"/>
  <c r="K88" i="190"/>
  <c r="K89" i="190"/>
  <c r="K90" i="190"/>
  <c r="K92" i="190"/>
  <c r="K93" i="190"/>
  <c r="K94" i="190"/>
  <c r="O3363" i="1" s="1"/>
  <c r="K95" i="190"/>
  <c r="O3366" i="1" s="1"/>
  <c r="K97" i="190"/>
  <c r="K98" i="190"/>
  <c r="K99" i="190"/>
  <c r="K100" i="190"/>
  <c r="K101" i="190"/>
  <c r="K102" i="190"/>
  <c r="O3324" i="1" s="1"/>
  <c r="K103" i="190"/>
  <c r="O3323" i="1" s="1"/>
  <c r="K104" i="190"/>
  <c r="O3325" i="1" s="1"/>
  <c r="K105" i="190"/>
  <c r="O3326" i="1" s="1"/>
  <c r="K106" i="190"/>
  <c r="O3327" i="1" s="1"/>
  <c r="K107" i="190"/>
  <c r="K108" i="190"/>
  <c r="K109" i="190"/>
  <c r="K110" i="190"/>
  <c r="K111" i="190"/>
  <c r="K112" i="190"/>
  <c r="K113" i="190"/>
  <c r="K114" i="190"/>
  <c r="K115" i="190"/>
  <c r="K116" i="190"/>
  <c r="O3330" i="1" s="1"/>
  <c r="K117" i="190"/>
  <c r="O3331" i="1" s="1"/>
  <c r="K118" i="190"/>
  <c r="O3332" i="1" s="1"/>
  <c r="K119" i="190"/>
  <c r="O3333" i="1" s="1"/>
  <c r="K120" i="190"/>
  <c r="K121" i="190"/>
  <c r="K122" i="190"/>
  <c r="O3337" i="1" s="1"/>
  <c r="K123" i="190"/>
  <c r="O3338" i="1" s="1"/>
  <c r="K124" i="190"/>
  <c r="K125" i="190"/>
  <c r="K126" i="190"/>
  <c r="O3341" i="1" s="1"/>
  <c r="K127" i="190"/>
  <c r="O3342" i="1" s="1"/>
  <c r="K128" i="190"/>
  <c r="O3343" i="1" s="1"/>
  <c r="K129" i="190"/>
  <c r="O3344" i="1" s="1"/>
  <c r="K130" i="190"/>
  <c r="O3345" i="1" s="1"/>
  <c r="K131" i="190"/>
  <c r="O3346" i="1" s="1"/>
  <c r="K132" i="190"/>
  <c r="O3347" i="1" s="1"/>
  <c r="K133" i="190"/>
  <c r="O3348" i="1" s="1"/>
  <c r="K134" i="190"/>
  <c r="O3349" i="1" s="1"/>
  <c r="K135" i="190"/>
  <c r="O3350" i="1" s="1"/>
  <c r="K136" i="190"/>
  <c r="O3351" i="1" s="1"/>
  <c r="K137" i="190"/>
  <c r="O3352" i="1" s="1"/>
  <c r="K138" i="190"/>
  <c r="O3353" i="1" s="1"/>
  <c r="K140" i="190"/>
  <c r="K141" i="190"/>
  <c r="K142" i="190"/>
  <c r="K143" i="190"/>
  <c r="K144" i="190"/>
  <c r="K145" i="190"/>
  <c r="K146" i="190"/>
  <c r="K147" i="190"/>
  <c r="K148" i="190"/>
  <c r="K149" i="190"/>
  <c r="K150" i="190"/>
  <c r="K151" i="190"/>
  <c r="K152" i="190"/>
  <c r="K153" i="190"/>
  <c r="K154" i="190"/>
  <c r="O3334" i="1" s="1"/>
  <c r="K156" i="190"/>
  <c r="K157" i="190"/>
  <c r="K158" i="190"/>
  <c r="K159" i="190"/>
  <c r="K160" i="190"/>
  <c r="K5" i="136"/>
  <c r="K10" i="136"/>
  <c r="K11" i="136"/>
  <c r="O2907" i="1" s="1"/>
  <c r="U2907" i="1" s="1"/>
  <c r="K12" i="136"/>
  <c r="K13" i="136"/>
  <c r="K14" i="136"/>
  <c r="K15" i="136"/>
  <c r="K16" i="136"/>
  <c r="K17" i="136"/>
  <c r="O2913" i="1" s="1"/>
  <c r="K18" i="136"/>
  <c r="O2914" i="1" s="1"/>
  <c r="K19" i="136"/>
  <c r="O2915" i="1" s="1"/>
  <c r="K20" i="136"/>
  <c r="O2916" i="1" s="1"/>
  <c r="K21" i="136"/>
  <c r="O2917" i="1" s="1"/>
  <c r="K22" i="136"/>
  <c r="O2918" i="1" s="1"/>
  <c r="K23" i="136"/>
  <c r="K24" i="136"/>
  <c r="K25" i="136"/>
  <c r="K26" i="136"/>
  <c r="K27" i="136"/>
  <c r="K28" i="136"/>
  <c r="O2928" i="1" s="1"/>
  <c r="K29" i="136"/>
  <c r="O2929" i="1" s="1"/>
  <c r="K30" i="136"/>
  <c r="O2930" i="1" s="1"/>
  <c r="K31" i="136"/>
  <c r="O2931" i="1" s="1"/>
  <c r="K32" i="136"/>
  <c r="O2932" i="1" s="1"/>
  <c r="K34" i="136"/>
  <c r="K35" i="136"/>
  <c r="K36" i="136"/>
  <c r="K37" i="136"/>
  <c r="K38" i="136"/>
  <c r="K39" i="136"/>
  <c r="K40" i="136"/>
  <c r="O2942" i="1" s="1"/>
  <c r="K41" i="136"/>
  <c r="O2943" i="1" s="1"/>
  <c r="K42" i="136"/>
  <c r="O2944" i="1" s="1"/>
  <c r="K43" i="136"/>
  <c r="K44" i="136"/>
  <c r="K45" i="136"/>
  <c r="K46" i="136"/>
  <c r="K47" i="136"/>
  <c r="O2946" i="1" s="1"/>
  <c r="K48" i="136"/>
  <c r="O2947" i="1" s="1"/>
  <c r="K49" i="136"/>
  <c r="O2948" i="1" s="1"/>
  <c r="K50" i="136"/>
  <c r="O2949" i="1" s="1"/>
  <c r="K51" i="136"/>
  <c r="K52" i="136"/>
  <c r="K53" i="136"/>
  <c r="O2951" i="1" s="1"/>
  <c r="K54" i="136"/>
  <c r="K55" i="136"/>
  <c r="K56" i="136"/>
  <c r="K57" i="136"/>
  <c r="K58" i="136"/>
  <c r="K59" i="136"/>
  <c r="K60" i="136"/>
  <c r="K61" i="136"/>
  <c r="K62" i="136"/>
  <c r="K63" i="136"/>
  <c r="K64" i="136"/>
  <c r="O2954" i="1" s="1"/>
  <c r="K65" i="136"/>
  <c r="K66" i="136"/>
  <c r="K67" i="136"/>
  <c r="K68" i="136"/>
  <c r="K69" i="136"/>
  <c r="K70" i="136"/>
  <c r="O2957" i="1" s="1"/>
  <c r="K71" i="136"/>
  <c r="O2958" i="1" s="1"/>
  <c r="K72" i="136"/>
  <c r="O2959" i="1" s="1"/>
  <c r="K73" i="136"/>
  <c r="O2960" i="1" s="1"/>
  <c r="K74" i="136"/>
  <c r="O2961" i="1" s="1"/>
  <c r="K75" i="136"/>
  <c r="O2962" i="1" s="1"/>
  <c r="K76" i="136"/>
  <c r="O2963" i="1" s="1"/>
  <c r="K77" i="136"/>
  <c r="O2964" i="1" s="1"/>
  <c r="K78" i="136"/>
  <c r="O2965" i="1" s="1"/>
  <c r="K79" i="136"/>
  <c r="O2966" i="1" s="1"/>
  <c r="K80" i="136"/>
  <c r="O2967" i="1" s="1"/>
  <c r="K81" i="136"/>
  <c r="O2968" i="1" s="1"/>
  <c r="K82" i="136"/>
  <c r="K83" i="136"/>
  <c r="O3040" i="1" s="1"/>
  <c r="K84" i="136"/>
  <c r="K85" i="136"/>
  <c r="K86" i="136"/>
  <c r="K87" i="136"/>
  <c r="K88" i="136"/>
  <c r="K89" i="136"/>
  <c r="K90" i="136"/>
  <c r="K92" i="136"/>
  <c r="K93" i="136"/>
  <c r="O3008" i="1" s="1"/>
  <c r="K94" i="136"/>
  <c r="O3035" i="1" s="1"/>
  <c r="K95" i="136"/>
  <c r="O3038" i="1" s="1"/>
  <c r="K97" i="136"/>
  <c r="K98" i="136"/>
  <c r="K99" i="136"/>
  <c r="K100" i="136"/>
  <c r="K101" i="136"/>
  <c r="K102" i="136"/>
  <c r="O2996" i="1" s="1"/>
  <c r="K103" i="136"/>
  <c r="O2995" i="1" s="1"/>
  <c r="K104" i="136"/>
  <c r="O2997" i="1" s="1"/>
  <c r="K105" i="136"/>
  <c r="O2998" i="1" s="1"/>
  <c r="K106" i="136"/>
  <c r="O2999" i="1" s="1"/>
  <c r="K107" i="136"/>
  <c r="K108" i="136"/>
  <c r="K109" i="136"/>
  <c r="K110" i="136"/>
  <c r="K111" i="136"/>
  <c r="K112" i="136"/>
  <c r="K113" i="136"/>
  <c r="K114" i="136"/>
  <c r="K115" i="136"/>
  <c r="K116" i="136"/>
  <c r="O3002" i="1" s="1"/>
  <c r="K117" i="136"/>
  <c r="O3003" i="1" s="1"/>
  <c r="K118" i="136"/>
  <c r="O3004" i="1" s="1"/>
  <c r="K119" i="136"/>
  <c r="O3005" i="1" s="1"/>
  <c r="K120" i="136"/>
  <c r="K121" i="136"/>
  <c r="K122" i="136"/>
  <c r="O3009" i="1" s="1"/>
  <c r="K123" i="136"/>
  <c r="O3010" i="1" s="1"/>
  <c r="K124" i="136"/>
  <c r="K125" i="136"/>
  <c r="K126" i="136"/>
  <c r="O3013" i="1" s="1"/>
  <c r="K127" i="136"/>
  <c r="O3014" i="1" s="1"/>
  <c r="K128" i="136"/>
  <c r="O3015" i="1" s="1"/>
  <c r="K129" i="136"/>
  <c r="O3016" i="1" s="1"/>
  <c r="K130" i="136"/>
  <c r="K131" i="136"/>
  <c r="O3018" i="1" s="1"/>
  <c r="K132" i="136"/>
  <c r="O3019" i="1" s="1"/>
  <c r="K133" i="136"/>
  <c r="O3020" i="1" s="1"/>
  <c r="K134" i="136"/>
  <c r="O3021" i="1" s="1"/>
  <c r="K135" i="136"/>
  <c r="O3022" i="1" s="1"/>
  <c r="K136" i="136"/>
  <c r="O3023" i="1" s="1"/>
  <c r="K137" i="136"/>
  <c r="O3024" i="1" s="1"/>
  <c r="K138" i="136"/>
  <c r="O3025" i="1" s="1"/>
  <c r="K140" i="136"/>
  <c r="K141" i="136"/>
  <c r="K142" i="136"/>
  <c r="K143" i="136"/>
  <c r="K144" i="136"/>
  <c r="K145" i="136"/>
  <c r="K146" i="136"/>
  <c r="K147" i="136"/>
  <c r="K148" i="136"/>
  <c r="K149" i="136"/>
  <c r="K150" i="136"/>
  <c r="K151" i="136"/>
  <c r="K152" i="136"/>
  <c r="K153" i="136"/>
  <c r="K154" i="136"/>
  <c r="O3006" i="1" s="1"/>
  <c r="K156" i="136"/>
  <c r="K157" i="136"/>
  <c r="K158" i="136"/>
  <c r="D3388" i="1"/>
  <c r="D3389" i="1"/>
  <c r="D3392" i="1"/>
  <c r="D3475" i="1" s="1"/>
  <c r="O3395" i="1"/>
  <c r="D3406" i="1"/>
  <c r="D3407" i="1"/>
  <c r="D3408" i="1"/>
  <c r="D3409" i="1"/>
  <c r="D3410" i="1"/>
  <c r="D3421" i="1"/>
  <c r="D3422" i="1"/>
  <c r="D3423" i="1"/>
  <c r="D3424" i="1"/>
  <c r="D3451" i="1"/>
  <c r="D3452" i="1"/>
  <c r="D3453" i="1"/>
  <c r="D3454" i="1"/>
  <c r="D3455" i="1"/>
  <c r="D3456" i="1"/>
  <c r="D3457" i="1"/>
  <c r="D3458" i="1"/>
  <c r="D3459" i="1"/>
  <c r="D3460" i="1"/>
  <c r="D3471" i="1"/>
  <c r="D3472" i="1"/>
  <c r="O3478" i="1"/>
  <c r="D3508" i="1"/>
  <c r="D3509" i="1"/>
  <c r="D3510" i="1"/>
  <c r="D3511" i="1"/>
  <c r="D3512" i="1"/>
  <c r="D3513" i="1"/>
  <c r="D3514" i="1"/>
  <c r="D3515" i="1"/>
  <c r="D3516" i="1"/>
  <c r="D3517" i="1"/>
  <c r="D3224" i="1"/>
  <c r="D3225" i="1"/>
  <c r="D3228" i="1"/>
  <c r="D3311" i="1" s="1"/>
  <c r="M3231" i="1"/>
  <c r="D3242" i="1"/>
  <c r="D3243" i="1"/>
  <c r="D3244" i="1"/>
  <c r="D3245" i="1"/>
  <c r="D3246" i="1"/>
  <c r="D3257" i="1"/>
  <c r="D3258" i="1"/>
  <c r="D3259" i="1"/>
  <c r="D3260" i="1"/>
  <c r="D3287" i="1"/>
  <c r="D3288" i="1"/>
  <c r="D3289" i="1"/>
  <c r="D3290" i="1"/>
  <c r="D3291" i="1"/>
  <c r="D3292" i="1"/>
  <c r="D3293" i="1"/>
  <c r="D3294" i="1"/>
  <c r="D3295" i="1"/>
  <c r="D3296" i="1"/>
  <c r="D3307" i="1"/>
  <c r="D3308" i="1"/>
  <c r="M3314" i="1"/>
  <c r="D3344" i="1"/>
  <c r="D3345" i="1"/>
  <c r="D3346" i="1"/>
  <c r="D3347" i="1"/>
  <c r="D3348" i="1"/>
  <c r="D3349" i="1"/>
  <c r="D3350" i="1"/>
  <c r="D3351" i="1"/>
  <c r="D3352" i="1"/>
  <c r="D3353" i="1"/>
  <c r="D3060" i="1"/>
  <c r="D3061" i="1"/>
  <c r="D3064" i="1"/>
  <c r="D3147" i="1" s="1"/>
  <c r="O3067" i="1"/>
  <c r="D3078" i="1"/>
  <c r="D3079" i="1"/>
  <c r="D3080" i="1"/>
  <c r="D3081" i="1"/>
  <c r="D3082" i="1"/>
  <c r="D3093" i="1"/>
  <c r="D3094" i="1"/>
  <c r="D3095" i="1"/>
  <c r="D3096" i="1"/>
  <c r="D3123" i="1"/>
  <c r="D3124" i="1"/>
  <c r="D3125" i="1"/>
  <c r="D3126" i="1"/>
  <c r="D3127" i="1"/>
  <c r="D3128" i="1"/>
  <c r="D3129" i="1"/>
  <c r="D3130" i="1"/>
  <c r="D3131" i="1"/>
  <c r="D3132" i="1"/>
  <c r="D3143" i="1"/>
  <c r="D3144" i="1"/>
  <c r="O3150" i="1"/>
  <c r="D3180" i="1"/>
  <c r="D3181" i="1"/>
  <c r="D3182" i="1"/>
  <c r="D3183" i="1"/>
  <c r="D3184" i="1"/>
  <c r="D3185" i="1"/>
  <c r="D3186" i="1"/>
  <c r="D3187" i="1"/>
  <c r="D3188" i="1"/>
  <c r="D3189" i="1"/>
  <c r="D2896" i="1"/>
  <c r="D2897" i="1"/>
  <c r="D2900" i="1"/>
  <c r="D2983" i="1" s="1"/>
  <c r="M2903" i="1"/>
  <c r="D2914" i="1"/>
  <c r="D2915" i="1"/>
  <c r="D2916" i="1"/>
  <c r="D2917" i="1"/>
  <c r="D2918" i="1"/>
  <c r="D2929" i="1"/>
  <c r="D2930" i="1"/>
  <c r="D2931" i="1"/>
  <c r="D2932" i="1"/>
  <c r="D2959" i="1"/>
  <c r="D2960" i="1"/>
  <c r="D2961" i="1"/>
  <c r="D2962" i="1"/>
  <c r="D2963" i="1"/>
  <c r="D2964" i="1"/>
  <c r="D2965" i="1"/>
  <c r="D2966" i="1"/>
  <c r="D2967" i="1"/>
  <c r="D2968" i="1"/>
  <c r="D2979" i="1"/>
  <c r="D2980" i="1"/>
  <c r="M2986" i="1"/>
  <c r="D3016" i="1"/>
  <c r="D3017" i="1"/>
  <c r="D3018" i="1"/>
  <c r="D3019" i="1"/>
  <c r="D3020" i="1"/>
  <c r="D3021" i="1"/>
  <c r="D3022" i="1"/>
  <c r="D3023" i="1"/>
  <c r="D3024" i="1"/>
  <c r="D3025" i="1"/>
  <c r="O3253" i="1" l="1"/>
  <c r="U3253" i="1" s="1"/>
  <c r="O2925" i="1"/>
  <c r="U2925" i="1" s="1"/>
  <c r="O3001" i="1"/>
  <c r="O3000" i="1"/>
  <c r="O3036" i="1"/>
  <c r="U2905" i="1"/>
  <c r="O2950" i="1"/>
  <c r="O3283" i="1"/>
  <c r="O3233" i="1"/>
  <c r="U3233" i="1" s="1"/>
  <c r="O3278" i="1"/>
  <c r="O3235" i="1"/>
  <c r="U3235" i="1" s="1"/>
  <c r="O3037" i="1"/>
  <c r="O2955" i="1"/>
  <c r="O2953" i="1"/>
  <c r="O2956" i="1"/>
  <c r="O2952" i="1"/>
  <c r="O3012" i="1"/>
  <c r="O3007" i="1"/>
  <c r="O3328" i="1"/>
  <c r="O3322" i="1"/>
  <c r="O3365" i="1"/>
  <c r="O3284" i="1"/>
  <c r="O3280" i="1"/>
  <c r="O3273" i="1"/>
  <c r="O3375" i="1"/>
  <c r="U3375" i="1" s="1"/>
  <c r="O3367" i="1"/>
  <c r="O3329" i="1"/>
  <c r="O3247" i="1"/>
  <c r="O3336" i="1"/>
  <c r="O3340" i="1"/>
  <c r="O3335" i="1"/>
  <c r="O3364" i="1"/>
  <c r="O3281" i="1"/>
  <c r="O3240" i="1"/>
  <c r="O3047" i="1"/>
  <c r="U3047" i="1" s="1"/>
  <c r="O2945" i="1"/>
  <c r="O2912" i="1"/>
  <c r="O2994" i="1"/>
  <c r="O2919" i="1"/>
  <c r="O3017" i="1"/>
  <c r="O3039" i="1"/>
  <c r="K162" i="190"/>
  <c r="K163" i="190"/>
  <c r="K164" i="190"/>
  <c r="K159" i="136"/>
  <c r="K160" i="136"/>
  <c r="K162" i="136"/>
  <c r="K163" i="136"/>
  <c r="K164" i="136"/>
  <c r="O2909" i="1" l="1"/>
  <c r="O3032" i="1"/>
  <c r="U3032" i="1" s="1"/>
  <c r="O2939" i="1"/>
  <c r="U2939" i="1" s="1"/>
  <c r="O3267" i="1"/>
  <c r="U3267" i="1" s="1"/>
  <c r="O3360" i="1"/>
  <c r="U3360" i="1" s="1"/>
  <c r="O2991" i="1"/>
  <c r="U2991" i="1" s="1"/>
  <c r="U2909" i="1"/>
  <c r="O2923" i="1" s="1"/>
  <c r="O3237" i="1"/>
  <c r="U3237" i="1" s="1"/>
  <c r="O3319" i="1"/>
  <c r="U3319" i="1" s="1"/>
  <c r="O3251" i="1" l="1"/>
  <c r="O3045" i="1"/>
  <c r="O2937" i="1"/>
  <c r="O2988" i="1"/>
  <c r="O3030" i="1"/>
  <c r="O3378" i="1"/>
  <c r="O2972" i="1"/>
  <c r="O3358" i="1"/>
  <c r="O3373" i="1"/>
  <c r="O3316" i="1"/>
  <c r="O3300" i="1"/>
  <c r="O3265" i="1"/>
  <c r="O3050" i="1"/>
  <c r="X2988" i="1" l="1"/>
  <c r="X3316" i="1"/>
  <c r="M106" i="192"/>
  <c r="G106" i="192" s="1"/>
  <c r="I106" i="192" s="1"/>
  <c r="O3259" i="246" s="1"/>
  <c r="K106" i="192"/>
  <c r="O3655" i="1" s="1"/>
  <c r="M106" i="190"/>
  <c r="G106" i="190" s="1"/>
  <c r="I106" i="190" s="1"/>
  <c r="O3095" i="246" s="1"/>
  <c r="M106" i="136"/>
  <c r="G106" i="136" s="1"/>
  <c r="I106" i="136" s="1"/>
  <c r="O2931" i="246" s="1"/>
  <c r="P106" i="5"/>
  <c r="J106" i="5" s="1"/>
  <c r="L106" i="5" s="1"/>
  <c r="N106" i="5"/>
  <c r="O2683" i="1" s="1"/>
  <c r="O2615" i="246" l="1"/>
  <c r="R2615" i="246" s="1"/>
  <c r="E95" i="248"/>
  <c r="C95" i="248"/>
  <c r="O3491" i="1"/>
  <c r="M3327" i="1"/>
  <c r="O3163" i="1"/>
  <c r="M2999" i="1"/>
  <c r="M2683" i="1"/>
  <c r="O3819" i="1"/>
  <c r="M3655" i="1"/>
  <c r="R2683" i="1" l="1"/>
  <c r="D1956" i="1"/>
  <c r="P347" i="5"/>
  <c r="J347" i="5" s="1"/>
  <c r="N347" i="5"/>
  <c r="P342" i="5"/>
  <c r="J342" i="5" s="1"/>
  <c r="N342" i="5"/>
  <c r="M347" i="192"/>
  <c r="G347" i="192" s="1"/>
  <c r="I347" i="192" s="1"/>
  <c r="K347" i="192"/>
  <c r="M342" i="192"/>
  <c r="G342" i="192" s="1"/>
  <c r="I342" i="192" s="1"/>
  <c r="K342" i="192"/>
  <c r="M347" i="190"/>
  <c r="G347" i="190" s="1"/>
  <c r="I347" i="190" s="1"/>
  <c r="K347" i="190"/>
  <c r="M342" i="190"/>
  <c r="G342" i="190" s="1"/>
  <c r="I342" i="190" s="1"/>
  <c r="K342" i="190"/>
  <c r="M347" i="136"/>
  <c r="G347" i="136" s="1"/>
  <c r="I347" i="136" s="1"/>
  <c r="K347" i="136"/>
  <c r="M342" i="136"/>
  <c r="G342" i="136" s="1"/>
  <c r="I342" i="136" s="1"/>
  <c r="K342" i="136"/>
  <c r="L347" i="5" l="1"/>
  <c r="L342" i="5"/>
  <c r="P330" i="5"/>
  <c r="J330" i="5" s="1"/>
  <c r="N330" i="5"/>
  <c r="P319" i="5"/>
  <c r="J319" i="5" s="1"/>
  <c r="N319" i="5"/>
  <c r="M330" i="192"/>
  <c r="G330" i="192" s="1"/>
  <c r="I330" i="192" s="1"/>
  <c r="K330" i="192"/>
  <c r="M319" i="192"/>
  <c r="G319" i="192" s="1"/>
  <c r="I319" i="192" s="1"/>
  <c r="K319" i="192"/>
  <c r="M330" i="190"/>
  <c r="G330" i="190" s="1"/>
  <c r="I330" i="190" s="1"/>
  <c r="K330" i="190"/>
  <c r="M319" i="190"/>
  <c r="G319" i="190" s="1"/>
  <c r="I319" i="190" s="1"/>
  <c r="K319" i="190"/>
  <c r="M330" i="136"/>
  <c r="G330" i="136" s="1"/>
  <c r="I330" i="136" s="1"/>
  <c r="K330" i="136"/>
  <c r="M319" i="136"/>
  <c r="G319" i="136" s="1"/>
  <c r="I319" i="136" s="1"/>
  <c r="K319" i="136"/>
  <c r="D2399" i="1" l="1"/>
  <c r="L319" i="5" l="1"/>
  <c r="L330" i="5"/>
  <c r="D2188" i="1"/>
  <c r="D2189" i="1"/>
  <c r="D2190" i="1"/>
  <c r="D2191" i="1"/>
  <c r="D2192" i="1"/>
  <c r="D2193" i="1"/>
  <c r="D2194" i="1"/>
  <c r="D2195" i="1"/>
  <c r="D2196" i="1"/>
  <c r="D2197" i="1"/>
  <c r="D211" i="1" l="1"/>
  <c r="F49" i="80" l="1"/>
  <c r="F40" i="80"/>
  <c r="K110" i="89" l="1"/>
  <c r="Z110" i="89" s="1"/>
  <c r="AB110" i="89" s="1"/>
  <c r="AC110" i="89" l="1"/>
  <c r="K115" i="89"/>
  <c r="K114" i="89"/>
  <c r="Z114" i="89" l="1"/>
  <c r="AB114" i="89" s="1"/>
  <c r="AC114" i="89" s="1"/>
  <c r="Z115" i="89"/>
  <c r="AB115" i="89" s="1"/>
  <c r="AC115" i="89" s="1"/>
  <c r="K147" i="89"/>
  <c r="Z147" i="89" l="1"/>
  <c r="AB147" i="89" s="1"/>
  <c r="AC147" i="89" s="1"/>
  <c r="E62" i="80"/>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18" i="230"/>
  <c r="G21" i="230" s="1"/>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D580"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F440" i="4"/>
  <c r="O762" i="1" s="1"/>
  <c r="U762" i="1" l="1"/>
  <c r="E28" i="23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F451" i="4"/>
  <c r="O773" i="1" s="1"/>
  <c r="U773" i="1" l="1"/>
  <c r="E36" i="23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AA272" i="89"/>
  <c r="AA233" i="89"/>
  <c r="AA199" i="89"/>
  <c r="AA155" i="89"/>
  <c r="AA370" i="89" l="1"/>
  <c r="AA265" i="89"/>
  <c r="AA192" i="89"/>
  <c r="AA149" i="89"/>
  <c r="E44" i="231"/>
  <c r="F44" i="231" s="1"/>
  <c r="G44" i="231" s="1"/>
  <c r="U85" i="242" l="1"/>
  <c r="AA373" i="89"/>
  <c r="E45" i="231"/>
  <c r="F45" i="231" s="1"/>
  <c r="G45" i="231" s="1"/>
  <c r="E46" i="231" l="1"/>
  <c r="F46" i="231" s="1"/>
  <c r="G46" i="231" s="1"/>
  <c r="E47" i="231" l="1"/>
  <c r="F47" i="231" s="1"/>
  <c r="G47" i="231" s="1"/>
  <c r="M21" i="80"/>
  <c r="V21" i="80"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663" i="1"/>
  <c r="R2580" i="1"/>
  <c r="D2663" i="1"/>
  <c r="D2580" i="1"/>
  <c r="E60" i="231" l="1"/>
  <c r="F60" i="231" s="1"/>
  <c r="G60" i="231" s="1"/>
  <c r="C3" i="80"/>
  <c r="C22" i="168"/>
  <c r="C21" i="168"/>
  <c r="C20" i="168"/>
  <c r="C19" i="168"/>
  <c r="G6" i="206"/>
  <c r="E3" i="206"/>
  <c r="C2" i="206"/>
  <c r="E61" i="231" l="1"/>
  <c r="F61" i="231" s="1"/>
  <c r="G61" i="231" s="1"/>
  <c r="M198" i="192"/>
  <c r="G198" i="192" s="1"/>
  <c r="K198" i="192"/>
  <c r="F198" i="192" s="1"/>
  <c r="M197" i="192"/>
  <c r="G197" i="192" s="1"/>
  <c r="K197" i="192"/>
  <c r="F197" i="192" s="1"/>
  <c r="M198" i="190"/>
  <c r="G198" i="190" s="1"/>
  <c r="K198" i="190"/>
  <c r="F198" i="190" s="1"/>
  <c r="M197" i="190"/>
  <c r="G197" i="190" s="1"/>
  <c r="K197" i="190"/>
  <c r="F197" i="190" s="1"/>
  <c r="M198" i="136"/>
  <c r="G198" i="136" s="1"/>
  <c r="K198" i="136"/>
  <c r="F198" i="136" s="1"/>
  <c r="M197" i="136"/>
  <c r="G197" i="136" s="1"/>
  <c r="K197" i="136"/>
  <c r="F197" i="136" s="1"/>
  <c r="E62" i="231" l="1"/>
  <c r="F62" i="231" s="1"/>
  <c r="G62" i="231" s="1"/>
  <c r="I197" i="136"/>
  <c r="F197" i="5" s="1"/>
  <c r="I198" i="136"/>
  <c r="F198" i="5" s="1"/>
  <c r="I197" i="192"/>
  <c r="H197" i="5" s="1"/>
  <c r="I198" i="192"/>
  <c r="H198" i="5" s="1"/>
  <c r="I198" i="190"/>
  <c r="G198" i="5" s="1"/>
  <c r="I197" i="190"/>
  <c r="G197" i="5" s="1"/>
  <c r="D1329" i="1"/>
  <c r="D1328" i="1"/>
  <c r="D1327" i="1"/>
  <c r="D1318" i="1"/>
  <c r="D1317" i="1"/>
  <c r="D1316" i="1"/>
  <c r="D1307" i="1"/>
  <c r="D1306" i="1"/>
  <c r="D1305" i="1"/>
  <c r="M150" i="192"/>
  <c r="G150" i="192" s="1"/>
  <c r="I150" i="192" s="1"/>
  <c r="O1290" i="246" s="1"/>
  <c r="R1290" i="246" s="1"/>
  <c r="K150" i="192"/>
  <c r="O1329" i="1" s="1"/>
  <c r="M149" i="192"/>
  <c r="G149" i="192" s="1"/>
  <c r="I149" i="192" s="1"/>
  <c r="O1289" i="246" s="1"/>
  <c r="R1289" i="246" s="1"/>
  <c r="K149" i="192"/>
  <c r="O1328" i="1" s="1"/>
  <c r="M148" i="192"/>
  <c r="G148" i="192" s="1"/>
  <c r="I148" i="192" s="1"/>
  <c r="O1288" i="246" s="1"/>
  <c r="R1288" i="246" s="1"/>
  <c r="K148" i="192"/>
  <c r="O1327" i="1" s="1"/>
  <c r="M150" i="136"/>
  <c r="G150" i="136" s="1"/>
  <c r="I150" i="136" s="1"/>
  <c r="O1268" i="246" s="1"/>
  <c r="R1268" i="246" s="1"/>
  <c r="O1307" i="1"/>
  <c r="M149" i="136"/>
  <c r="G149" i="136" s="1"/>
  <c r="I149" i="136" s="1"/>
  <c r="O1267" i="246" s="1"/>
  <c r="R1267" i="246" s="1"/>
  <c r="O1306" i="1"/>
  <c r="M148" i="136"/>
  <c r="G148" i="136" s="1"/>
  <c r="I148" i="136" s="1"/>
  <c r="O1266" i="246" s="1"/>
  <c r="R1266" i="246" s="1"/>
  <c r="O1305" i="1"/>
  <c r="M150" i="190"/>
  <c r="G150" i="190" s="1"/>
  <c r="I150" i="190" s="1"/>
  <c r="O1279" i="246" s="1"/>
  <c r="R1279" i="246" s="1"/>
  <c r="O1318" i="1"/>
  <c r="M149" i="190"/>
  <c r="G149" i="190" s="1"/>
  <c r="I149" i="190" s="1"/>
  <c r="O1278" i="246" s="1"/>
  <c r="R1278" i="246" s="1"/>
  <c r="O1317" i="1"/>
  <c r="M148" i="190"/>
  <c r="G148" i="190" s="1"/>
  <c r="I148" i="190" s="1"/>
  <c r="O1277" i="246" s="1"/>
  <c r="R1277" i="246" s="1"/>
  <c r="O1316" i="1"/>
  <c r="M1316" i="1" l="1"/>
  <c r="R1316" i="1" s="1"/>
  <c r="M1318" i="1"/>
  <c r="R1318" i="1" s="1"/>
  <c r="M1327" i="1"/>
  <c r="R1327" i="1" s="1"/>
  <c r="M1329" i="1"/>
  <c r="R1329" i="1" s="1"/>
  <c r="M1317" i="1"/>
  <c r="R1317" i="1" s="1"/>
  <c r="M1328" i="1"/>
  <c r="R1328" i="1" s="1"/>
  <c r="E63" i="231"/>
  <c r="F63" i="231" s="1"/>
  <c r="G63" i="231" s="1"/>
  <c r="M1306" i="1"/>
  <c r="R1306" i="1" s="1"/>
  <c r="M1305" i="1"/>
  <c r="R1305" i="1" s="1"/>
  <c r="M1307" i="1"/>
  <c r="R1307" i="1" s="1"/>
  <c r="E64" i="231" l="1"/>
  <c r="F64" i="231" s="1"/>
  <c r="G64" i="231" s="1"/>
  <c r="E65" i="231" l="1"/>
  <c r="F65" i="231" s="1"/>
  <c r="G65" i="231" s="1"/>
  <c r="E66" i="231" l="1"/>
  <c r="F66" i="231" s="1"/>
  <c r="G66" i="231" s="1"/>
  <c r="K366" i="89"/>
  <c r="Z366" i="89" s="1"/>
  <c r="AB366" i="89" s="1"/>
  <c r="AC366" i="89" s="1"/>
  <c r="K365" i="89"/>
  <c r="K364" i="89"/>
  <c r="K363" i="89"/>
  <c r="K362" i="89"/>
  <c r="Z362" i="89" s="1"/>
  <c r="AB362" i="89" s="1"/>
  <c r="AC362" i="89" s="1"/>
  <c r="K361" i="89"/>
  <c r="K360" i="89"/>
  <c r="K359" i="89"/>
  <c r="K358" i="89"/>
  <c r="Z358" i="89" s="1"/>
  <c r="AB358" i="89" s="1"/>
  <c r="AC358" i="89" s="1"/>
  <c r="K357" i="89"/>
  <c r="K356" i="89"/>
  <c r="K355" i="89"/>
  <c r="K354" i="89"/>
  <c r="Z354" i="89" s="1"/>
  <c r="AB354" i="89" s="1"/>
  <c r="AC354" i="89" s="1"/>
  <c r="K353" i="89"/>
  <c r="K352" i="89"/>
  <c r="K351" i="89"/>
  <c r="K350" i="89"/>
  <c r="Z350" i="89" s="1"/>
  <c r="AB350" i="89" s="1"/>
  <c r="AC350" i="89" s="1"/>
  <c r="K349" i="89"/>
  <c r="K348" i="89"/>
  <c r="K347" i="89"/>
  <c r="K346" i="89"/>
  <c r="Z346" i="89" s="1"/>
  <c r="AB346" i="89" s="1"/>
  <c r="AC346" i="89" s="1"/>
  <c r="K345" i="89"/>
  <c r="K344" i="89"/>
  <c r="K343" i="89"/>
  <c r="K342" i="89"/>
  <c r="Z342" i="89" s="1"/>
  <c r="AB342" i="89" s="1"/>
  <c r="AC342" i="89" s="1"/>
  <c r="K341" i="89"/>
  <c r="K340" i="89"/>
  <c r="K339" i="89"/>
  <c r="K338" i="89"/>
  <c r="K337" i="89"/>
  <c r="K336" i="89"/>
  <c r="K335" i="89"/>
  <c r="K334" i="89"/>
  <c r="Z334" i="89" s="1"/>
  <c r="AB334" i="89" s="1"/>
  <c r="AC334" i="89" s="1"/>
  <c r="K333" i="89"/>
  <c r="K332" i="89"/>
  <c r="K331" i="89"/>
  <c r="K330" i="89"/>
  <c r="Z330" i="89" s="1"/>
  <c r="AB330" i="89" s="1"/>
  <c r="AC330" i="89" s="1"/>
  <c r="K329" i="89"/>
  <c r="K328" i="89"/>
  <c r="K327" i="89"/>
  <c r="K326" i="89"/>
  <c r="Z326" i="89" s="1"/>
  <c r="AB326" i="89" s="1"/>
  <c r="AC326" i="89" s="1"/>
  <c r="K325" i="89"/>
  <c r="K324" i="89"/>
  <c r="K323" i="89"/>
  <c r="K322" i="89"/>
  <c r="Z322" i="89" s="1"/>
  <c r="AB322" i="89" s="1"/>
  <c r="AC322" i="89" s="1"/>
  <c r="K321" i="89"/>
  <c r="Z321" i="89" s="1"/>
  <c r="AB321" i="89" s="1"/>
  <c r="AC321" i="89" s="1"/>
  <c r="K320" i="89"/>
  <c r="K319" i="89"/>
  <c r="K318" i="89"/>
  <c r="K317" i="89"/>
  <c r="K316" i="89"/>
  <c r="K315" i="89"/>
  <c r="K314" i="89"/>
  <c r="Z314" i="89" s="1"/>
  <c r="AB314" i="89" s="1"/>
  <c r="AC314" i="89" s="1"/>
  <c r="K313" i="89"/>
  <c r="K312" i="89"/>
  <c r="K311" i="89"/>
  <c r="K310" i="89"/>
  <c r="K309" i="89"/>
  <c r="K308" i="89"/>
  <c r="K307" i="89"/>
  <c r="K306" i="89"/>
  <c r="K305" i="89"/>
  <c r="K304" i="89"/>
  <c r="K303" i="89"/>
  <c r="K302" i="89"/>
  <c r="K301" i="89"/>
  <c r="K300" i="89"/>
  <c r="K299" i="89"/>
  <c r="K298" i="89"/>
  <c r="K297" i="89"/>
  <c r="K296" i="89"/>
  <c r="K295" i="89"/>
  <c r="K294" i="89"/>
  <c r="K146" i="89"/>
  <c r="Z146" i="89" s="1"/>
  <c r="AB146" i="89" s="1"/>
  <c r="K145" i="89"/>
  <c r="Z145" i="89" s="1"/>
  <c r="AB145" i="89" s="1"/>
  <c r="K144" i="89"/>
  <c r="Z144" i="89" s="1"/>
  <c r="AB144" i="89" s="1"/>
  <c r="K143" i="89"/>
  <c r="Z143" i="89" s="1"/>
  <c r="AB143" i="89" s="1"/>
  <c r="K142" i="89"/>
  <c r="Z142" i="89" s="1"/>
  <c r="AB142" i="89" s="1"/>
  <c r="K141" i="89"/>
  <c r="Z141" i="89" s="1"/>
  <c r="AB141" i="89" s="1"/>
  <c r="K140" i="89"/>
  <c r="Z140" i="89" s="1"/>
  <c r="AB140" i="89" s="1"/>
  <c r="K139" i="89"/>
  <c r="Z139" i="89" s="1"/>
  <c r="AB139" i="89" s="1"/>
  <c r="K138" i="89"/>
  <c r="Z138" i="89" s="1"/>
  <c r="AB138" i="89" s="1"/>
  <c r="K137" i="89"/>
  <c r="Z137" i="89" s="1"/>
  <c r="AB137" i="89" s="1"/>
  <c r="K136" i="89"/>
  <c r="Z136" i="89" s="1"/>
  <c r="AB136" i="89" s="1"/>
  <c r="K135" i="89"/>
  <c r="Z135" i="89" s="1"/>
  <c r="AB135" i="89" s="1"/>
  <c r="K134" i="89"/>
  <c r="Z134" i="89" s="1"/>
  <c r="AB134" i="89" s="1"/>
  <c r="K133" i="89"/>
  <c r="Z133" i="89" s="1"/>
  <c r="AB133" i="89" s="1"/>
  <c r="K132" i="89"/>
  <c r="Z132" i="89" s="1"/>
  <c r="AB132" i="89" s="1"/>
  <c r="K131" i="89"/>
  <c r="Z131" i="89" s="1"/>
  <c r="AB131" i="89" s="1"/>
  <c r="K130" i="89"/>
  <c r="Z130" i="89" s="1"/>
  <c r="AB130" i="89" s="1"/>
  <c r="K129" i="89"/>
  <c r="Z129" i="89" s="1"/>
  <c r="AB129" i="89" s="1"/>
  <c r="K118" i="89"/>
  <c r="K117" i="89"/>
  <c r="K116" i="89"/>
  <c r="K113" i="89"/>
  <c r="K112" i="89"/>
  <c r="K111" i="89"/>
  <c r="K109" i="89"/>
  <c r="C367" i="4"/>
  <c r="C362" i="4"/>
  <c r="P197" i="5"/>
  <c r="N197" i="5"/>
  <c r="O2195" i="1" s="1"/>
  <c r="P196" i="5"/>
  <c r="N196" i="5"/>
  <c r="O2194" i="1" s="1"/>
  <c r="Z109" i="89" l="1"/>
  <c r="AB109" i="89" s="1"/>
  <c r="AC109" i="89" s="1"/>
  <c r="Z116" i="89"/>
  <c r="AB116" i="89" s="1"/>
  <c r="AC116" i="89" s="1"/>
  <c r="Z113" i="89"/>
  <c r="AB113" i="89" s="1"/>
  <c r="AC113" i="89" s="1"/>
  <c r="Z111" i="89"/>
  <c r="AB111" i="89" s="1"/>
  <c r="AC111" i="89" s="1"/>
  <c r="Z117" i="89"/>
  <c r="AB117" i="89" s="1"/>
  <c r="AC117" i="89" s="1"/>
  <c r="Z112" i="89"/>
  <c r="AB112" i="89" s="1"/>
  <c r="AC112" i="89" s="1"/>
  <c r="Z118" i="89"/>
  <c r="AB118" i="89" s="1"/>
  <c r="AC118" i="89" s="1"/>
  <c r="Z305" i="89"/>
  <c r="AB305" i="89" s="1"/>
  <c r="AC305" i="89" s="1"/>
  <c r="Z313" i="89"/>
  <c r="AB313" i="89" s="1"/>
  <c r="AC313" i="89" s="1"/>
  <c r="Z325" i="89"/>
  <c r="AB325" i="89" s="1"/>
  <c r="AC325" i="89" s="1"/>
  <c r="Z349" i="89"/>
  <c r="AB349" i="89" s="1"/>
  <c r="AC349" i="89" s="1"/>
  <c r="Z302" i="89"/>
  <c r="AB302" i="89" s="1"/>
  <c r="AC302" i="89" s="1"/>
  <c r="Z310" i="89"/>
  <c r="AB310" i="89" s="1"/>
  <c r="AC310" i="89" s="1"/>
  <c r="Z318" i="89"/>
  <c r="AB318" i="89" s="1"/>
  <c r="AC318" i="89" s="1"/>
  <c r="Z297" i="89"/>
  <c r="AB297" i="89" s="1"/>
  <c r="AC297" i="89" s="1"/>
  <c r="Z309" i="89"/>
  <c r="AB309" i="89" s="1"/>
  <c r="AC309" i="89" s="1"/>
  <c r="Z317" i="89"/>
  <c r="AB317" i="89" s="1"/>
  <c r="AC317" i="89" s="1"/>
  <c r="Z333" i="89"/>
  <c r="AB333" i="89" s="1"/>
  <c r="AC333" i="89" s="1"/>
  <c r="Z353" i="89"/>
  <c r="AB353" i="89" s="1"/>
  <c r="AC353" i="89" s="1"/>
  <c r="Z298" i="89"/>
  <c r="AB298" i="89" s="1"/>
  <c r="AC298" i="89" s="1"/>
  <c r="Z306" i="89"/>
  <c r="AB306" i="89" s="1"/>
  <c r="AC306" i="89" s="1"/>
  <c r="Z295" i="89"/>
  <c r="AB295" i="89" s="1"/>
  <c r="AC295" i="89" s="1"/>
  <c r="Z299" i="89"/>
  <c r="AB299" i="89" s="1"/>
  <c r="AC299" i="89" s="1"/>
  <c r="Z303" i="89"/>
  <c r="AB303" i="89" s="1"/>
  <c r="AC303" i="89" s="1"/>
  <c r="Z307" i="89"/>
  <c r="AB307" i="89" s="1"/>
  <c r="AC307" i="89" s="1"/>
  <c r="Z311" i="89"/>
  <c r="AB311" i="89" s="1"/>
  <c r="AC311" i="89" s="1"/>
  <c r="Z315" i="89"/>
  <c r="AB315" i="89" s="1"/>
  <c r="AC315" i="89" s="1"/>
  <c r="Z319" i="89"/>
  <c r="AB319" i="89" s="1"/>
  <c r="AC319" i="89" s="1"/>
  <c r="Z323" i="89"/>
  <c r="AB323" i="89" s="1"/>
  <c r="AC323" i="89" s="1"/>
  <c r="Z327" i="89"/>
  <c r="AB327" i="89" s="1"/>
  <c r="AC327" i="89" s="1"/>
  <c r="Z331" i="89"/>
  <c r="AB331" i="89" s="1"/>
  <c r="AC331" i="89" s="1"/>
  <c r="Z335" i="89"/>
  <c r="AB335" i="89" s="1"/>
  <c r="AC335" i="89" s="1"/>
  <c r="Z339" i="89"/>
  <c r="AB339" i="89" s="1"/>
  <c r="AC339" i="89" s="1"/>
  <c r="Z343" i="89"/>
  <c r="AB343" i="89" s="1"/>
  <c r="AC343" i="89" s="1"/>
  <c r="Z347" i="89"/>
  <c r="AB347" i="89" s="1"/>
  <c r="AC347" i="89" s="1"/>
  <c r="Z351" i="89"/>
  <c r="AB351" i="89" s="1"/>
  <c r="AC351" i="89" s="1"/>
  <c r="Z355" i="89"/>
  <c r="AB355" i="89" s="1"/>
  <c r="AC355" i="89" s="1"/>
  <c r="Z359" i="89"/>
  <c r="AB359" i="89" s="1"/>
  <c r="AC359" i="89" s="1"/>
  <c r="Z363" i="89"/>
  <c r="AB363" i="89" s="1"/>
  <c r="AC363" i="89" s="1"/>
  <c r="Z301" i="89"/>
  <c r="AB301" i="89" s="1"/>
  <c r="AC301" i="89" s="1"/>
  <c r="Z329" i="89"/>
  <c r="AB329" i="89" s="1"/>
  <c r="AC329" i="89" s="1"/>
  <c r="Z337" i="89"/>
  <c r="AB337" i="89" s="1"/>
  <c r="AC337" i="89" s="1"/>
  <c r="Z341" i="89"/>
  <c r="AB341" i="89" s="1"/>
  <c r="AC341" i="89" s="1"/>
  <c r="Z345" i="89"/>
  <c r="AB345" i="89" s="1"/>
  <c r="AC345" i="89" s="1"/>
  <c r="Z357" i="89"/>
  <c r="AB357" i="89" s="1"/>
  <c r="AC357" i="89" s="1"/>
  <c r="Z361" i="89"/>
  <c r="AB361" i="89" s="1"/>
  <c r="AC361" i="89" s="1"/>
  <c r="Z365" i="89"/>
  <c r="AB365" i="89" s="1"/>
  <c r="AC365" i="89" s="1"/>
  <c r="Z294" i="89"/>
  <c r="AB294" i="89" s="1"/>
  <c r="AC294" i="89" s="1"/>
  <c r="Z338" i="89"/>
  <c r="AB338" i="89" s="1"/>
  <c r="AC338" i="89" s="1"/>
  <c r="Z296" i="89"/>
  <c r="AB296" i="89" s="1"/>
  <c r="AC296" i="89" s="1"/>
  <c r="Z300" i="89"/>
  <c r="AB300" i="89" s="1"/>
  <c r="AC300" i="89" s="1"/>
  <c r="Z304" i="89"/>
  <c r="AB304" i="89" s="1"/>
  <c r="AC304" i="89" s="1"/>
  <c r="Z308" i="89"/>
  <c r="AB308" i="89" s="1"/>
  <c r="AC308" i="89" s="1"/>
  <c r="Z312" i="89"/>
  <c r="AB312" i="89" s="1"/>
  <c r="AC312" i="89" s="1"/>
  <c r="Z316" i="89"/>
  <c r="AB316" i="89" s="1"/>
  <c r="AC316" i="89" s="1"/>
  <c r="Z320" i="89"/>
  <c r="AB320" i="89" s="1"/>
  <c r="AC320" i="89" s="1"/>
  <c r="Z324" i="89"/>
  <c r="AB324" i="89" s="1"/>
  <c r="AC324" i="89" s="1"/>
  <c r="Z328" i="89"/>
  <c r="AB328" i="89" s="1"/>
  <c r="AC328" i="89" s="1"/>
  <c r="Z332" i="89"/>
  <c r="AB332" i="89" s="1"/>
  <c r="AC332" i="89" s="1"/>
  <c r="Z336" i="89"/>
  <c r="AB336" i="89" s="1"/>
  <c r="AC336" i="89" s="1"/>
  <c r="Z340" i="89"/>
  <c r="AB340" i="89" s="1"/>
  <c r="AC340" i="89" s="1"/>
  <c r="Z344" i="89"/>
  <c r="AB344" i="89" s="1"/>
  <c r="AC344" i="89" s="1"/>
  <c r="Z348" i="89"/>
  <c r="AB348" i="89" s="1"/>
  <c r="AC348" i="89" s="1"/>
  <c r="Z352" i="89"/>
  <c r="AB352" i="89" s="1"/>
  <c r="AC352" i="89" s="1"/>
  <c r="Z356" i="89"/>
  <c r="AB356" i="89" s="1"/>
  <c r="AC356" i="89" s="1"/>
  <c r="Z360" i="89"/>
  <c r="AB360" i="89" s="1"/>
  <c r="AC360" i="89" s="1"/>
  <c r="Z364" i="89"/>
  <c r="AB364" i="89" s="1"/>
  <c r="AC364" i="89" s="1"/>
  <c r="AC130" i="89"/>
  <c r="AC134" i="89"/>
  <c r="AC138" i="89"/>
  <c r="AC142" i="89"/>
  <c r="AC146" i="89"/>
  <c r="AC131" i="89"/>
  <c r="AC135" i="89"/>
  <c r="AC139" i="89"/>
  <c r="AC143" i="89"/>
  <c r="AC132" i="89"/>
  <c r="AC136" i="89"/>
  <c r="AC140" i="89"/>
  <c r="AC144" i="89"/>
  <c r="AC129" i="89"/>
  <c r="AC133" i="89"/>
  <c r="AC137" i="89"/>
  <c r="AC141" i="89"/>
  <c r="AC145" i="89"/>
  <c r="E67" i="231"/>
  <c r="F67" i="231" s="1"/>
  <c r="G67" i="231" s="1"/>
  <c r="I196" i="5"/>
  <c r="H19" i="168"/>
  <c r="I197" i="5"/>
  <c r="H20" i="168"/>
  <c r="E68" i="231" l="1"/>
  <c r="F68" i="231" s="1"/>
  <c r="G68" i="231" s="1"/>
  <c r="D1293" i="1"/>
  <c r="D1292" i="1"/>
  <c r="D1291" i="1"/>
  <c r="P147" i="5"/>
  <c r="N147" i="5"/>
  <c r="P146" i="5"/>
  <c r="N146" i="5"/>
  <c r="P145" i="5"/>
  <c r="J145" i="5" s="1"/>
  <c r="L145" i="5" s="1"/>
  <c r="O1252" i="246" s="1"/>
  <c r="R1252" i="246" s="1"/>
  <c r="N145" i="5"/>
  <c r="E69" i="231" l="1"/>
  <c r="F69" i="231" s="1"/>
  <c r="G69" i="231" s="1"/>
  <c r="M1291" i="1"/>
  <c r="O1292" i="1"/>
  <c r="O1291" i="1"/>
  <c r="O1293" i="1"/>
  <c r="E70" i="231" l="1"/>
  <c r="F70" i="231" s="1"/>
  <c r="G70" i="231" s="1"/>
  <c r="R1291" i="1"/>
  <c r="N385" i="5"/>
  <c r="O2424" i="1" s="1"/>
  <c r="E71" i="231" l="1"/>
  <c r="F71" i="231" s="1"/>
  <c r="G71" i="231" s="1"/>
  <c r="E72" i="231" l="1"/>
  <c r="F72" i="231" s="1"/>
  <c r="G72" i="231" s="1"/>
  <c r="E73" i="231" l="1"/>
  <c r="F73" i="231" s="1"/>
  <c r="G73" i="231" s="1"/>
  <c r="E74" i="231" l="1"/>
  <c r="F74" i="231" s="1"/>
  <c r="G74" i="231" s="1"/>
  <c r="E75" i="231" l="1"/>
  <c r="F75" i="231" s="1"/>
  <c r="G75" i="231" s="1"/>
  <c r="K108" i="89"/>
  <c r="K107" i="89"/>
  <c r="K106" i="89"/>
  <c r="K105" i="89"/>
  <c r="K104" i="89"/>
  <c r="K103" i="89"/>
  <c r="K102" i="89"/>
  <c r="K101" i="89"/>
  <c r="K100" i="89"/>
  <c r="K99" i="89"/>
  <c r="K98" i="89"/>
  <c r="K97" i="89"/>
  <c r="K96" i="89"/>
  <c r="K95" i="89"/>
  <c r="K94" i="89"/>
  <c r="K93" i="89"/>
  <c r="K92" i="89"/>
  <c r="K91" i="89"/>
  <c r="K90" i="89"/>
  <c r="K89" i="89"/>
  <c r="K88" i="89"/>
  <c r="K87" i="89"/>
  <c r="K86" i="89"/>
  <c r="K85" i="89"/>
  <c r="K84" i="89"/>
  <c r="K83" i="89"/>
  <c r="K82" i="89"/>
  <c r="Z82" i="89" l="1"/>
  <c r="AB82" i="89" s="1"/>
  <c r="AC82" i="89" s="1"/>
  <c r="Z94" i="89"/>
  <c r="AB94" i="89" s="1"/>
  <c r="AC94" i="89" s="1"/>
  <c r="Z106" i="89"/>
  <c r="AB106" i="89" s="1"/>
  <c r="AC106" i="89" s="1"/>
  <c r="Z83" i="89"/>
  <c r="AB83" i="89" s="1"/>
  <c r="AC83" i="89" s="1"/>
  <c r="Z87" i="89"/>
  <c r="AB87" i="89" s="1"/>
  <c r="AC87" i="89" s="1"/>
  <c r="Z91" i="89"/>
  <c r="AB91" i="89" s="1"/>
  <c r="AC91" i="89" s="1"/>
  <c r="Z95" i="89"/>
  <c r="AB95" i="89" s="1"/>
  <c r="AC95" i="89" s="1"/>
  <c r="Z99" i="89"/>
  <c r="AB99" i="89" s="1"/>
  <c r="AC99" i="89" s="1"/>
  <c r="Z103" i="89"/>
  <c r="AB103" i="89" s="1"/>
  <c r="AC103" i="89" s="1"/>
  <c r="Z107" i="89"/>
  <c r="AB107" i="89" s="1"/>
  <c r="AC107" i="89" s="1"/>
  <c r="Z86" i="89"/>
  <c r="AB86" i="89" s="1"/>
  <c r="AC86" i="89" s="1"/>
  <c r="Z102" i="89"/>
  <c r="AB102" i="89" s="1"/>
  <c r="AC102" i="89" s="1"/>
  <c r="Z88" i="89"/>
  <c r="AB88" i="89" s="1"/>
  <c r="AC88" i="89" s="1"/>
  <c r="Z92" i="89"/>
  <c r="AB92" i="89" s="1"/>
  <c r="AC92" i="89" s="1"/>
  <c r="Z96" i="89"/>
  <c r="AB96" i="89" s="1"/>
  <c r="AC96" i="89" s="1"/>
  <c r="Z100" i="89"/>
  <c r="AB100" i="89" s="1"/>
  <c r="AC100" i="89" s="1"/>
  <c r="Z104" i="89"/>
  <c r="AB104" i="89" s="1"/>
  <c r="AC104" i="89" s="1"/>
  <c r="Z108" i="89"/>
  <c r="AB108" i="89" s="1"/>
  <c r="AC108" i="89" s="1"/>
  <c r="Z90" i="89"/>
  <c r="AB90" i="89" s="1"/>
  <c r="AC90" i="89" s="1"/>
  <c r="Z98" i="89"/>
  <c r="AB98" i="89" s="1"/>
  <c r="AC98" i="89" s="1"/>
  <c r="Z84" i="89"/>
  <c r="AB84" i="89" s="1"/>
  <c r="AC84" i="89" s="1"/>
  <c r="Z85" i="89"/>
  <c r="AB85" i="89" s="1"/>
  <c r="AC85" i="89" s="1"/>
  <c r="Z89" i="89"/>
  <c r="AB89" i="89" s="1"/>
  <c r="AC89" i="89" s="1"/>
  <c r="Z93" i="89"/>
  <c r="AB93" i="89" s="1"/>
  <c r="AC93" i="89" s="1"/>
  <c r="Z97" i="89"/>
  <c r="AB97" i="89" s="1"/>
  <c r="AC97" i="89" s="1"/>
  <c r="Z101" i="89"/>
  <c r="AB101" i="89" s="1"/>
  <c r="AC101" i="89" s="1"/>
  <c r="Z105" i="89"/>
  <c r="AB105" i="89" s="1"/>
  <c r="AC105" i="89" s="1"/>
  <c r="E76" i="231"/>
  <c r="F76" i="231" s="1"/>
  <c r="G76" i="231" s="1"/>
  <c r="D2355" i="1"/>
  <c r="D2354" i="1"/>
  <c r="E77" i="231" l="1"/>
  <c r="F77" i="231" s="1"/>
  <c r="G77" i="231" s="1"/>
  <c r="E78" i="231" l="1"/>
  <c r="F78" i="231" s="1"/>
  <c r="G78" i="231" s="1"/>
  <c r="K121" i="89"/>
  <c r="Z121" i="89" s="1"/>
  <c r="AB121" i="89" s="1"/>
  <c r="AC121" i="89" l="1"/>
  <c r="E79" i="231"/>
  <c r="F79" i="231" s="1"/>
  <c r="G79" i="231" s="1"/>
  <c r="E80" i="231" l="1"/>
  <c r="F80" i="231" s="1"/>
  <c r="G80" i="231" s="1"/>
  <c r="E81" i="231" l="1"/>
  <c r="F81" i="231" s="1"/>
  <c r="G81" i="231" s="1"/>
  <c r="G24" i="4"/>
  <c r="D295" i="1" l="1"/>
  <c r="D295" i="246"/>
  <c r="D247" i="246"/>
  <c r="D322" i="1"/>
  <c r="D321" i="246"/>
  <c r="D252" i="246"/>
  <c r="D252" i="1"/>
  <c r="D247" i="1"/>
  <c r="D181" i="1"/>
  <c r="D402" i="246"/>
  <c r="D352" i="1"/>
  <c r="D403" i="1"/>
  <c r="D181" i="246"/>
  <c r="D353" i="246"/>
  <c r="E82" i="231"/>
  <c r="F82" i="231" s="1"/>
  <c r="G82" i="231" s="1"/>
  <c r="E83" i="231" l="1"/>
  <c r="F83" i="231" s="1"/>
  <c r="G83" i="231" s="1"/>
  <c r="O2843" i="1"/>
  <c r="R2848" i="1" l="1"/>
  <c r="O2848" i="1"/>
  <c r="E84" i="231"/>
  <c r="F84" i="231" s="1"/>
  <c r="G84" i="231" s="1"/>
  <c r="K120" i="89"/>
  <c r="Z120" i="89" s="1"/>
  <c r="AB120" i="89" s="1"/>
  <c r="K119" i="89"/>
  <c r="Z119" i="89" s="1"/>
  <c r="AB119" i="89" s="1"/>
  <c r="K81" i="89"/>
  <c r="K80" i="89"/>
  <c r="K79" i="89"/>
  <c r="Z79" i="89" l="1"/>
  <c r="AB79" i="89" s="1"/>
  <c r="AC79" i="89" s="1"/>
  <c r="Z80" i="89"/>
  <c r="AB80" i="89" s="1"/>
  <c r="AC80" i="89" s="1"/>
  <c r="Z81" i="89"/>
  <c r="AB81" i="89" s="1"/>
  <c r="AC81" i="89" s="1"/>
  <c r="O2852" i="1"/>
  <c r="M2767" i="1" s="1"/>
  <c r="R2767" i="1" s="1"/>
  <c r="R2887" i="1"/>
  <c r="R2855" i="1"/>
  <c r="AC119" i="89"/>
  <c r="AC120" i="89"/>
  <c r="E85" i="231"/>
  <c r="F85" i="231" s="1"/>
  <c r="G85" i="231" s="1"/>
  <c r="E86" i="231" l="1"/>
  <c r="F86" i="231" s="1"/>
  <c r="G86" i="231" s="1"/>
  <c r="E87" i="231" l="1"/>
  <c r="F87" i="231" s="1"/>
  <c r="G87" i="231" s="1"/>
  <c r="E88" i="231" l="1"/>
  <c r="F88" i="231" s="1"/>
  <c r="G88" i="231" s="1"/>
  <c r="E89" i="231" l="1"/>
  <c r="F89" i="231" s="1"/>
  <c r="G89" i="231" s="1"/>
  <c r="E90" i="231" l="1"/>
  <c r="F90" i="231" s="1"/>
  <c r="G90" i="231" s="1"/>
  <c r="R95" i="1"/>
  <c r="R96" i="1"/>
  <c r="R97" i="1"/>
  <c r="R98" i="1"/>
  <c r="F98" i="1"/>
  <c r="E91" i="231" l="1"/>
  <c r="F91" i="231" s="1"/>
  <c r="G91" i="231" s="1"/>
  <c r="K128" i="89"/>
  <c r="Z128" i="89" s="1"/>
  <c r="AB128" i="89" s="1"/>
  <c r="K127" i="89"/>
  <c r="Z127" i="89" s="1"/>
  <c r="AB127" i="89" s="1"/>
  <c r="K126" i="89"/>
  <c r="Z126" i="89" s="1"/>
  <c r="AB126" i="89" s="1"/>
  <c r="K125" i="89"/>
  <c r="Z125" i="89" s="1"/>
  <c r="AB125" i="89" s="1"/>
  <c r="K124" i="89"/>
  <c r="K123" i="89"/>
  <c r="Z123" i="89" s="1"/>
  <c r="AB123" i="89" s="1"/>
  <c r="K122" i="89"/>
  <c r="Z122" i="89" s="1"/>
  <c r="AB122" i="89" s="1"/>
  <c r="K78" i="89"/>
  <c r="K77" i="89"/>
  <c r="K76" i="89"/>
  <c r="K75" i="89"/>
  <c r="AC75" i="89" s="1"/>
  <c r="K74" i="89"/>
  <c r="AC74" i="89" s="1"/>
  <c r="K73" i="89"/>
  <c r="K72" i="89"/>
  <c r="K71" i="89"/>
  <c r="Z71" i="89" s="1"/>
  <c r="AB71" i="89" s="1"/>
  <c r="K70" i="89"/>
  <c r="Z70" i="89" s="1"/>
  <c r="AB70" i="89" s="1"/>
  <c r="K69" i="89"/>
  <c r="Z69" i="89" s="1"/>
  <c r="AB69" i="89" s="1"/>
  <c r="K68" i="89"/>
  <c r="Z68" i="89" s="1"/>
  <c r="AB68" i="89" s="1"/>
  <c r="K273" i="89"/>
  <c r="K272" i="89"/>
  <c r="Z76" i="89" l="1"/>
  <c r="AB76" i="89" s="1"/>
  <c r="AC76" i="89" s="1"/>
  <c r="Z73" i="89"/>
  <c r="AB73" i="89" s="1"/>
  <c r="AC73" i="89" s="1"/>
  <c r="Z77" i="89"/>
  <c r="AB77" i="89" s="1"/>
  <c r="AC77" i="89" s="1"/>
  <c r="Z124" i="89"/>
  <c r="AB124" i="89" s="1"/>
  <c r="AC124" i="89" s="1"/>
  <c r="Z72" i="89"/>
  <c r="AB72" i="89" s="1"/>
  <c r="AC72" i="89" s="1"/>
  <c r="Z78" i="89"/>
  <c r="AB78" i="89" s="1"/>
  <c r="AC78" i="89" s="1"/>
  <c r="Z273" i="89"/>
  <c r="AB273" i="89" s="1"/>
  <c r="AC273" i="89" s="1"/>
  <c r="AC68" i="89"/>
  <c r="AC123" i="89"/>
  <c r="AC127" i="89"/>
  <c r="AC69" i="89"/>
  <c r="AC70" i="89"/>
  <c r="AC125" i="89"/>
  <c r="AC71" i="89"/>
  <c r="AC122" i="89"/>
  <c r="AC126" i="89"/>
  <c r="AC128" i="89"/>
  <c r="E92" i="231"/>
  <c r="F92" i="231" s="1"/>
  <c r="G92" i="231" s="1"/>
  <c r="Z272" i="89"/>
  <c r="E93" i="231" l="1"/>
  <c r="F93" i="231" s="1"/>
  <c r="G93" i="231" s="1"/>
  <c r="AB272" i="89"/>
  <c r="AC272" i="89" s="1"/>
  <c r="C34" i="170"/>
  <c r="C27" i="170"/>
  <c r="E94" i="231" l="1"/>
  <c r="F94" i="231" s="1"/>
  <c r="G94" i="231" s="1"/>
  <c r="E95" i="231" l="1"/>
  <c r="F95" i="231" s="1"/>
  <c r="G95" i="231" s="1"/>
  <c r="E96" i="231" l="1"/>
  <c r="F96" i="231" s="1"/>
  <c r="G96" i="231" s="1"/>
  <c r="M1900" i="1"/>
  <c r="D1897" i="1"/>
  <c r="D1894" i="1"/>
  <c r="D1893" i="1"/>
  <c r="M1869" i="1"/>
  <c r="D1866" i="1"/>
  <c r="D1863" i="1"/>
  <c r="D1862" i="1"/>
  <c r="E97" i="231" l="1"/>
  <c r="F97" i="231" s="1"/>
  <c r="G97" i="231" s="1"/>
  <c r="D1331" i="1"/>
  <c r="D1330" i="1"/>
  <c r="D1326" i="1"/>
  <c r="D1325" i="1"/>
  <c r="D1324" i="1"/>
  <c r="D1323" i="1"/>
  <c r="D1322" i="1"/>
  <c r="D1321" i="1"/>
  <c r="D1256" i="1"/>
  <c r="D1255" i="1"/>
  <c r="D1254" i="1"/>
  <c r="D1253" i="1"/>
  <c r="D1183" i="1"/>
  <c r="D1182" i="1"/>
  <c r="D1181" i="1"/>
  <c r="D1120" i="1"/>
  <c r="D1119" i="1"/>
  <c r="D1118" i="1"/>
  <c r="D1117"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G232" i="192" s="1"/>
  <c r="I232" i="192" s="1"/>
  <c r="H232" i="5" s="1"/>
  <c r="D4" i="193"/>
  <c r="C2" i="193"/>
  <c r="C1" i="192"/>
  <c r="C1" i="190"/>
  <c r="E403" i="192"/>
  <c r="D403" i="192"/>
  <c r="A403" i="192"/>
  <c r="M400" i="192"/>
  <c r="G400" i="192" s="1"/>
  <c r="I400" i="192" s="1"/>
  <c r="K400" i="192"/>
  <c r="M399" i="192"/>
  <c r="G399" i="192" s="1"/>
  <c r="I399" i="192" s="1"/>
  <c r="K399" i="192"/>
  <c r="M398" i="192"/>
  <c r="G398" i="192" s="1"/>
  <c r="K398" i="192"/>
  <c r="F398" i="192" s="1"/>
  <c r="M397" i="192"/>
  <c r="G397" i="192" s="1"/>
  <c r="I397" i="192" s="1"/>
  <c r="K397" i="192"/>
  <c r="M396" i="192"/>
  <c r="G396" i="192" s="1"/>
  <c r="K396" i="192"/>
  <c r="F396" i="192" s="1"/>
  <c r="M395" i="192"/>
  <c r="G395" i="192" s="1"/>
  <c r="K395" i="192"/>
  <c r="F395" i="192" s="1"/>
  <c r="M394" i="192"/>
  <c r="G394" i="192" s="1"/>
  <c r="K394" i="192"/>
  <c r="F394" i="192" s="1"/>
  <c r="M393" i="192"/>
  <c r="G393" i="192" s="1"/>
  <c r="K393" i="192"/>
  <c r="F393" i="192" s="1"/>
  <c r="M392" i="192"/>
  <c r="G392" i="192" s="1"/>
  <c r="I392" i="192"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I386" i="192" s="1"/>
  <c r="H386" i="5" s="1"/>
  <c r="K386" i="192"/>
  <c r="M385" i="192"/>
  <c r="G385" i="192" s="1"/>
  <c r="K385" i="192"/>
  <c r="M384" i="192"/>
  <c r="G384" i="192" s="1"/>
  <c r="I384" i="192" s="1"/>
  <c r="K384" i="192"/>
  <c r="M383" i="192"/>
  <c r="G383" i="192" s="1"/>
  <c r="K383" i="192"/>
  <c r="F383" i="192" s="1"/>
  <c r="M382" i="192"/>
  <c r="G382" i="192" s="1"/>
  <c r="K382" i="192"/>
  <c r="F382" i="192" s="1"/>
  <c r="M381" i="192"/>
  <c r="G381" i="192" s="1"/>
  <c r="K381" i="192"/>
  <c r="F381" i="192" s="1"/>
  <c r="M380" i="192"/>
  <c r="G380" i="192" s="1"/>
  <c r="K380" i="192"/>
  <c r="F380" i="192" s="1"/>
  <c r="M379" i="192"/>
  <c r="G379" i="192" s="1"/>
  <c r="K379" i="192"/>
  <c r="F379" i="192" s="1"/>
  <c r="M378" i="192"/>
  <c r="G378" i="192" s="1"/>
  <c r="K378" i="192"/>
  <c r="M377" i="192"/>
  <c r="G377" i="192" s="1"/>
  <c r="K377" i="192"/>
  <c r="M376" i="192"/>
  <c r="G376" i="192" s="1"/>
  <c r="K376" i="192"/>
  <c r="F376" i="192" s="1"/>
  <c r="M375" i="192"/>
  <c r="G375" i="192" s="1"/>
  <c r="K375" i="192"/>
  <c r="F375" i="192" s="1"/>
  <c r="M374" i="192"/>
  <c r="G374" i="192" s="1"/>
  <c r="K374" i="192"/>
  <c r="F374" i="192" s="1"/>
  <c r="M373" i="192"/>
  <c r="G373" i="192" s="1"/>
  <c r="I373" i="192" s="1"/>
  <c r="K373" i="192"/>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K366" i="192"/>
  <c r="F366" i="192" s="1"/>
  <c r="M365" i="192"/>
  <c r="G365" i="192" s="1"/>
  <c r="I365" i="192" s="1"/>
  <c r="K365" i="192"/>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K359" i="192"/>
  <c r="F359" i="192" s="1"/>
  <c r="M358" i="192"/>
  <c r="G358" i="192" s="1"/>
  <c r="I358" i="192" s="1"/>
  <c r="K358" i="192"/>
  <c r="M357" i="192"/>
  <c r="G357" i="192" s="1"/>
  <c r="K357" i="192"/>
  <c r="F357" i="192" s="1"/>
  <c r="M356" i="192"/>
  <c r="G356" i="192" s="1"/>
  <c r="K356" i="192"/>
  <c r="F356" i="192" s="1"/>
  <c r="M355" i="192"/>
  <c r="G355" i="192" s="1"/>
  <c r="K355" i="192"/>
  <c r="F355" i="192" s="1"/>
  <c r="M354" i="192"/>
  <c r="K354" i="192"/>
  <c r="F354" i="192" s="1"/>
  <c r="M353" i="192"/>
  <c r="G353" i="192" s="1"/>
  <c r="I353" i="192" s="1"/>
  <c r="K353" i="192"/>
  <c r="M352" i="192"/>
  <c r="G352" i="192" s="1"/>
  <c r="K352" i="192"/>
  <c r="F352" i="192" s="1"/>
  <c r="M351" i="192"/>
  <c r="G351" i="192" s="1"/>
  <c r="K351" i="192"/>
  <c r="F351" i="192" s="1"/>
  <c r="M350" i="192"/>
  <c r="G350" i="192" s="1"/>
  <c r="K350" i="192"/>
  <c r="F350" i="192" s="1"/>
  <c r="M349" i="192"/>
  <c r="G349" i="192" s="1"/>
  <c r="K349" i="192"/>
  <c r="F349" i="192" s="1"/>
  <c r="M348" i="192"/>
  <c r="G348" i="192" s="1"/>
  <c r="K348" i="192"/>
  <c r="F348" i="192" s="1"/>
  <c r="M346" i="192"/>
  <c r="G346" i="192" s="1"/>
  <c r="K346" i="192"/>
  <c r="F346" i="192" s="1"/>
  <c r="M345" i="192"/>
  <c r="G345" i="192" s="1"/>
  <c r="K345" i="192"/>
  <c r="F345" i="192" s="1"/>
  <c r="M343" i="192"/>
  <c r="G343" i="192" s="1"/>
  <c r="K343" i="192"/>
  <c r="F343" i="192" s="1"/>
  <c r="M341" i="192"/>
  <c r="G341" i="192" s="1"/>
  <c r="K341" i="192"/>
  <c r="M340" i="192"/>
  <c r="G340" i="192" s="1"/>
  <c r="K340" i="192"/>
  <c r="F340" i="192" s="1"/>
  <c r="M333" i="192"/>
  <c r="G333" i="192" s="1"/>
  <c r="K333" i="192"/>
  <c r="F333" i="192" s="1"/>
  <c r="M331" i="192"/>
  <c r="G331" i="192" s="1"/>
  <c r="K331" i="192"/>
  <c r="F331" i="192" s="1"/>
  <c r="M329" i="192"/>
  <c r="G329" i="192" s="1"/>
  <c r="K329" i="192"/>
  <c r="F329" i="192" s="1"/>
  <c r="M320" i="192"/>
  <c r="G320" i="192" s="1"/>
  <c r="K320" i="192"/>
  <c r="F320" i="192" s="1"/>
  <c r="M318" i="192"/>
  <c r="G318" i="192" s="1"/>
  <c r="K318" i="192"/>
  <c r="M317" i="192"/>
  <c r="G317" i="192" s="1"/>
  <c r="K317" i="192"/>
  <c r="F317" i="192" s="1"/>
  <c r="M316" i="192"/>
  <c r="G316" i="192" s="1"/>
  <c r="K316" i="192"/>
  <c r="F316" i="192" s="1"/>
  <c r="M315" i="192"/>
  <c r="G315" i="192" s="1"/>
  <c r="K315" i="192"/>
  <c r="F315" i="192" s="1"/>
  <c r="M314" i="192"/>
  <c r="G314" i="192" s="1"/>
  <c r="K314" i="192"/>
  <c r="F314" i="192" s="1"/>
  <c r="M313" i="192"/>
  <c r="G313" i="192" s="1"/>
  <c r="K313" i="192"/>
  <c r="F313" i="192" s="1"/>
  <c r="M312" i="192"/>
  <c r="G312" i="192" s="1"/>
  <c r="K312" i="192"/>
  <c r="M311" i="192"/>
  <c r="G311" i="192" s="1"/>
  <c r="K311" i="192"/>
  <c r="F311" i="192" s="1"/>
  <c r="M310" i="192"/>
  <c r="G310" i="192" s="1"/>
  <c r="K310" i="192"/>
  <c r="F310" i="192" s="1"/>
  <c r="M309" i="192"/>
  <c r="G309" i="192" s="1"/>
  <c r="K309" i="192"/>
  <c r="F309" i="192" s="1"/>
  <c r="M308" i="192"/>
  <c r="G308" i="192" s="1"/>
  <c r="K308" i="192"/>
  <c r="F308" i="192" s="1"/>
  <c r="M307" i="192"/>
  <c r="G307" i="192" s="1"/>
  <c r="K307" i="192"/>
  <c r="F307" i="192" s="1"/>
  <c r="M306" i="192"/>
  <c r="G306" i="192" s="1"/>
  <c r="I306" i="192" s="1"/>
  <c r="K306" i="192"/>
  <c r="M301" i="192"/>
  <c r="G301" i="192" s="1"/>
  <c r="I301" i="192" s="1"/>
  <c r="K301" i="192"/>
  <c r="M282" i="192"/>
  <c r="G282" i="192" s="1"/>
  <c r="I282" i="192" s="1"/>
  <c r="K282" i="192"/>
  <c r="M281" i="192"/>
  <c r="G281" i="192" s="1"/>
  <c r="I281" i="192" s="1"/>
  <c r="H281" i="5" s="1"/>
  <c r="K281" i="192"/>
  <c r="M280" i="192"/>
  <c r="G280" i="192" s="1"/>
  <c r="I280" i="192" s="1"/>
  <c r="H280" i="5" s="1"/>
  <c r="K280" i="192"/>
  <c r="M279" i="192"/>
  <c r="G279" i="192" s="1"/>
  <c r="K279" i="192"/>
  <c r="M278" i="192"/>
  <c r="G278" i="192" s="1"/>
  <c r="I278" i="192" s="1"/>
  <c r="K278" i="192"/>
  <c r="M277" i="192"/>
  <c r="G277" i="192" s="1"/>
  <c r="I277" i="192" s="1"/>
  <c r="H277" i="5" s="1"/>
  <c r="K277" i="192"/>
  <c r="M276" i="192"/>
  <c r="G276" i="192" s="1"/>
  <c r="I276" i="192" s="1"/>
  <c r="H276" i="5" s="1"/>
  <c r="K276" i="192"/>
  <c r="M275" i="192"/>
  <c r="G275" i="192" s="1"/>
  <c r="K275" i="192"/>
  <c r="M274" i="192"/>
  <c r="G274" i="192" s="1"/>
  <c r="I274" i="192" s="1"/>
  <c r="K274" i="192"/>
  <c r="M273" i="192"/>
  <c r="G273" i="192" s="1"/>
  <c r="K273" i="192"/>
  <c r="M272" i="192"/>
  <c r="G272" i="192" s="1"/>
  <c r="K272" i="192"/>
  <c r="M271" i="192"/>
  <c r="G271" i="192" s="1"/>
  <c r="K271" i="192"/>
  <c r="M270" i="192"/>
  <c r="G270" i="192" s="1"/>
  <c r="I270" i="192" s="1"/>
  <c r="K270" i="192"/>
  <c r="M269" i="192"/>
  <c r="G269" i="192" s="1"/>
  <c r="I269" i="192" s="1"/>
  <c r="H269" i="5" s="1"/>
  <c r="K269" i="192"/>
  <c r="M268" i="192"/>
  <c r="G268" i="192" s="1"/>
  <c r="K268" i="192"/>
  <c r="M267" i="192"/>
  <c r="G267" i="192" s="1"/>
  <c r="K267" i="192"/>
  <c r="M266" i="192"/>
  <c r="G266" i="192" s="1"/>
  <c r="K266" i="192"/>
  <c r="M265" i="192"/>
  <c r="G265" i="192" s="1"/>
  <c r="K265" i="192"/>
  <c r="M264" i="192"/>
  <c r="G264" i="192" s="1"/>
  <c r="K264" i="192"/>
  <c r="M263" i="192"/>
  <c r="G263" i="192" s="1"/>
  <c r="K263" i="192"/>
  <c r="M262" i="192"/>
  <c r="G262" i="192" s="1"/>
  <c r="I262" i="192" s="1"/>
  <c r="K262" i="192"/>
  <c r="M261" i="192"/>
  <c r="G261" i="192" s="1"/>
  <c r="I261" i="192" s="1"/>
  <c r="H261" i="5" s="1"/>
  <c r="K261" i="192"/>
  <c r="M260" i="192"/>
  <c r="G260" i="192" s="1"/>
  <c r="I260" i="192" s="1"/>
  <c r="H260" i="5" s="1"/>
  <c r="K260" i="192"/>
  <c r="M259" i="192"/>
  <c r="G259" i="192" s="1"/>
  <c r="K259" i="192"/>
  <c r="M258" i="192"/>
  <c r="G258" i="192" s="1"/>
  <c r="K258" i="192"/>
  <c r="M257" i="192"/>
  <c r="G257" i="192" s="1"/>
  <c r="K257" i="192"/>
  <c r="M256" i="192"/>
  <c r="G256" i="192" s="1"/>
  <c r="I256" i="192" s="1"/>
  <c r="H256" i="5" s="1"/>
  <c r="K256" i="192"/>
  <c r="M255" i="192"/>
  <c r="G255" i="192" s="1"/>
  <c r="K255" i="192"/>
  <c r="M254" i="192"/>
  <c r="G254" i="192" s="1"/>
  <c r="I254" i="192" s="1"/>
  <c r="K254" i="192"/>
  <c r="M253" i="192"/>
  <c r="G253" i="192" s="1"/>
  <c r="K253" i="192"/>
  <c r="M252" i="192"/>
  <c r="G252" i="192" s="1"/>
  <c r="K252" i="192"/>
  <c r="M251" i="192"/>
  <c r="G251" i="192" s="1"/>
  <c r="K251" i="192"/>
  <c r="M250" i="192"/>
  <c r="G250" i="192" s="1"/>
  <c r="I250" i="192" s="1"/>
  <c r="K250" i="192"/>
  <c r="M237" i="192"/>
  <c r="G237" i="192" s="1"/>
  <c r="I237" i="192" s="1"/>
  <c r="H237" i="5" s="1"/>
  <c r="K237" i="192"/>
  <c r="M236" i="192"/>
  <c r="G236" i="192" s="1"/>
  <c r="I236" i="192" s="1"/>
  <c r="H236" i="5" s="1"/>
  <c r="K236" i="192"/>
  <c r="M235" i="192"/>
  <c r="G235" i="192" s="1"/>
  <c r="K235" i="192"/>
  <c r="F235" i="192" s="1"/>
  <c r="M234" i="192"/>
  <c r="G234" i="192" s="1"/>
  <c r="I234" i="192" s="1"/>
  <c r="K234" i="192"/>
  <c r="M231" i="192"/>
  <c r="G231" i="192" s="1"/>
  <c r="I231" i="192" s="1"/>
  <c r="H231" i="5" s="1"/>
  <c r="K231" i="192"/>
  <c r="M230" i="192"/>
  <c r="G230" i="192" s="1"/>
  <c r="I230" i="192" s="1"/>
  <c r="H230" i="5" s="1"/>
  <c r="K230" i="192"/>
  <c r="M229" i="192"/>
  <c r="G229" i="192" s="1"/>
  <c r="K229" i="192"/>
  <c r="F229" i="192" s="1"/>
  <c r="M228" i="192"/>
  <c r="G228" i="192" s="1"/>
  <c r="I228" i="192" s="1"/>
  <c r="K228" i="192"/>
  <c r="M227" i="192"/>
  <c r="G227" i="192" s="1"/>
  <c r="I227" i="192" s="1"/>
  <c r="H227" i="5" s="1"/>
  <c r="K227" i="192"/>
  <c r="M226" i="192"/>
  <c r="G226" i="192" s="1"/>
  <c r="K226" i="192"/>
  <c r="M225" i="192"/>
  <c r="G225" i="192" s="1"/>
  <c r="K225" i="192"/>
  <c r="M224" i="192"/>
  <c r="G224" i="192" s="1"/>
  <c r="K224" i="192"/>
  <c r="M221" i="192"/>
  <c r="G221" i="192" s="1"/>
  <c r="K221" i="192"/>
  <c r="F221" i="192" s="1"/>
  <c r="M220" i="192"/>
  <c r="G220" i="192" s="1"/>
  <c r="K220" i="192"/>
  <c r="F220" i="192" s="1"/>
  <c r="M219" i="192"/>
  <c r="G219" i="192" s="1"/>
  <c r="I219" i="192" s="1"/>
  <c r="K219" i="192"/>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K185" i="192"/>
  <c r="F185" i="192" s="1"/>
  <c r="M184" i="192"/>
  <c r="G184" i="192" s="1"/>
  <c r="I184" i="192" s="1"/>
  <c r="K184" i="192"/>
  <c r="M183" i="192"/>
  <c r="G183" i="192" s="1"/>
  <c r="K183" i="192"/>
  <c r="M182" i="192"/>
  <c r="G182" i="192" s="1"/>
  <c r="I182" i="192" s="1"/>
  <c r="H182" i="5" s="1"/>
  <c r="K182" i="192"/>
  <c r="M181" i="192"/>
  <c r="G181" i="192" s="1"/>
  <c r="I181" i="192" s="1"/>
  <c r="H181" i="5" s="1"/>
  <c r="K181" i="192"/>
  <c r="M180" i="192"/>
  <c r="G180" i="192" s="1"/>
  <c r="K180" i="192"/>
  <c r="M179" i="192"/>
  <c r="G179" i="192" s="1"/>
  <c r="I179" i="192" s="1"/>
  <c r="K179" i="192"/>
  <c r="M178" i="192"/>
  <c r="G178" i="192" s="1"/>
  <c r="I178" i="192" s="1"/>
  <c r="H178" i="5" s="1"/>
  <c r="K178" i="192"/>
  <c r="M177" i="192"/>
  <c r="G177" i="192" s="1"/>
  <c r="I177" i="192" s="1"/>
  <c r="H177" i="5" s="1"/>
  <c r="K177" i="192"/>
  <c r="M176" i="192"/>
  <c r="G176" i="192" s="1"/>
  <c r="K176" i="192"/>
  <c r="M175" i="192"/>
  <c r="G175" i="192" s="1"/>
  <c r="K175" i="192"/>
  <c r="M174" i="192"/>
  <c r="G174" i="192" s="1"/>
  <c r="K174" i="192"/>
  <c r="M173" i="192"/>
  <c r="G173" i="192" s="1"/>
  <c r="I173" i="192" s="1"/>
  <c r="H173" i="5" s="1"/>
  <c r="K173" i="192"/>
  <c r="M172" i="192"/>
  <c r="G172" i="192" s="1"/>
  <c r="K172" i="192"/>
  <c r="M171" i="192"/>
  <c r="G171" i="192" s="1"/>
  <c r="I171" i="192" s="1"/>
  <c r="K171" i="192"/>
  <c r="M170" i="192"/>
  <c r="G170" i="192" s="1"/>
  <c r="I170" i="192" s="1"/>
  <c r="H170" i="5" s="1"/>
  <c r="K170" i="192"/>
  <c r="M169" i="192"/>
  <c r="G169" i="192" s="1"/>
  <c r="K169" i="192"/>
  <c r="M168" i="192"/>
  <c r="G168" i="192" s="1"/>
  <c r="I168" i="192" s="1"/>
  <c r="K168" i="192"/>
  <c r="M167" i="192"/>
  <c r="K167" i="192"/>
  <c r="M166" i="192"/>
  <c r="K166" i="192"/>
  <c r="M165" i="192"/>
  <c r="K165" i="192"/>
  <c r="M164" i="192"/>
  <c r="G164" i="192" s="1"/>
  <c r="I164" i="192" s="1"/>
  <c r="K164" i="192"/>
  <c r="M163" i="192"/>
  <c r="G163" i="192" s="1"/>
  <c r="I163" i="192" s="1"/>
  <c r="K163" i="192"/>
  <c r="M162" i="192"/>
  <c r="G162" i="192" s="1"/>
  <c r="K162" i="192"/>
  <c r="M160" i="192"/>
  <c r="G160" i="192" s="1"/>
  <c r="K160" i="192"/>
  <c r="M159" i="192"/>
  <c r="G159" i="192" s="1"/>
  <c r="I159" i="192" s="1"/>
  <c r="K159" i="192"/>
  <c r="M158" i="192"/>
  <c r="G158" i="192" s="1"/>
  <c r="K158" i="192"/>
  <c r="M157" i="192"/>
  <c r="G157" i="192" s="1"/>
  <c r="K157" i="192"/>
  <c r="M156" i="192"/>
  <c r="G156" i="192" s="1"/>
  <c r="I156" i="192" s="1"/>
  <c r="K156" i="192"/>
  <c r="M154" i="192"/>
  <c r="G154" i="192" s="1"/>
  <c r="I154" i="192" s="1"/>
  <c r="K154" i="192"/>
  <c r="O3662" i="1" s="1"/>
  <c r="M153" i="192"/>
  <c r="G153" i="192" s="1"/>
  <c r="K153" i="192"/>
  <c r="M152" i="192"/>
  <c r="G152" i="192" s="1"/>
  <c r="K152" i="192"/>
  <c r="O1331" i="1" s="1"/>
  <c r="M151" i="192"/>
  <c r="G151" i="192" s="1"/>
  <c r="I151" i="192" s="1"/>
  <c r="O1291" i="246" s="1"/>
  <c r="R1291" i="246" s="1"/>
  <c r="K151" i="192"/>
  <c r="O1330" i="1" s="1"/>
  <c r="M147" i="192"/>
  <c r="G147" i="192" s="1"/>
  <c r="I147" i="192" s="1"/>
  <c r="O1287" i="246" s="1"/>
  <c r="R1287" i="246" s="1"/>
  <c r="K147" i="192"/>
  <c r="O1326" i="1" s="1"/>
  <c r="M146" i="192"/>
  <c r="G146" i="192" s="1"/>
  <c r="K146" i="192"/>
  <c r="O1325" i="1" s="1"/>
  <c r="M145" i="192"/>
  <c r="G145" i="192" s="1"/>
  <c r="K145" i="192"/>
  <c r="O1324" i="1" s="1"/>
  <c r="M144" i="192"/>
  <c r="G144" i="192" s="1"/>
  <c r="I144" i="192" s="1"/>
  <c r="O1284" i="246" s="1"/>
  <c r="R1284" i="246" s="1"/>
  <c r="K144" i="192"/>
  <c r="O1323" i="1" s="1"/>
  <c r="M143" i="192"/>
  <c r="G143" i="192" s="1"/>
  <c r="I143" i="192" s="1"/>
  <c r="O1283" i="246" s="1"/>
  <c r="R1283" i="246" s="1"/>
  <c r="K143" i="192"/>
  <c r="O1322" i="1" s="1"/>
  <c r="M142" i="192"/>
  <c r="G142" i="192" s="1"/>
  <c r="K142" i="192"/>
  <c r="M141" i="192"/>
  <c r="G141" i="192" s="1"/>
  <c r="K141" i="192"/>
  <c r="M140" i="192"/>
  <c r="G140" i="192" s="1"/>
  <c r="I140" i="192" s="1"/>
  <c r="K140" i="192"/>
  <c r="M138" i="192"/>
  <c r="G138" i="192" s="1"/>
  <c r="K138" i="192"/>
  <c r="O3681" i="1" s="1"/>
  <c r="M137" i="192"/>
  <c r="G137" i="192" s="1"/>
  <c r="K137" i="192"/>
  <c r="O3680" i="1" s="1"/>
  <c r="M136" i="192"/>
  <c r="G136" i="192" s="1"/>
  <c r="I136" i="192" s="1"/>
  <c r="O3283" i="246" s="1"/>
  <c r="K136" i="192"/>
  <c r="O3679" i="1" s="1"/>
  <c r="M135" i="192"/>
  <c r="G135" i="192" s="1"/>
  <c r="I135" i="192" s="1"/>
  <c r="O3282" i="246" s="1"/>
  <c r="K135" i="192"/>
  <c r="O3678" i="1" s="1"/>
  <c r="M134" i="192"/>
  <c r="G134" i="192" s="1"/>
  <c r="I134" i="192" s="1"/>
  <c r="O3281" i="246" s="1"/>
  <c r="K134" i="192"/>
  <c r="O3677" i="1" s="1"/>
  <c r="M133" i="192"/>
  <c r="G133" i="192" s="1"/>
  <c r="I133" i="192" s="1"/>
  <c r="O3280" i="246" s="1"/>
  <c r="K133" i="192"/>
  <c r="O3676" i="1" s="1"/>
  <c r="M132" i="192"/>
  <c r="G132" i="192" s="1"/>
  <c r="I132" i="192" s="1"/>
  <c r="O3279" i="246" s="1"/>
  <c r="K132" i="192"/>
  <c r="O3675" i="1" s="1"/>
  <c r="M131" i="192"/>
  <c r="G131" i="192" s="1"/>
  <c r="I131" i="192" s="1"/>
  <c r="O3278" i="246" s="1"/>
  <c r="K131" i="192"/>
  <c r="O3674" i="1" s="1"/>
  <c r="M130" i="192"/>
  <c r="G130" i="192" s="1"/>
  <c r="I130" i="192" s="1"/>
  <c r="O3277" i="246" s="1"/>
  <c r="K130" i="192"/>
  <c r="O3673" i="1" s="1"/>
  <c r="M129" i="192"/>
  <c r="G129" i="192" s="1"/>
  <c r="I129" i="192" s="1"/>
  <c r="O3276" i="246" s="1"/>
  <c r="K129" i="192"/>
  <c r="O3672" i="1" s="1"/>
  <c r="M128" i="192"/>
  <c r="G128" i="192" s="1"/>
  <c r="I128" i="192" s="1"/>
  <c r="O3275" i="246" s="1"/>
  <c r="K128" i="192"/>
  <c r="O3671" i="1" s="1"/>
  <c r="M127" i="192"/>
  <c r="G127" i="192" s="1"/>
  <c r="I127" i="192" s="1"/>
  <c r="O3274" i="246" s="1"/>
  <c r="K127" i="192"/>
  <c r="O3670" i="1" s="1"/>
  <c r="M126" i="192"/>
  <c r="G126" i="192" s="1"/>
  <c r="I126" i="192" s="1"/>
  <c r="O3273" i="246" s="1"/>
  <c r="K126" i="192"/>
  <c r="O3669" i="1" s="1"/>
  <c r="M125" i="192"/>
  <c r="G125" i="192" s="1"/>
  <c r="I125" i="192" s="1"/>
  <c r="K125" i="192"/>
  <c r="M124" i="192"/>
  <c r="G124" i="192" s="1"/>
  <c r="I124" i="192" s="1"/>
  <c r="K124" i="192"/>
  <c r="M123" i="192"/>
  <c r="G123" i="192" s="1"/>
  <c r="I123" i="192" s="1"/>
  <c r="O3270" i="246" s="1"/>
  <c r="K123" i="192"/>
  <c r="O3666" i="1" s="1"/>
  <c r="M122" i="192"/>
  <c r="G122" i="192" s="1"/>
  <c r="I122" i="192" s="1"/>
  <c r="O3269" i="246" s="1"/>
  <c r="K122" i="192"/>
  <c r="O3665" i="1" s="1"/>
  <c r="M121" i="192"/>
  <c r="G121" i="192" s="1"/>
  <c r="I121" i="192" s="1"/>
  <c r="K121" i="192"/>
  <c r="M120" i="192"/>
  <c r="G120" i="192" s="1"/>
  <c r="I120" i="192" s="1"/>
  <c r="K120" i="192"/>
  <c r="M119" i="192"/>
  <c r="G119" i="192" s="1"/>
  <c r="I119" i="192" s="1"/>
  <c r="O3265" i="246" s="1"/>
  <c r="K119" i="192"/>
  <c r="O3661" i="1" s="1"/>
  <c r="M118" i="192"/>
  <c r="G118" i="192" s="1"/>
  <c r="I118" i="192" s="1"/>
  <c r="O3264" i="246" s="1"/>
  <c r="K118" i="192"/>
  <c r="O3660" i="1" s="1"/>
  <c r="M117" i="192"/>
  <c r="G117" i="192" s="1"/>
  <c r="I117" i="192" s="1"/>
  <c r="O3263" i="246" s="1"/>
  <c r="K117" i="192"/>
  <c r="O3659" i="1" s="1"/>
  <c r="M116" i="192"/>
  <c r="G116" i="192" s="1"/>
  <c r="I116" i="192" s="1"/>
  <c r="O3262" i="246" s="1"/>
  <c r="K116" i="192"/>
  <c r="O3658" i="1" s="1"/>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7" i="192"/>
  <c r="G107" i="192" s="1"/>
  <c r="I107" i="192" s="1"/>
  <c r="K107" i="192"/>
  <c r="M105" i="192"/>
  <c r="G105" i="192" s="1"/>
  <c r="I105" i="192" s="1"/>
  <c r="O3258" i="246" s="1"/>
  <c r="K105" i="192"/>
  <c r="O3654" i="1" s="1"/>
  <c r="M104" i="192"/>
  <c r="G104" i="192" s="1"/>
  <c r="I104" i="192" s="1"/>
  <c r="O3257" i="246" s="1"/>
  <c r="K104" i="192"/>
  <c r="O3653" i="1" s="1"/>
  <c r="M103" i="192"/>
  <c r="G103" i="192" s="1"/>
  <c r="I103" i="192" s="1"/>
  <c r="O3256" i="246" s="1"/>
  <c r="K103" i="192"/>
  <c r="O3651" i="1" s="1"/>
  <c r="M102" i="192"/>
  <c r="G102" i="192" s="1"/>
  <c r="I102" i="192" s="1"/>
  <c r="O3255" i="246" s="1"/>
  <c r="K102" i="192"/>
  <c r="O3652" i="1" s="1"/>
  <c r="M101" i="192"/>
  <c r="G101" i="192" s="1"/>
  <c r="I101" i="192" s="1"/>
  <c r="K101" i="192"/>
  <c r="M100" i="192"/>
  <c r="G100" i="192" s="1"/>
  <c r="I100" i="192" s="1"/>
  <c r="K100" i="192"/>
  <c r="M99" i="192"/>
  <c r="G99" i="192" s="1"/>
  <c r="I99" i="192" s="1"/>
  <c r="K99" i="192"/>
  <c r="M98" i="192"/>
  <c r="G98" i="192" s="1"/>
  <c r="I98" i="192" s="1"/>
  <c r="K98" i="192"/>
  <c r="M97" i="192"/>
  <c r="G97" i="192" s="1"/>
  <c r="I97" i="192" s="1"/>
  <c r="K97" i="192"/>
  <c r="M95" i="192"/>
  <c r="G95" i="192" s="1"/>
  <c r="I95" i="192" s="1"/>
  <c r="O3298" i="246" s="1"/>
  <c r="K95" i="192"/>
  <c r="O3694" i="1" s="1"/>
  <c r="M94" i="192"/>
  <c r="G94" i="192" s="1"/>
  <c r="I94" i="192" s="1"/>
  <c r="O3295" i="246" s="1"/>
  <c r="K94" i="192"/>
  <c r="O3691" i="1" s="1"/>
  <c r="M93" i="192"/>
  <c r="G93" i="192" s="1"/>
  <c r="I93" i="192" s="1"/>
  <c r="K93" i="192"/>
  <c r="M92" i="192"/>
  <c r="G92" i="192" s="1"/>
  <c r="I92" i="192" s="1"/>
  <c r="K92" i="192"/>
  <c r="M90" i="192"/>
  <c r="G90" i="192" s="1"/>
  <c r="I90" i="192" s="1"/>
  <c r="K90" i="192"/>
  <c r="M89" i="192"/>
  <c r="G89" i="192" s="1"/>
  <c r="I89" i="192" s="1"/>
  <c r="K89" i="192"/>
  <c r="M88" i="192"/>
  <c r="G88" i="192" s="1"/>
  <c r="I88" i="192" s="1"/>
  <c r="O1217" i="246" s="1"/>
  <c r="R1217" i="246" s="1"/>
  <c r="K88" i="192"/>
  <c r="O1256" i="1" s="1"/>
  <c r="M87" i="192"/>
  <c r="G87" i="192" s="1"/>
  <c r="I87" i="192" s="1"/>
  <c r="O1216" i="246" s="1"/>
  <c r="R1216" i="246" s="1"/>
  <c r="K87" i="192"/>
  <c r="O1255" i="1" s="1"/>
  <c r="M86" i="192"/>
  <c r="G86" i="192" s="1"/>
  <c r="I86" i="192" s="1"/>
  <c r="O1215" i="246" s="1"/>
  <c r="R1215" i="246" s="1"/>
  <c r="K86" i="192"/>
  <c r="O1254" i="1" s="1"/>
  <c r="M85" i="192"/>
  <c r="G85" i="192" s="1"/>
  <c r="I85" i="192" s="1"/>
  <c r="K85" i="192"/>
  <c r="M84" i="192"/>
  <c r="G84" i="192" s="1"/>
  <c r="I84" i="192" s="1"/>
  <c r="K84" i="192"/>
  <c r="M83" i="192"/>
  <c r="G83" i="192" s="1"/>
  <c r="I83" i="192" s="1"/>
  <c r="O3300" i="246" s="1"/>
  <c r="K83" i="192"/>
  <c r="O3696" i="1" s="1"/>
  <c r="M82" i="192"/>
  <c r="G82" i="192" s="1"/>
  <c r="I82" i="192" s="1"/>
  <c r="K82" i="192"/>
  <c r="M81" i="192"/>
  <c r="G81" i="192" s="1"/>
  <c r="I81" i="192" s="1"/>
  <c r="O3228" i="246" s="1"/>
  <c r="K81" i="192"/>
  <c r="O3624" i="1" s="1"/>
  <c r="M80" i="192"/>
  <c r="G80" i="192" s="1"/>
  <c r="I80" i="192" s="1"/>
  <c r="O3227" i="246" s="1"/>
  <c r="K80" i="192"/>
  <c r="O3623" i="1" s="1"/>
  <c r="M79" i="192"/>
  <c r="G79" i="192" s="1"/>
  <c r="I79" i="192" s="1"/>
  <c r="O3226" i="246" s="1"/>
  <c r="K79" i="192"/>
  <c r="O3622" i="1" s="1"/>
  <c r="M78" i="192"/>
  <c r="G78" i="192" s="1"/>
  <c r="I78" i="192" s="1"/>
  <c r="O3225" i="246" s="1"/>
  <c r="K78" i="192"/>
  <c r="O3621" i="1" s="1"/>
  <c r="M77" i="192"/>
  <c r="G77" i="192" s="1"/>
  <c r="I77" i="192" s="1"/>
  <c r="O3224" i="246" s="1"/>
  <c r="K77" i="192"/>
  <c r="O3620" i="1" s="1"/>
  <c r="M76" i="192"/>
  <c r="G76" i="192" s="1"/>
  <c r="I76" i="192" s="1"/>
  <c r="O3223" i="246" s="1"/>
  <c r="K76" i="192"/>
  <c r="O3619" i="1" s="1"/>
  <c r="M75" i="192"/>
  <c r="G75" i="192" s="1"/>
  <c r="I75" i="192" s="1"/>
  <c r="O3222" i="246" s="1"/>
  <c r="K75" i="192"/>
  <c r="O3618" i="1" s="1"/>
  <c r="M74" i="192"/>
  <c r="G74" i="192" s="1"/>
  <c r="I74" i="192" s="1"/>
  <c r="O3221" i="246" s="1"/>
  <c r="K74" i="192"/>
  <c r="O3617" i="1" s="1"/>
  <c r="M73" i="192"/>
  <c r="G73" i="192" s="1"/>
  <c r="I73" i="192" s="1"/>
  <c r="O3220" i="246" s="1"/>
  <c r="K73" i="192"/>
  <c r="O3616" i="1" s="1"/>
  <c r="M72" i="192"/>
  <c r="G72" i="192" s="1"/>
  <c r="I72" i="192" s="1"/>
  <c r="O3219" i="246" s="1"/>
  <c r="K72" i="192"/>
  <c r="O3615" i="1" s="1"/>
  <c r="M71" i="192"/>
  <c r="G71" i="192" s="1"/>
  <c r="I71" i="192" s="1"/>
  <c r="O3218" i="246" s="1"/>
  <c r="K71" i="192"/>
  <c r="O3614" i="1" s="1"/>
  <c r="M70" i="192"/>
  <c r="G70" i="192" s="1"/>
  <c r="I70" i="192" s="1"/>
  <c r="O3217" i="246" s="1"/>
  <c r="K70" i="192"/>
  <c r="O3613" i="1" s="1"/>
  <c r="M69" i="192"/>
  <c r="G69" i="192" s="1"/>
  <c r="I69" i="192" s="1"/>
  <c r="K69" i="192"/>
  <c r="M68" i="192"/>
  <c r="G68" i="192" s="1"/>
  <c r="I68" i="192" s="1"/>
  <c r="K68" i="192"/>
  <c r="M67" i="192"/>
  <c r="G67" i="192" s="1"/>
  <c r="I67" i="192" s="1"/>
  <c r="K67" i="192"/>
  <c r="M66" i="192"/>
  <c r="G66" i="192" s="1"/>
  <c r="I66" i="192" s="1"/>
  <c r="K66" i="192"/>
  <c r="M65" i="192"/>
  <c r="G65" i="192" s="1"/>
  <c r="I65" i="192" s="1"/>
  <c r="K65" i="192"/>
  <c r="M64" i="192"/>
  <c r="G64" i="192" s="1"/>
  <c r="I64" i="192" s="1"/>
  <c r="O3214" i="246" s="1"/>
  <c r="K64" i="192"/>
  <c r="O3610" i="1" s="1"/>
  <c r="M63" i="192"/>
  <c r="G63" i="192" s="1"/>
  <c r="I63" i="192" s="1"/>
  <c r="O1144" i="246" s="1"/>
  <c r="R1144" i="246" s="1"/>
  <c r="K63" i="192"/>
  <c r="O1183" i="1" s="1"/>
  <c r="M62" i="192"/>
  <c r="G62" i="192" s="1"/>
  <c r="I62" i="192" s="1"/>
  <c r="O1143" i="246" s="1"/>
  <c r="R1143" i="246" s="1"/>
  <c r="K62" i="192"/>
  <c r="O1182"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211" i="246" s="1"/>
  <c r="K53" i="192"/>
  <c r="O3607" i="1" s="1"/>
  <c r="M52" i="192"/>
  <c r="G52" i="192" s="1"/>
  <c r="I52" i="192" s="1"/>
  <c r="K52" i="192"/>
  <c r="M51" i="192"/>
  <c r="G51" i="192" s="1"/>
  <c r="I51" i="192" s="1"/>
  <c r="K51" i="192"/>
  <c r="M50" i="192"/>
  <c r="G50" i="192" s="1"/>
  <c r="I50" i="192" s="1"/>
  <c r="O3209" i="246" s="1"/>
  <c r="K50" i="192"/>
  <c r="O3605" i="1" s="1"/>
  <c r="M49" i="192"/>
  <c r="G49" i="192" s="1"/>
  <c r="I49" i="192" s="1"/>
  <c r="O3208" i="246" s="1"/>
  <c r="K49" i="192"/>
  <c r="O3604" i="1" s="1"/>
  <c r="M48" i="192"/>
  <c r="G48" i="192" s="1"/>
  <c r="I48" i="192" s="1"/>
  <c r="O3207" i="246" s="1"/>
  <c r="K48" i="192"/>
  <c r="O3603" i="1" s="1"/>
  <c r="M47" i="192"/>
  <c r="G47" i="192" s="1"/>
  <c r="I47" i="192" s="1"/>
  <c r="O3206" i="246" s="1"/>
  <c r="K47" i="192"/>
  <c r="O3602" i="1" s="1"/>
  <c r="M46" i="192"/>
  <c r="G46" i="192" s="1"/>
  <c r="I46" i="192" s="1"/>
  <c r="K46" i="192"/>
  <c r="M45" i="192"/>
  <c r="G45" i="192" s="1"/>
  <c r="I45" i="192" s="1"/>
  <c r="K45" i="192"/>
  <c r="M44" i="192"/>
  <c r="G44" i="192" s="1"/>
  <c r="I44" i="192" s="1"/>
  <c r="K44" i="192"/>
  <c r="M43" i="192"/>
  <c r="G43" i="192" s="1"/>
  <c r="I43" i="192" s="1"/>
  <c r="K43" i="192"/>
  <c r="M42" i="192"/>
  <c r="G42" i="192" s="1"/>
  <c r="I42" i="192" s="1"/>
  <c r="O3204" i="246" s="1"/>
  <c r="K42" i="192"/>
  <c r="O3600" i="1" s="1"/>
  <c r="M41" i="192"/>
  <c r="G41" i="192" s="1"/>
  <c r="I41" i="192" s="1"/>
  <c r="O3203" i="246" s="1"/>
  <c r="K41" i="192"/>
  <c r="O3599" i="1" s="1"/>
  <c r="M40" i="192"/>
  <c r="G40" i="192" s="1"/>
  <c r="I40" i="192" s="1"/>
  <c r="O3202" i="246" s="1"/>
  <c r="K40" i="192"/>
  <c r="O3598"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588" i="1" s="1"/>
  <c r="M31" i="192"/>
  <c r="G31" i="192" s="1"/>
  <c r="I31" i="192" s="1"/>
  <c r="K31" i="192"/>
  <c r="O3587" i="1" s="1"/>
  <c r="M30" i="192"/>
  <c r="G30" i="192" s="1"/>
  <c r="I30" i="192" s="1"/>
  <c r="K30" i="192"/>
  <c r="O3586" i="1" s="1"/>
  <c r="M29" i="192"/>
  <c r="G29" i="192" s="1"/>
  <c r="I29" i="192" s="1"/>
  <c r="K29" i="192"/>
  <c r="O3585" i="1" s="1"/>
  <c r="K28" i="192"/>
  <c r="O3584"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3178" i="246" s="1"/>
  <c r="K22" i="192"/>
  <c r="O3574" i="1" s="1"/>
  <c r="M21" i="192"/>
  <c r="G21" i="192" s="1"/>
  <c r="I21" i="192" s="1"/>
  <c r="O3177" i="246" s="1"/>
  <c r="K21" i="192"/>
  <c r="O3573" i="1" s="1"/>
  <c r="M20" i="192"/>
  <c r="G20" i="192" s="1"/>
  <c r="I20" i="192" s="1"/>
  <c r="O3176" i="246" s="1"/>
  <c r="K20" i="192"/>
  <c r="O3572" i="1" s="1"/>
  <c r="M19" i="192"/>
  <c r="G19" i="192" s="1"/>
  <c r="I19" i="192" s="1"/>
  <c r="O3175" i="246" s="1"/>
  <c r="K19" i="192"/>
  <c r="O3571" i="1" s="1"/>
  <c r="M18" i="192"/>
  <c r="G18" i="192" s="1"/>
  <c r="I18" i="192" s="1"/>
  <c r="O3174" i="246" s="1"/>
  <c r="K18" i="192"/>
  <c r="O3570" i="1" s="1"/>
  <c r="M17" i="192"/>
  <c r="G17" i="192" s="1"/>
  <c r="I17" i="192" s="1"/>
  <c r="O3173" i="246" s="1"/>
  <c r="K17" i="192"/>
  <c r="O3569"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O3581" i="1" l="1"/>
  <c r="U3581" i="1" s="1"/>
  <c r="O3826" i="1"/>
  <c r="M3662" i="1"/>
  <c r="O3266" i="246"/>
  <c r="I229" i="192"/>
  <c r="G303" i="192"/>
  <c r="I303" i="192" s="1"/>
  <c r="H303" i="5" s="1"/>
  <c r="L303" i="5" s="1"/>
  <c r="O1782" i="246" s="1"/>
  <c r="O3601" i="1"/>
  <c r="O3612" i="1"/>
  <c r="O3692" i="1"/>
  <c r="O3650" i="1"/>
  <c r="O3657" i="1"/>
  <c r="O3561" i="1"/>
  <c r="U3561" i="1" s="1"/>
  <c r="O3575" i="1"/>
  <c r="O3216" i="246"/>
  <c r="O3568" i="1"/>
  <c r="O3563" i="1"/>
  <c r="U3563" i="1" s="1"/>
  <c r="O3167" i="246"/>
  <c r="S3167" i="246" s="1"/>
  <c r="O3727" i="1"/>
  <c r="S3727" i="1" s="1"/>
  <c r="O3205" i="246"/>
  <c r="O1078" i="246"/>
  <c r="R1078" i="246" s="1"/>
  <c r="O3189" i="246"/>
  <c r="O1080" i="246"/>
  <c r="R1080" i="246" s="1"/>
  <c r="O3191" i="246"/>
  <c r="O3299" i="246"/>
  <c r="O3268" i="246"/>
  <c r="O3192" i="246"/>
  <c r="O1081" i="246"/>
  <c r="R1081" i="246" s="1"/>
  <c r="O3210" i="246"/>
  <c r="O3212" i="246"/>
  <c r="O1142" i="246"/>
  <c r="R1142" i="246" s="1"/>
  <c r="O3213" i="246"/>
  <c r="O1214" i="246"/>
  <c r="R1214" i="246" s="1"/>
  <c r="O3297" i="246"/>
  <c r="O3267" i="246"/>
  <c r="O3190" i="246"/>
  <c r="O1079" i="246"/>
  <c r="R1079" i="246" s="1"/>
  <c r="O3215" i="246"/>
  <c r="O3254" i="246"/>
  <c r="O3260" i="246"/>
  <c r="O3272" i="246"/>
  <c r="O3296" i="246"/>
  <c r="O3261" i="246"/>
  <c r="D1116" i="1"/>
  <c r="D3188" i="246"/>
  <c r="D1077" i="246"/>
  <c r="D3024" i="246"/>
  <c r="D1071" i="246"/>
  <c r="M28" i="192"/>
  <c r="G28" i="192" s="1"/>
  <c r="I28" i="192" s="1"/>
  <c r="D3420" i="1"/>
  <c r="D3256" i="1"/>
  <c r="D3748" i="1"/>
  <c r="D3584" i="1"/>
  <c r="M3570" i="1"/>
  <c r="O3734" i="1"/>
  <c r="M3572" i="1"/>
  <c r="O3736" i="1"/>
  <c r="M3574" i="1"/>
  <c r="O3738" i="1"/>
  <c r="M3586" i="1"/>
  <c r="O3750" i="1"/>
  <c r="M3588" i="1"/>
  <c r="O3752" i="1"/>
  <c r="M3599" i="1"/>
  <c r="O3763" i="1"/>
  <c r="M3602" i="1"/>
  <c r="O3766" i="1"/>
  <c r="O3768" i="1"/>
  <c r="M3604" i="1"/>
  <c r="M3606" i="1"/>
  <c r="O3770" i="1"/>
  <c r="M3607" i="1"/>
  <c r="O3771" i="1"/>
  <c r="O3772" i="1"/>
  <c r="M3608" i="1"/>
  <c r="M3609" i="1"/>
  <c r="O3773" i="1"/>
  <c r="O3775" i="1"/>
  <c r="M3611" i="1"/>
  <c r="M3614" i="1"/>
  <c r="O3778" i="1"/>
  <c r="M3616" i="1"/>
  <c r="O3780" i="1"/>
  <c r="M3618" i="1"/>
  <c r="O3782" i="1"/>
  <c r="M3620" i="1"/>
  <c r="O3784" i="1"/>
  <c r="M3622" i="1"/>
  <c r="O3786" i="1"/>
  <c r="M3624" i="1"/>
  <c r="O3788" i="1"/>
  <c r="O3860" i="1"/>
  <c r="M3696" i="1"/>
  <c r="O3857" i="1"/>
  <c r="M3693" i="1"/>
  <c r="O3855" i="1"/>
  <c r="M3691" i="1"/>
  <c r="O3815" i="1"/>
  <c r="M3651" i="1"/>
  <c r="O3818" i="1"/>
  <c r="M3654" i="1"/>
  <c r="O3820" i="1"/>
  <c r="M3656" i="1"/>
  <c r="O3822" i="1"/>
  <c r="M3658" i="1"/>
  <c r="O3824" i="1"/>
  <c r="M3660" i="1"/>
  <c r="O3827" i="1"/>
  <c r="M3663" i="1"/>
  <c r="O3829" i="1"/>
  <c r="M3665" i="1"/>
  <c r="O3832" i="1"/>
  <c r="M3668" i="1"/>
  <c r="O3833" i="1"/>
  <c r="M3669" i="1"/>
  <c r="O3835" i="1"/>
  <c r="M3671" i="1"/>
  <c r="O3837" i="1"/>
  <c r="M3673" i="1"/>
  <c r="O3839" i="1"/>
  <c r="M3675" i="1"/>
  <c r="O3841" i="1"/>
  <c r="M3677" i="1"/>
  <c r="O3843" i="1"/>
  <c r="M3679" i="1"/>
  <c r="O3735" i="1"/>
  <c r="M3571" i="1"/>
  <c r="M3587" i="1"/>
  <c r="O3751" i="1"/>
  <c r="O3764" i="1"/>
  <c r="M3600" i="1"/>
  <c r="M3610" i="1"/>
  <c r="O3774" i="1"/>
  <c r="M3613" i="1"/>
  <c r="O3777" i="1"/>
  <c r="M3617" i="1"/>
  <c r="O3781" i="1"/>
  <c r="M3623" i="1"/>
  <c r="O3787" i="1"/>
  <c r="O3856" i="1"/>
  <c r="M3692" i="1"/>
  <c r="O3858" i="1"/>
  <c r="M3694" i="1"/>
  <c r="O3816" i="1"/>
  <c r="M3652" i="1"/>
  <c r="O3823" i="1"/>
  <c r="M3659" i="1"/>
  <c r="O3834" i="1"/>
  <c r="M3670" i="1"/>
  <c r="O3836" i="1"/>
  <c r="M3672" i="1"/>
  <c r="O3838" i="1"/>
  <c r="M3674" i="1"/>
  <c r="O3842" i="1"/>
  <c r="M3678" i="1"/>
  <c r="M3563" i="1"/>
  <c r="S3563" i="1" s="1"/>
  <c r="O3733" i="1"/>
  <c r="M3569" i="1"/>
  <c r="O3737" i="1"/>
  <c r="M3573" i="1"/>
  <c r="M3585" i="1"/>
  <c r="O3749" i="1"/>
  <c r="M3598" i="1"/>
  <c r="O3762" i="1"/>
  <c r="M3601" i="1"/>
  <c r="O3765" i="1"/>
  <c r="M3603" i="1"/>
  <c r="O3767" i="1"/>
  <c r="M3605" i="1"/>
  <c r="O3769" i="1"/>
  <c r="M3612" i="1"/>
  <c r="O3776" i="1"/>
  <c r="M3615" i="1"/>
  <c r="O3779" i="1"/>
  <c r="M3619" i="1"/>
  <c r="O3783" i="1"/>
  <c r="M3621" i="1"/>
  <c r="O3785" i="1"/>
  <c r="O3828" i="1"/>
  <c r="M3664" i="1"/>
  <c r="O3859" i="1"/>
  <c r="M3695" i="1"/>
  <c r="O3814" i="1"/>
  <c r="M3650" i="1"/>
  <c r="O3817" i="1"/>
  <c r="M3653" i="1"/>
  <c r="O3821" i="1"/>
  <c r="M3657" i="1"/>
  <c r="O3825" i="1"/>
  <c r="M3661" i="1"/>
  <c r="O3830" i="1"/>
  <c r="M3666" i="1"/>
  <c r="O3840" i="1"/>
  <c r="M3676" i="1"/>
  <c r="O3664" i="1"/>
  <c r="O3695" i="1"/>
  <c r="O3606" i="1"/>
  <c r="O3608" i="1"/>
  <c r="O3609" i="1"/>
  <c r="O3611" i="1"/>
  <c r="O3693" i="1"/>
  <c r="O3656" i="1"/>
  <c r="O3663" i="1"/>
  <c r="O3668" i="1"/>
  <c r="O3703" i="1"/>
  <c r="U3703" i="1" s="1"/>
  <c r="M1182" i="1"/>
  <c r="R1182" i="1" s="1"/>
  <c r="M1254" i="1"/>
  <c r="R1254" i="1" s="1"/>
  <c r="M1326" i="1"/>
  <c r="R1326" i="1" s="1"/>
  <c r="M1183" i="1"/>
  <c r="R1183" i="1" s="1"/>
  <c r="M1255" i="1"/>
  <c r="R1255" i="1" s="1"/>
  <c r="M1256" i="1"/>
  <c r="R1256" i="1" s="1"/>
  <c r="M1322" i="1"/>
  <c r="R1322" i="1" s="1"/>
  <c r="M1253" i="1"/>
  <c r="M1323" i="1"/>
  <c r="R1323" i="1" s="1"/>
  <c r="M1330" i="1"/>
  <c r="R1330" i="1" s="1"/>
  <c r="E98" i="231"/>
  <c r="F98" i="231" s="1"/>
  <c r="G98" i="231" s="1"/>
  <c r="D2" i="192"/>
  <c r="H2" i="192" s="1"/>
  <c r="I186" i="192"/>
  <c r="H186" i="5" s="1"/>
  <c r="F263" i="192"/>
  <c r="I263" i="192" s="1"/>
  <c r="F169" i="192"/>
  <c r="I169" i="192" s="1"/>
  <c r="F180" i="192"/>
  <c r="I180" i="192" s="1"/>
  <c r="I189" i="192"/>
  <c r="H189" i="5" s="1"/>
  <c r="F267" i="192"/>
  <c r="I267" i="192" s="1"/>
  <c r="F271" i="192"/>
  <c r="I271" i="192" s="1"/>
  <c r="F275" i="192"/>
  <c r="I275" i="192" s="1"/>
  <c r="I351" i="192"/>
  <c r="H351" i="5" s="1"/>
  <c r="I345" i="192"/>
  <c r="H345" i="5" s="1"/>
  <c r="I194" i="192"/>
  <c r="H194" i="5" s="1"/>
  <c r="I307" i="192"/>
  <c r="H307" i="5" s="1"/>
  <c r="I315" i="192"/>
  <c r="H315" i="5" s="1"/>
  <c r="H400" i="5"/>
  <c r="I204" i="192"/>
  <c r="H204" i="5" s="1"/>
  <c r="I207" i="192"/>
  <c r="H207" i="5" s="1"/>
  <c r="I217" i="192"/>
  <c r="H217" i="5" s="1"/>
  <c r="I235" i="192"/>
  <c r="F251" i="192"/>
  <c r="I251" i="192" s="1"/>
  <c r="F259" i="192"/>
  <c r="I259" i="192" s="1"/>
  <c r="I383" i="192"/>
  <c r="H383" i="5" s="1"/>
  <c r="I196" i="192"/>
  <c r="H196" i="5" s="1"/>
  <c r="F279" i="192"/>
  <c r="I279" i="192" s="1"/>
  <c r="I356" i="192"/>
  <c r="H356" i="5" s="1"/>
  <c r="I363" i="192"/>
  <c r="H363" i="5" s="1"/>
  <c r="I379" i="192"/>
  <c r="H379" i="5" s="1"/>
  <c r="F385" i="192"/>
  <c r="I385" i="192" s="1"/>
  <c r="G354" i="192"/>
  <c r="I354" i="192" s="1"/>
  <c r="H354" i="5" s="1"/>
  <c r="I188" i="192"/>
  <c r="H188" i="5" s="1"/>
  <c r="I206" i="192"/>
  <c r="H206" i="5" s="1"/>
  <c r="I350" i="192"/>
  <c r="H350" i="5" s="1"/>
  <c r="I368" i="192"/>
  <c r="H368" i="5" s="1"/>
  <c r="I343" i="192"/>
  <c r="H343" i="5" s="1"/>
  <c r="I372" i="192"/>
  <c r="H372" i="5" s="1"/>
  <c r="F172" i="192"/>
  <c r="I172" i="192" s="1"/>
  <c r="I192" i="192"/>
  <c r="H192" i="5" s="1"/>
  <c r="I216" i="192"/>
  <c r="H216" i="5" s="1"/>
  <c r="I310" i="192"/>
  <c r="H310" i="5" s="1"/>
  <c r="I316" i="192"/>
  <c r="H316" i="5" s="1"/>
  <c r="I329" i="192"/>
  <c r="H329" i="5" s="1"/>
  <c r="I349" i="192"/>
  <c r="H349" i="5" s="1"/>
  <c r="I359" i="192"/>
  <c r="H359" i="5" s="1"/>
  <c r="I361" i="192"/>
  <c r="H361" i="5" s="1"/>
  <c r="I393" i="192"/>
  <c r="I364" i="192"/>
  <c r="H364" i="5" s="1"/>
  <c r="I374" i="192"/>
  <c r="H374" i="5" s="1"/>
  <c r="I360" i="192"/>
  <c r="H360" i="5" s="1"/>
  <c r="I357" i="192"/>
  <c r="H357" i="5" s="1"/>
  <c r="I202" i="192"/>
  <c r="H202" i="5" s="1"/>
  <c r="I218" i="192"/>
  <c r="H218" i="5" s="1"/>
  <c r="I362" i="192"/>
  <c r="H362" i="5" s="1"/>
  <c r="I396" i="192"/>
  <c r="H396" i="5" s="1"/>
  <c r="O1117" i="1"/>
  <c r="O1119" i="1"/>
  <c r="O1181" i="1"/>
  <c r="F183" i="192"/>
  <c r="I183" i="192" s="1"/>
  <c r="I199" i="192"/>
  <c r="H199" i="5" s="1"/>
  <c r="O1116" i="1"/>
  <c r="O1118" i="1"/>
  <c r="O1120" i="1"/>
  <c r="O1253" i="1"/>
  <c r="O1321" i="1"/>
  <c r="I352" i="192"/>
  <c r="H352" i="5" s="1"/>
  <c r="I210" i="192"/>
  <c r="H210" i="5" s="1"/>
  <c r="I331" i="192"/>
  <c r="H331" i="5" s="1"/>
  <c r="F255" i="192"/>
  <c r="I255" i="192" s="1"/>
  <c r="G23" i="192"/>
  <c r="I23" i="192" s="1"/>
  <c r="O3179" i="246" s="1"/>
  <c r="I366" i="192"/>
  <c r="H366" i="5" s="1"/>
  <c r="I378" i="192"/>
  <c r="I382" i="192"/>
  <c r="H382" i="5" s="1"/>
  <c r="M1120" i="1"/>
  <c r="I264" i="192"/>
  <c r="H264" i="5" s="1"/>
  <c r="I268" i="192"/>
  <c r="H268" i="5" s="1"/>
  <c r="I272" i="192"/>
  <c r="H272" i="5" s="1"/>
  <c r="I318" i="192"/>
  <c r="M1119" i="1"/>
  <c r="M1118" i="1"/>
  <c r="M1117" i="1"/>
  <c r="M1181" i="1"/>
  <c r="A59" i="193"/>
  <c r="A145" i="193"/>
  <c r="A213" i="193"/>
  <c r="A221" i="193"/>
  <c r="A253" i="193"/>
  <c r="A228" i="193"/>
  <c r="A210" i="193"/>
  <c r="A434" i="193"/>
  <c r="A472" i="193"/>
  <c r="A333" i="193"/>
  <c r="A353" i="193"/>
  <c r="A361" i="193"/>
  <c r="A383" i="193"/>
  <c r="A385" i="193"/>
  <c r="A407" i="193"/>
  <c r="A190" i="193"/>
  <c r="A220" i="193"/>
  <c r="A232" i="193"/>
  <c r="I252" i="192"/>
  <c r="H252" i="5" s="1"/>
  <c r="I226" i="192"/>
  <c r="H226" i="5" s="1"/>
  <c r="I314" i="192"/>
  <c r="H314" i="5" s="1"/>
  <c r="F486" i="193"/>
  <c r="F9" i="193" s="1"/>
  <c r="I157" i="192"/>
  <c r="I309" i="192"/>
  <c r="H309" i="5" s="1"/>
  <c r="F8" i="193"/>
  <c r="D8" i="193" s="1"/>
  <c r="I167" i="192"/>
  <c r="I165" i="192"/>
  <c r="I203" i="192"/>
  <c r="H203" i="5" s="1"/>
  <c r="I369" i="192"/>
  <c r="H369" i="5" s="1"/>
  <c r="G13" i="192"/>
  <c r="I13" i="192" s="1"/>
  <c r="O3172" i="246" s="1"/>
  <c r="I166" i="192"/>
  <c r="I193" i="192"/>
  <c r="H193" i="5" s="1"/>
  <c r="I215" i="192"/>
  <c r="H215" i="5" s="1"/>
  <c r="I313" i="192"/>
  <c r="H313" i="5" s="1"/>
  <c r="I395" i="192"/>
  <c r="H395" i="5" s="1"/>
  <c r="A391" i="193"/>
  <c r="A278" i="193"/>
  <c r="A354" i="193"/>
  <c r="A382" i="193"/>
  <c r="A384" i="193"/>
  <c r="A388" i="193"/>
  <c r="A390" i="193"/>
  <c r="A392" i="193"/>
  <c r="A406" i="193"/>
  <c r="A420" i="193"/>
  <c r="A424" i="193"/>
  <c r="I174" i="192"/>
  <c r="H174" i="5" s="1"/>
  <c r="I138" i="192"/>
  <c r="O3285" i="246" s="1"/>
  <c r="I142" i="192"/>
  <c r="O1282" i="246" s="1"/>
  <c r="R1282" i="246" s="1"/>
  <c r="I146" i="192"/>
  <c r="O1286" i="246" s="1"/>
  <c r="R1286" i="246" s="1"/>
  <c r="I153" i="192"/>
  <c r="I158" i="192"/>
  <c r="I162" i="192"/>
  <c r="I348" i="192"/>
  <c r="H348" i="5" s="1"/>
  <c r="A81" i="193"/>
  <c r="A102" i="193"/>
  <c r="A123" i="193"/>
  <c r="A357" i="193"/>
  <c r="A376" i="193"/>
  <c r="A397" i="193"/>
  <c r="A80" i="193"/>
  <c r="A98" i="193"/>
  <c r="A118" i="193"/>
  <c r="A120" i="193"/>
  <c r="A121" i="193"/>
  <c r="A122" i="193"/>
  <c r="A126" i="193"/>
  <c r="A364" i="193"/>
  <c r="A365" i="193"/>
  <c r="A370" i="193"/>
  <c r="A377" i="193"/>
  <c r="A381" i="193"/>
  <c r="A398" i="193"/>
  <c r="I137" i="192"/>
  <c r="O3284" i="246" s="1"/>
  <c r="I152"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1" i="192"/>
  <c r="I145" i="192"/>
  <c r="O1285" i="246" s="1"/>
  <c r="R1285"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7"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0" i="192"/>
  <c r="I185" i="192"/>
  <c r="H185" i="5" s="1"/>
  <c r="I187" i="192"/>
  <c r="H187"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5" i="192"/>
  <c r="H195" i="5" s="1"/>
  <c r="I257" i="192"/>
  <c r="H257" i="5" s="1"/>
  <c r="I205" i="192"/>
  <c r="H205" i="5" s="1"/>
  <c r="I224" i="192"/>
  <c r="H224" i="5" s="1"/>
  <c r="I312" i="192"/>
  <c r="I175" i="192"/>
  <c r="I214" i="192"/>
  <c r="H214" i="5" s="1"/>
  <c r="I266" i="192"/>
  <c r="I273" i="192"/>
  <c r="H273" i="5" s="1"/>
  <c r="I308" i="192"/>
  <c r="H308" i="5" s="1"/>
  <c r="I355" i="192"/>
  <c r="H355" i="5" s="1"/>
  <c r="I380" i="192"/>
  <c r="H380" i="5" s="1"/>
  <c r="I191" i="192"/>
  <c r="H191" i="5" s="1"/>
  <c r="I209" i="192"/>
  <c r="H209" i="5" s="1"/>
  <c r="I201" i="192"/>
  <c r="I221" i="192"/>
  <c r="I253" i="192"/>
  <c r="H253" i="5" s="1"/>
  <c r="I265" i="192"/>
  <c r="H265" i="5" s="1"/>
  <c r="I341" i="192"/>
  <c r="I376" i="192"/>
  <c r="H376" i="5" s="1"/>
  <c r="I225" i="192"/>
  <c r="H225" i="5" s="1"/>
  <c r="I258" i="192"/>
  <c r="I340" i="192"/>
  <c r="H340" i="5" s="1"/>
  <c r="I381" i="192"/>
  <c r="H381" i="5" s="1"/>
  <c r="I398" i="192"/>
  <c r="H398"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O3165" i="246" s="1"/>
  <c r="S3165" i="246" s="1"/>
  <c r="I190" i="192"/>
  <c r="H190" i="5" s="1"/>
  <c r="I200" i="192"/>
  <c r="I208" i="192"/>
  <c r="H208" i="5" s="1"/>
  <c r="I211" i="192"/>
  <c r="H211" i="5" s="1"/>
  <c r="I213" i="192"/>
  <c r="H213" i="5" s="1"/>
  <c r="I320" i="192"/>
  <c r="H320" i="5" s="1"/>
  <c r="I367" i="192"/>
  <c r="H367" i="5" s="1"/>
  <c r="I370" i="192"/>
  <c r="H370" i="5" s="1"/>
  <c r="I371" i="192"/>
  <c r="H371" i="5" s="1"/>
  <c r="F176" i="192"/>
  <c r="I176" i="192" s="1"/>
  <c r="I212" i="192"/>
  <c r="H212" i="5" s="1"/>
  <c r="I311" i="192"/>
  <c r="H311" i="5" s="1"/>
  <c r="I394" i="192"/>
  <c r="H394" i="5" s="1"/>
  <c r="I220" i="192"/>
  <c r="I317" i="192"/>
  <c r="H317" i="5" s="1"/>
  <c r="I333" i="192"/>
  <c r="H333" i="5" s="1"/>
  <c r="I346" i="192"/>
  <c r="H346" i="5" s="1"/>
  <c r="I375" i="192"/>
  <c r="H375" i="5" s="1"/>
  <c r="K403" i="192"/>
  <c r="K2" i="192" s="1"/>
  <c r="D1180" i="1"/>
  <c r="D1179" i="1"/>
  <c r="D1178" i="1"/>
  <c r="D1320" i="1"/>
  <c r="D1319" i="1"/>
  <c r="D1315" i="1"/>
  <c r="D1314" i="1"/>
  <c r="D1313" i="1"/>
  <c r="D1312" i="1"/>
  <c r="D1311" i="1"/>
  <c r="D1310" i="1"/>
  <c r="D1252" i="1"/>
  <c r="D1251" i="1"/>
  <c r="D1250" i="1"/>
  <c r="D1249" i="1"/>
  <c r="D1114" i="1"/>
  <c r="D1113" i="1"/>
  <c r="D1112" i="1"/>
  <c r="D1111" i="1"/>
  <c r="D1110" i="1"/>
  <c r="F97" i="1"/>
  <c r="O3292" i="246" l="1"/>
  <c r="S3292" i="246" s="1"/>
  <c r="O3688" i="1"/>
  <c r="U3688" i="1" s="1"/>
  <c r="M3688" i="1"/>
  <c r="S3688" i="1" s="1"/>
  <c r="D596" i="246"/>
  <c r="C1847" i="1"/>
  <c r="C1790" i="246"/>
  <c r="M594" i="1"/>
  <c r="O596" i="246"/>
  <c r="R596" i="246" s="1"/>
  <c r="D594" i="1"/>
  <c r="C1781" i="246"/>
  <c r="M1848" i="1"/>
  <c r="M1853" i="1" s="1"/>
  <c r="C1856" i="1"/>
  <c r="R1782" i="246"/>
  <c r="O1787" i="246"/>
  <c r="R1787" i="246" s="1"/>
  <c r="O3565" i="1"/>
  <c r="U3565" i="1" s="1"/>
  <c r="O3579" i="1" s="1"/>
  <c r="O3169" i="246"/>
  <c r="S3169" i="246" s="1"/>
  <c r="O3183" i="246" s="1"/>
  <c r="C3183" i="246" s="1"/>
  <c r="O3199" i="246"/>
  <c r="S3199" i="246" s="1"/>
  <c r="O1292" i="246"/>
  <c r="R1292" i="246" s="1"/>
  <c r="O3307" i="246"/>
  <c r="S3307" i="246" s="1"/>
  <c r="O3251" i="246"/>
  <c r="S3251" i="246" s="1"/>
  <c r="O3188" i="246"/>
  <c r="O1077" i="246"/>
  <c r="R1077" i="246" s="1"/>
  <c r="O3748" i="1"/>
  <c r="M3584" i="1"/>
  <c r="M1116" i="1"/>
  <c r="R1116" i="1" s="1"/>
  <c r="M3595" i="1"/>
  <c r="S3595" i="1" s="1"/>
  <c r="O3647" i="1"/>
  <c r="U3647" i="1" s="1"/>
  <c r="O3595" i="1"/>
  <c r="U3595" i="1" s="1"/>
  <c r="O3725" i="1"/>
  <c r="S3725" i="1" s="1"/>
  <c r="M3561" i="1"/>
  <c r="S3561" i="1" s="1"/>
  <c r="O3867" i="1"/>
  <c r="S3867" i="1" s="1"/>
  <c r="M3703" i="1"/>
  <c r="S3703" i="1" s="1"/>
  <c r="O3759" i="1"/>
  <c r="S3759" i="1" s="1"/>
  <c r="M3575" i="1"/>
  <c r="O3739" i="1"/>
  <c r="O3845" i="1"/>
  <c r="M3681" i="1"/>
  <c r="O3844" i="1"/>
  <c r="M3680" i="1"/>
  <c r="M3568" i="1"/>
  <c r="O3732" i="1"/>
  <c r="O3852" i="1"/>
  <c r="S3852" i="1" s="1"/>
  <c r="R1253" i="1"/>
  <c r="M1324" i="1"/>
  <c r="R1324" i="1" s="1"/>
  <c r="M1331" i="1"/>
  <c r="R1331" i="1" s="1"/>
  <c r="M1325" i="1"/>
  <c r="R1325" i="1" s="1"/>
  <c r="E99" i="231"/>
  <c r="F99" i="231" s="1"/>
  <c r="G99" i="231" s="1"/>
  <c r="R1181" i="1"/>
  <c r="R1118" i="1"/>
  <c r="R1119" i="1"/>
  <c r="R1117" i="1"/>
  <c r="R1120" i="1"/>
  <c r="M1321" i="1"/>
  <c r="R1321" i="1" s="1"/>
  <c r="G403" i="192"/>
  <c r="G2" i="192" s="1"/>
  <c r="I403" i="192"/>
  <c r="I2" i="192" s="1"/>
  <c r="N2" i="192"/>
  <c r="H37" i="5" s="1"/>
  <c r="F403"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3" i="190"/>
  <c r="M400" i="190"/>
  <c r="G400" i="190" s="1"/>
  <c r="I400" i="190" s="1"/>
  <c r="K400" i="190"/>
  <c r="M399" i="190"/>
  <c r="G399" i="190" s="1"/>
  <c r="K399" i="190"/>
  <c r="M398" i="190"/>
  <c r="K398" i="190"/>
  <c r="F398" i="190" s="1"/>
  <c r="M397" i="190"/>
  <c r="G397" i="190" s="1"/>
  <c r="I397" i="190" s="1"/>
  <c r="K397" i="190"/>
  <c r="M396" i="190"/>
  <c r="G396" i="190" s="1"/>
  <c r="K396" i="190"/>
  <c r="F396" i="190" s="1"/>
  <c r="M395" i="190"/>
  <c r="G395" i="190" s="1"/>
  <c r="K395" i="190"/>
  <c r="F395" i="190" s="1"/>
  <c r="M394" i="190"/>
  <c r="G394" i="190" s="1"/>
  <c r="K394" i="190"/>
  <c r="F394" i="190" s="1"/>
  <c r="M393" i="190"/>
  <c r="G393" i="190" s="1"/>
  <c r="K393" i="190"/>
  <c r="F393" i="190" s="1"/>
  <c r="M392" i="190"/>
  <c r="G392" i="190" s="1"/>
  <c r="K392" i="190"/>
  <c r="M391" i="190"/>
  <c r="G391" i="190" s="1"/>
  <c r="I391" i="190" s="1"/>
  <c r="G391" i="5" s="1"/>
  <c r="K391" i="190"/>
  <c r="M390" i="190"/>
  <c r="G390" i="190" s="1"/>
  <c r="I390" i="190" s="1"/>
  <c r="G390" i="5" s="1"/>
  <c r="K390" i="190"/>
  <c r="M389" i="190"/>
  <c r="G389" i="190" s="1"/>
  <c r="K389" i="190"/>
  <c r="M388" i="190"/>
  <c r="G388" i="190" s="1"/>
  <c r="K388" i="190"/>
  <c r="M387" i="190"/>
  <c r="G387" i="190" s="1"/>
  <c r="I387" i="190" s="1"/>
  <c r="G387" i="5" s="1"/>
  <c r="K387" i="190"/>
  <c r="M386" i="190"/>
  <c r="G386" i="190" s="1"/>
  <c r="I386" i="190" s="1"/>
  <c r="G386" i="5" s="1"/>
  <c r="K386" i="190"/>
  <c r="M385" i="190"/>
  <c r="G385" i="190" s="1"/>
  <c r="K385" i="190"/>
  <c r="M384" i="190"/>
  <c r="G384" i="190" s="1"/>
  <c r="K384" i="190"/>
  <c r="M383" i="190"/>
  <c r="G383" i="190" s="1"/>
  <c r="K383" i="190"/>
  <c r="F383" i="190" s="1"/>
  <c r="M382" i="190"/>
  <c r="G382" i="190" s="1"/>
  <c r="K382" i="190"/>
  <c r="F382" i="190" s="1"/>
  <c r="M381" i="190"/>
  <c r="G381" i="190" s="1"/>
  <c r="K381" i="190"/>
  <c r="F381" i="190" s="1"/>
  <c r="M380" i="190"/>
  <c r="G380" i="190" s="1"/>
  <c r="K380" i="190"/>
  <c r="F380" i="190" s="1"/>
  <c r="M379" i="190"/>
  <c r="G379" i="190" s="1"/>
  <c r="K379" i="190"/>
  <c r="F379" i="190" s="1"/>
  <c r="M378" i="190"/>
  <c r="G378" i="190" s="1"/>
  <c r="K378" i="190"/>
  <c r="M377" i="190"/>
  <c r="G377" i="190" s="1"/>
  <c r="I377" i="190" s="1"/>
  <c r="K377" i="190"/>
  <c r="M376" i="190"/>
  <c r="G376" i="190" s="1"/>
  <c r="K376" i="190"/>
  <c r="F376" i="190" s="1"/>
  <c r="M375" i="190"/>
  <c r="G375" i="190" s="1"/>
  <c r="K375" i="190"/>
  <c r="F375" i="190" s="1"/>
  <c r="M374" i="190"/>
  <c r="G374" i="190" s="1"/>
  <c r="K374" i="190"/>
  <c r="F374" i="190" s="1"/>
  <c r="M373" i="190"/>
  <c r="G373" i="190" s="1"/>
  <c r="I373" i="190" s="1"/>
  <c r="K373" i="190"/>
  <c r="M372" i="190"/>
  <c r="G372" i="190" s="1"/>
  <c r="K372" i="190"/>
  <c r="F372" i="190" s="1"/>
  <c r="M371" i="190"/>
  <c r="G371" i="190" s="1"/>
  <c r="K371" i="190"/>
  <c r="F371" i="190" s="1"/>
  <c r="M370" i="190"/>
  <c r="G370" i="190" s="1"/>
  <c r="K370" i="190"/>
  <c r="F370" i="190" s="1"/>
  <c r="M369" i="190"/>
  <c r="G369" i="190" s="1"/>
  <c r="K369" i="190"/>
  <c r="F369" i="190" s="1"/>
  <c r="M368" i="190"/>
  <c r="G368" i="190" s="1"/>
  <c r="K368" i="190"/>
  <c r="F368" i="190" s="1"/>
  <c r="M367" i="190"/>
  <c r="K367" i="190"/>
  <c r="F367" i="190" s="1"/>
  <c r="M366" i="190"/>
  <c r="G366" i="190" s="1"/>
  <c r="K366" i="190"/>
  <c r="F366" i="190" s="1"/>
  <c r="M365" i="190"/>
  <c r="G365" i="190" s="1"/>
  <c r="I365" i="190" s="1"/>
  <c r="K365" i="190"/>
  <c r="M364" i="190"/>
  <c r="G364" i="190" s="1"/>
  <c r="K364" i="190"/>
  <c r="F364" i="190" s="1"/>
  <c r="M363" i="190"/>
  <c r="G363" i="190" s="1"/>
  <c r="K363" i="190"/>
  <c r="F363" i="190" s="1"/>
  <c r="M362" i="190"/>
  <c r="K362" i="190"/>
  <c r="F362" i="190" s="1"/>
  <c r="M361" i="190"/>
  <c r="G361" i="190" s="1"/>
  <c r="K361" i="190"/>
  <c r="F361" i="190" s="1"/>
  <c r="M360" i="190"/>
  <c r="G360" i="190" s="1"/>
  <c r="K360" i="190"/>
  <c r="F360" i="190" s="1"/>
  <c r="M359" i="190"/>
  <c r="G359" i="190" s="1"/>
  <c r="K359" i="190"/>
  <c r="F359" i="190" s="1"/>
  <c r="M358" i="190"/>
  <c r="G358" i="190" s="1"/>
  <c r="I358" i="190" s="1"/>
  <c r="K358" i="190"/>
  <c r="M357" i="190"/>
  <c r="G357" i="190" s="1"/>
  <c r="K357" i="190"/>
  <c r="F357" i="190" s="1"/>
  <c r="M356" i="190"/>
  <c r="G356" i="190" s="1"/>
  <c r="K356" i="190"/>
  <c r="F356" i="190" s="1"/>
  <c r="M355" i="190"/>
  <c r="G355" i="190" s="1"/>
  <c r="K355" i="190"/>
  <c r="F355" i="190" s="1"/>
  <c r="M354" i="190"/>
  <c r="K354" i="190"/>
  <c r="F354" i="190" s="1"/>
  <c r="M353" i="190"/>
  <c r="G353" i="190" s="1"/>
  <c r="I353" i="190" s="1"/>
  <c r="K353" i="190"/>
  <c r="M352" i="190"/>
  <c r="G352" i="190" s="1"/>
  <c r="K352" i="190"/>
  <c r="F352" i="190" s="1"/>
  <c r="M351" i="190"/>
  <c r="G351" i="190" s="1"/>
  <c r="K351" i="190"/>
  <c r="F351" i="190" s="1"/>
  <c r="M350" i="190"/>
  <c r="G350" i="190" s="1"/>
  <c r="K350" i="190"/>
  <c r="F350" i="190" s="1"/>
  <c r="M349" i="190"/>
  <c r="G349" i="190" s="1"/>
  <c r="K349" i="190"/>
  <c r="F349" i="190" s="1"/>
  <c r="M348" i="190"/>
  <c r="G348" i="190" s="1"/>
  <c r="K348" i="190"/>
  <c r="F348" i="190" s="1"/>
  <c r="M346" i="190"/>
  <c r="G346" i="190" s="1"/>
  <c r="K346" i="190"/>
  <c r="F346" i="190" s="1"/>
  <c r="M345" i="190"/>
  <c r="G345" i="190" s="1"/>
  <c r="K345" i="190"/>
  <c r="F345" i="190" s="1"/>
  <c r="M343" i="190"/>
  <c r="G343" i="190" s="1"/>
  <c r="K343" i="190"/>
  <c r="F343" i="190" s="1"/>
  <c r="M341" i="190"/>
  <c r="G341" i="190" s="1"/>
  <c r="K341" i="190"/>
  <c r="M340" i="190"/>
  <c r="G340" i="190" s="1"/>
  <c r="K340" i="190"/>
  <c r="F340" i="190" s="1"/>
  <c r="M333" i="190"/>
  <c r="G333" i="190" s="1"/>
  <c r="K333" i="190"/>
  <c r="F333" i="190" s="1"/>
  <c r="M331" i="190"/>
  <c r="G331" i="190" s="1"/>
  <c r="K331" i="190"/>
  <c r="F331" i="190" s="1"/>
  <c r="M329" i="190"/>
  <c r="G329" i="190" s="1"/>
  <c r="K329" i="190"/>
  <c r="F329" i="190" s="1"/>
  <c r="M320" i="190"/>
  <c r="G320" i="190" s="1"/>
  <c r="K320" i="190"/>
  <c r="F320" i="190" s="1"/>
  <c r="M318" i="190"/>
  <c r="G318" i="190" s="1"/>
  <c r="I318" i="190" s="1"/>
  <c r="K318" i="190"/>
  <c r="M317" i="190"/>
  <c r="G317" i="190" s="1"/>
  <c r="K317" i="190"/>
  <c r="F317" i="190" s="1"/>
  <c r="M316" i="190"/>
  <c r="G316" i="190" s="1"/>
  <c r="K316" i="190"/>
  <c r="F316" i="190" s="1"/>
  <c r="M315" i="190"/>
  <c r="G315" i="190" s="1"/>
  <c r="K315" i="190"/>
  <c r="F315" i="190" s="1"/>
  <c r="M314" i="190"/>
  <c r="G314" i="190" s="1"/>
  <c r="K314" i="190"/>
  <c r="F314" i="190" s="1"/>
  <c r="M313" i="190"/>
  <c r="G313" i="190" s="1"/>
  <c r="K313" i="190"/>
  <c r="F313" i="190" s="1"/>
  <c r="M312" i="190"/>
  <c r="G312" i="190" s="1"/>
  <c r="K312" i="190"/>
  <c r="M311" i="190"/>
  <c r="G311" i="190" s="1"/>
  <c r="K311" i="190"/>
  <c r="F311" i="190" s="1"/>
  <c r="M310" i="190"/>
  <c r="G310" i="190" s="1"/>
  <c r="K310" i="190"/>
  <c r="F310" i="190" s="1"/>
  <c r="M309" i="190"/>
  <c r="G309" i="190" s="1"/>
  <c r="K309" i="190"/>
  <c r="F309" i="190" s="1"/>
  <c r="M308" i="190"/>
  <c r="G308" i="190" s="1"/>
  <c r="K308" i="190"/>
  <c r="F308" i="190" s="1"/>
  <c r="M307" i="190"/>
  <c r="G307" i="190" s="1"/>
  <c r="K307" i="190"/>
  <c r="F307" i="190" s="1"/>
  <c r="M306" i="190"/>
  <c r="G306" i="190" s="1"/>
  <c r="K306" i="190"/>
  <c r="M301" i="190"/>
  <c r="G301" i="190" s="1"/>
  <c r="I301" i="190" s="1"/>
  <c r="K301" i="190"/>
  <c r="M282" i="190"/>
  <c r="G282" i="190" s="1"/>
  <c r="I282" i="190" s="1"/>
  <c r="K282" i="190"/>
  <c r="M281" i="190"/>
  <c r="G281" i="190" s="1"/>
  <c r="I281" i="190" s="1"/>
  <c r="G281" i="5" s="1"/>
  <c r="K281" i="190"/>
  <c r="M280" i="190"/>
  <c r="G280" i="190" s="1"/>
  <c r="K280" i="190"/>
  <c r="M279" i="190"/>
  <c r="G279" i="190" s="1"/>
  <c r="K279" i="190"/>
  <c r="M278" i="190"/>
  <c r="G278" i="190" s="1"/>
  <c r="I278" i="190" s="1"/>
  <c r="K278" i="190"/>
  <c r="M277" i="190"/>
  <c r="G277" i="190" s="1"/>
  <c r="I277" i="190" s="1"/>
  <c r="G277" i="5" s="1"/>
  <c r="K277" i="190"/>
  <c r="M276" i="190"/>
  <c r="G276" i="190" s="1"/>
  <c r="K276" i="190"/>
  <c r="M275" i="190"/>
  <c r="G275" i="190" s="1"/>
  <c r="K275" i="190"/>
  <c r="M274" i="190"/>
  <c r="G274" i="190" s="1"/>
  <c r="I274" i="190" s="1"/>
  <c r="K274" i="190"/>
  <c r="M273" i="190"/>
  <c r="G273" i="190" s="1"/>
  <c r="K273" i="190"/>
  <c r="M272" i="190"/>
  <c r="G272" i="190" s="1"/>
  <c r="K272" i="190"/>
  <c r="M271" i="190"/>
  <c r="G271" i="190" s="1"/>
  <c r="K271" i="190"/>
  <c r="M270" i="190"/>
  <c r="G270" i="190" s="1"/>
  <c r="I270" i="190" s="1"/>
  <c r="K270" i="190"/>
  <c r="M269" i="190"/>
  <c r="G269" i="190" s="1"/>
  <c r="I269" i="190" s="1"/>
  <c r="G269" i="5" s="1"/>
  <c r="K269" i="190"/>
  <c r="M268" i="190"/>
  <c r="G268" i="190" s="1"/>
  <c r="I268" i="190" s="1"/>
  <c r="G268" i="5" s="1"/>
  <c r="K268" i="190"/>
  <c r="M267" i="190"/>
  <c r="G267" i="190" s="1"/>
  <c r="K267" i="190"/>
  <c r="M266" i="190"/>
  <c r="G266" i="190" s="1"/>
  <c r="I266" i="190" s="1"/>
  <c r="K266" i="190"/>
  <c r="M265" i="190"/>
  <c r="G265" i="190" s="1"/>
  <c r="K265" i="190"/>
  <c r="M264" i="190"/>
  <c r="G264" i="190" s="1"/>
  <c r="K264" i="190"/>
  <c r="M263" i="190"/>
  <c r="G263" i="190" s="1"/>
  <c r="K263" i="190"/>
  <c r="M262" i="190"/>
  <c r="G262" i="190" s="1"/>
  <c r="I262" i="190" s="1"/>
  <c r="K262" i="190"/>
  <c r="M261" i="190"/>
  <c r="G261" i="190" s="1"/>
  <c r="I261" i="190" s="1"/>
  <c r="G261" i="5" s="1"/>
  <c r="K261" i="190"/>
  <c r="M260" i="190"/>
  <c r="G260" i="190" s="1"/>
  <c r="K260" i="190"/>
  <c r="M259" i="190"/>
  <c r="G259" i="190" s="1"/>
  <c r="K259" i="190"/>
  <c r="M258" i="190"/>
  <c r="G258" i="190" s="1"/>
  <c r="I258" i="190" s="1"/>
  <c r="K258" i="190"/>
  <c r="M257" i="190"/>
  <c r="G257" i="190" s="1"/>
  <c r="K257" i="190"/>
  <c r="M256" i="190"/>
  <c r="G256" i="190" s="1"/>
  <c r="K256" i="190"/>
  <c r="M255" i="190"/>
  <c r="G255" i="190" s="1"/>
  <c r="K255" i="190"/>
  <c r="M254" i="190"/>
  <c r="G254" i="190" s="1"/>
  <c r="I254" i="190" s="1"/>
  <c r="K254" i="190"/>
  <c r="M253" i="190"/>
  <c r="G253" i="190" s="1"/>
  <c r="I253" i="190" s="1"/>
  <c r="G253" i="5" s="1"/>
  <c r="K253" i="190"/>
  <c r="M252" i="190"/>
  <c r="G252" i="190" s="1"/>
  <c r="I252" i="190" s="1"/>
  <c r="G252" i="5" s="1"/>
  <c r="K252" i="190"/>
  <c r="M251" i="190"/>
  <c r="G251" i="190" s="1"/>
  <c r="K251" i="190"/>
  <c r="M250" i="190"/>
  <c r="G250" i="190" s="1"/>
  <c r="K250" i="190"/>
  <c r="M237" i="190"/>
  <c r="G237" i="190" s="1"/>
  <c r="K237" i="190"/>
  <c r="M236" i="190"/>
  <c r="G236" i="190" s="1"/>
  <c r="I236" i="190" s="1"/>
  <c r="G236" i="5" s="1"/>
  <c r="K236" i="190"/>
  <c r="M235" i="190"/>
  <c r="G235" i="190" s="1"/>
  <c r="K235" i="190"/>
  <c r="M234" i="190"/>
  <c r="G234" i="190" s="1"/>
  <c r="I234" i="190" s="1"/>
  <c r="K234" i="190"/>
  <c r="M231" i="190"/>
  <c r="G231" i="190" s="1"/>
  <c r="I231" i="190" s="1"/>
  <c r="G231" i="5" s="1"/>
  <c r="K231" i="190"/>
  <c r="M230" i="190"/>
  <c r="G230" i="190" s="1"/>
  <c r="K230" i="190"/>
  <c r="M229" i="190"/>
  <c r="G229" i="190" s="1"/>
  <c r="K229" i="190"/>
  <c r="M228" i="190"/>
  <c r="G228" i="190" s="1"/>
  <c r="K228" i="190"/>
  <c r="M227" i="190"/>
  <c r="G227" i="190" s="1"/>
  <c r="K227" i="190"/>
  <c r="M226" i="190"/>
  <c r="G226" i="190" s="1"/>
  <c r="K226" i="190"/>
  <c r="M225" i="190"/>
  <c r="G225" i="190" s="1"/>
  <c r="K225" i="190"/>
  <c r="M224" i="190"/>
  <c r="G224" i="190" s="1"/>
  <c r="K224" i="190"/>
  <c r="M221" i="190"/>
  <c r="G221" i="190" s="1"/>
  <c r="K221" i="190"/>
  <c r="F221" i="190" s="1"/>
  <c r="M220" i="190"/>
  <c r="G220" i="190" s="1"/>
  <c r="K220" i="190"/>
  <c r="F220" i="190" s="1"/>
  <c r="M219" i="190"/>
  <c r="G219" i="190" s="1"/>
  <c r="K219" i="190"/>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G210" i="190" s="1"/>
  <c r="K210" i="190"/>
  <c r="F210" i="190" s="1"/>
  <c r="M209" i="190"/>
  <c r="K209" i="190"/>
  <c r="F209" i="190" s="1"/>
  <c r="M208" i="190"/>
  <c r="G208" i="190" s="1"/>
  <c r="K208" i="190"/>
  <c r="F208" i="190" s="1"/>
  <c r="M207" i="190"/>
  <c r="G207" i="190" s="1"/>
  <c r="K207" i="190"/>
  <c r="F207" i="190" s="1"/>
  <c r="M206" i="190"/>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F185" i="190" s="1"/>
  <c r="M184" i="190"/>
  <c r="G184" i="190" s="1"/>
  <c r="K184" i="190"/>
  <c r="M183" i="190"/>
  <c r="G183" i="190" s="1"/>
  <c r="K183" i="190"/>
  <c r="M182" i="190"/>
  <c r="G182" i="190" s="1"/>
  <c r="I182" i="190" s="1"/>
  <c r="G182" i="5" s="1"/>
  <c r="K182" i="190"/>
  <c r="M181" i="190"/>
  <c r="G181" i="190" s="1"/>
  <c r="I181" i="190" s="1"/>
  <c r="G181" i="5" s="1"/>
  <c r="K181" i="190"/>
  <c r="M180" i="190"/>
  <c r="G180" i="190" s="1"/>
  <c r="K180" i="190"/>
  <c r="M179" i="190"/>
  <c r="G179" i="190" s="1"/>
  <c r="I179" i="190" s="1"/>
  <c r="K179" i="190"/>
  <c r="M178" i="190"/>
  <c r="G178" i="190" s="1"/>
  <c r="I178" i="190" s="1"/>
  <c r="G178" i="5" s="1"/>
  <c r="K178" i="190"/>
  <c r="M177" i="190"/>
  <c r="G177" i="190" s="1"/>
  <c r="K177" i="190"/>
  <c r="M176" i="190"/>
  <c r="G176" i="190" s="1"/>
  <c r="K176" i="190"/>
  <c r="M175" i="190"/>
  <c r="G175" i="190" s="1"/>
  <c r="I175" i="190" s="1"/>
  <c r="K175" i="190"/>
  <c r="M174" i="190"/>
  <c r="G174" i="190" s="1"/>
  <c r="I174" i="190" s="1"/>
  <c r="G174" i="5" s="1"/>
  <c r="K174" i="190"/>
  <c r="M173" i="190"/>
  <c r="G173" i="190" s="1"/>
  <c r="I173" i="190" s="1"/>
  <c r="G173" i="5" s="1"/>
  <c r="K173" i="190"/>
  <c r="M172" i="190"/>
  <c r="G172" i="190" s="1"/>
  <c r="K172" i="190"/>
  <c r="M171" i="190"/>
  <c r="G171" i="190" s="1"/>
  <c r="K171" i="190"/>
  <c r="M170" i="190"/>
  <c r="G170" i="190" s="1"/>
  <c r="I170" i="190" s="1"/>
  <c r="G170" i="5" s="1"/>
  <c r="K170" i="190"/>
  <c r="M169" i="190"/>
  <c r="G169" i="190" s="1"/>
  <c r="K169" i="190"/>
  <c r="M168" i="190"/>
  <c r="G168" i="190" s="1"/>
  <c r="K168" i="190"/>
  <c r="M167" i="190"/>
  <c r="K167" i="190"/>
  <c r="M166" i="190"/>
  <c r="K166" i="190"/>
  <c r="M165" i="190"/>
  <c r="K165" i="190"/>
  <c r="M164" i="190"/>
  <c r="G164" i="190" s="1"/>
  <c r="I164" i="190" s="1"/>
  <c r="M163" i="190"/>
  <c r="G163" i="190" s="1"/>
  <c r="I163" i="190" s="1"/>
  <c r="M162" i="190"/>
  <c r="G162" i="190" s="1"/>
  <c r="I162" i="190" s="1"/>
  <c r="M160" i="190"/>
  <c r="G160" i="190" s="1"/>
  <c r="I160" i="190" s="1"/>
  <c r="M159" i="190"/>
  <c r="G159" i="190" s="1"/>
  <c r="I159" i="190" s="1"/>
  <c r="M158" i="190"/>
  <c r="G158" i="190" s="1"/>
  <c r="I158" i="190" s="1"/>
  <c r="M157" i="190"/>
  <c r="G157" i="190" s="1"/>
  <c r="I157" i="190" s="1"/>
  <c r="M156" i="190"/>
  <c r="G156" i="190" s="1"/>
  <c r="I156" i="190" s="1"/>
  <c r="M154" i="190"/>
  <c r="G154" i="190" s="1"/>
  <c r="I154" i="190" s="1"/>
  <c r="M153" i="190"/>
  <c r="G153" i="190" s="1"/>
  <c r="I153" i="190" s="1"/>
  <c r="M152" i="190"/>
  <c r="G152" i="190" s="1"/>
  <c r="I152" i="190" s="1"/>
  <c r="O1281" i="246" s="1"/>
  <c r="R1281" i="246" s="1"/>
  <c r="O1320" i="1"/>
  <c r="M151" i="190"/>
  <c r="G151" i="190" s="1"/>
  <c r="I151" i="190" s="1"/>
  <c r="O1280" i="246" s="1"/>
  <c r="R1280" i="246" s="1"/>
  <c r="O1319" i="1"/>
  <c r="M147" i="190"/>
  <c r="G147" i="190" s="1"/>
  <c r="I147" i="190" s="1"/>
  <c r="O1276" i="246" s="1"/>
  <c r="R1276" i="246" s="1"/>
  <c r="O1315" i="1"/>
  <c r="M146" i="190"/>
  <c r="G146" i="190" s="1"/>
  <c r="I146" i="190" s="1"/>
  <c r="O1275" i="246" s="1"/>
  <c r="R1275" i="246" s="1"/>
  <c r="O1314" i="1"/>
  <c r="M145" i="190"/>
  <c r="G145" i="190" s="1"/>
  <c r="I145" i="190" s="1"/>
  <c r="O1274" i="246" s="1"/>
  <c r="R1274" i="246" s="1"/>
  <c r="O1313" i="1"/>
  <c r="M144" i="190"/>
  <c r="G144" i="190" s="1"/>
  <c r="I144" i="190" s="1"/>
  <c r="O1273" i="246" s="1"/>
  <c r="R1273" i="246" s="1"/>
  <c r="O1312" i="1"/>
  <c r="M143" i="190"/>
  <c r="G143" i="190" s="1"/>
  <c r="I143" i="190" s="1"/>
  <c r="O1272" i="246" s="1"/>
  <c r="R1272" i="246" s="1"/>
  <c r="O1311" i="1"/>
  <c r="M142" i="190"/>
  <c r="G142" i="190" s="1"/>
  <c r="I142" i="190" s="1"/>
  <c r="M141" i="190"/>
  <c r="G141" i="190" s="1"/>
  <c r="I141" i="190" s="1"/>
  <c r="M140" i="190"/>
  <c r="G140" i="190" s="1"/>
  <c r="I140" i="190" s="1"/>
  <c r="M138" i="190"/>
  <c r="G138" i="190" s="1"/>
  <c r="I138" i="190" s="1"/>
  <c r="O3121" i="246" s="1"/>
  <c r="M137" i="190"/>
  <c r="G137" i="190" s="1"/>
  <c r="I137" i="190" s="1"/>
  <c r="O3120" i="246" s="1"/>
  <c r="M136" i="190"/>
  <c r="G136" i="190" s="1"/>
  <c r="I136" i="190" s="1"/>
  <c r="O3119" i="246" s="1"/>
  <c r="M135" i="190"/>
  <c r="G135" i="190" s="1"/>
  <c r="I135" i="190" s="1"/>
  <c r="O3118" i="246" s="1"/>
  <c r="M134" i="190"/>
  <c r="G134" i="190" s="1"/>
  <c r="I134" i="190" s="1"/>
  <c r="O3117" i="246" s="1"/>
  <c r="M133" i="190"/>
  <c r="G133" i="190" s="1"/>
  <c r="I133" i="190" s="1"/>
  <c r="O3116" i="246" s="1"/>
  <c r="M132" i="190"/>
  <c r="G132" i="190" s="1"/>
  <c r="I132" i="190" s="1"/>
  <c r="O3115" i="246" s="1"/>
  <c r="M131" i="190"/>
  <c r="G131" i="190" s="1"/>
  <c r="I131" i="190" s="1"/>
  <c r="O3114" i="246" s="1"/>
  <c r="M130" i="190"/>
  <c r="G130" i="190" s="1"/>
  <c r="I130" i="190" s="1"/>
  <c r="O3113" i="246" s="1"/>
  <c r="M129" i="190"/>
  <c r="G129" i="190" s="1"/>
  <c r="I129" i="190" s="1"/>
  <c r="O3112" i="246" s="1"/>
  <c r="M128" i="190"/>
  <c r="G128" i="190" s="1"/>
  <c r="I128" i="190" s="1"/>
  <c r="O3111" i="246" s="1"/>
  <c r="M127" i="190"/>
  <c r="G127" i="190" s="1"/>
  <c r="I127" i="190" s="1"/>
  <c r="O3110" i="246" s="1"/>
  <c r="M126" i="190"/>
  <c r="G126" i="190" s="1"/>
  <c r="I126" i="190" s="1"/>
  <c r="O3109" i="246" s="1"/>
  <c r="M125" i="190"/>
  <c r="G125" i="190" s="1"/>
  <c r="I125" i="190" s="1"/>
  <c r="M124" i="190"/>
  <c r="G124" i="190" s="1"/>
  <c r="I124" i="190" s="1"/>
  <c r="M123" i="190"/>
  <c r="G123" i="190" s="1"/>
  <c r="I123" i="190" s="1"/>
  <c r="O3106" i="246" s="1"/>
  <c r="M122" i="190"/>
  <c r="G122" i="190" s="1"/>
  <c r="I122" i="190" s="1"/>
  <c r="O3105" i="246" s="1"/>
  <c r="M121" i="190"/>
  <c r="G121" i="190" s="1"/>
  <c r="I121" i="190" s="1"/>
  <c r="M120" i="190"/>
  <c r="G120" i="190" s="1"/>
  <c r="I120" i="190" s="1"/>
  <c r="M119" i="190"/>
  <c r="G119" i="190" s="1"/>
  <c r="I119" i="190" s="1"/>
  <c r="O3101" i="246" s="1"/>
  <c r="M118" i="190"/>
  <c r="G118" i="190" s="1"/>
  <c r="I118" i="190" s="1"/>
  <c r="O3100" i="246" s="1"/>
  <c r="M117" i="190"/>
  <c r="G117" i="190" s="1"/>
  <c r="I117" i="190" s="1"/>
  <c r="O3099" i="246" s="1"/>
  <c r="M116" i="190"/>
  <c r="G116" i="190" s="1"/>
  <c r="I116" i="190" s="1"/>
  <c r="O3098" i="246"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8" i="190"/>
  <c r="G108" i="190" s="1"/>
  <c r="I108" i="190" s="1"/>
  <c r="M107" i="190"/>
  <c r="G107" i="190" s="1"/>
  <c r="I107" i="190" s="1"/>
  <c r="M105" i="190"/>
  <c r="G105" i="190" s="1"/>
  <c r="I105" i="190" s="1"/>
  <c r="O3094" i="246" s="1"/>
  <c r="M104" i="190"/>
  <c r="G104" i="190" s="1"/>
  <c r="I104" i="190" s="1"/>
  <c r="O3093" i="246" s="1"/>
  <c r="M103" i="190"/>
  <c r="G103" i="190" s="1"/>
  <c r="I103" i="190" s="1"/>
  <c r="O3092" i="246" s="1"/>
  <c r="M102" i="190"/>
  <c r="G102" i="190" s="1"/>
  <c r="I102" i="190" s="1"/>
  <c r="O3091" i="246" s="1"/>
  <c r="M101" i="190"/>
  <c r="G101" i="190" s="1"/>
  <c r="I101" i="190" s="1"/>
  <c r="M100" i="190"/>
  <c r="G100" i="190" s="1"/>
  <c r="I100" i="190" s="1"/>
  <c r="M99" i="190"/>
  <c r="G99" i="190" s="1"/>
  <c r="I99" i="190" s="1"/>
  <c r="M98" i="190"/>
  <c r="G98" i="190" s="1"/>
  <c r="I98" i="190" s="1"/>
  <c r="M97" i="190"/>
  <c r="G97" i="190" s="1"/>
  <c r="I97" i="190" s="1"/>
  <c r="M95" i="190"/>
  <c r="G95" i="190" s="1"/>
  <c r="I95" i="190" s="1"/>
  <c r="O3134" i="246" s="1"/>
  <c r="M94" i="190"/>
  <c r="G94" i="190" s="1"/>
  <c r="I94" i="190" s="1"/>
  <c r="O3131" i="246" s="1"/>
  <c r="M93" i="190"/>
  <c r="G93" i="190" s="1"/>
  <c r="I93" i="190" s="1"/>
  <c r="M92" i="190"/>
  <c r="G92" i="190" s="1"/>
  <c r="I92" i="190" s="1"/>
  <c r="M90" i="190"/>
  <c r="G90" i="190" s="1"/>
  <c r="I90" i="190" s="1"/>
  <c r="M89" i="190"/>
  <c r="G89" i="190" s="1"/>
  <c r="I89" i="190" s="1"/>
  <c r="M88" i="190"/>
  <c r="G88" i="190" s="1"/>
  <c r="I88" i="190" s="1"/>
  <c r="O1213" i="246" s="1"/>
  <c r="R1213" i="246" s="1"/>
  <c r="O1252" i="1"/>
  <c r="M87" i="190"/>
  <c r="G87" i="190" s="1"/>
  <c r="I87" i="190" s="1"/>
  <c r="O1212" i="246" s="1"/>
  <c r="R1212" i="246" s="1"/>
  <c r="O1251" i="1"/>
  <c r="M86" i="190"/>
  <c r="G86" i="190" s="1"/>
  <c r="I86" i="190" s="1"/>
  <c r="O1211" i="246" s="1"/>
  <c r="R1211" i="246" s="1"/>
  <c r="O1250" i="1"/>
  <c r="M85" i="190"/>
  <c r="G85" i="190" s="1"/>
  <c r="I85" i="190" s="1"/>
  <c r="M84" i="190"/>
  <c r="G84" i="190" s="1"/>
  <c r="I84" i="190" s="1"/>
  <c r="M83" i="190"/>
  <c r="G83" i="190" s="1"/>
  <c r="I83" i="190" s="1"/>
  <c r="O3136" i="246" s="1"/>
  <c r="M82" i="190"/>
  <c r="G82" i="190" s="1"/>
  <c r="I82" i="190" s="1"/>
  <c r="M81" i="190"/>
  <c r="G81" i="190" s="1"/>
  <c r="I81" i="190" s="1"/>
  <c r="O3064" i="246" s="1"/>
  <c r="M80" i="190"/>
  <c r="G80" i="190" s="1"/>
  <c r="I80" i="190" s="1"/>
  <c r="O3063" i="246" s="1"/>
  <c r="M79" i="190"/>
  <c r="G79" i="190" s="1"/>
  <c r="I79" i="190" s="1"/>
  <c r="O3062" i="246" s="1"/>
  <c r="M78" i="190"/>
  <c r="G78" i="190" s="1"/>
  <c r="I78" i="190" s="1"/>
  <c r="O3061" i="246" s="1"/>
  <c r="M77" i="190"/>
  <c r="G77" i="190" s="1"/>
  <c r="I77" i="190" s="1"/>
  <c r="O3060" i="246" s="1"/>
  <c r="M76" i="190"/>
  <c r="G76" i="190" s="1"/>
  <c r="I76" i="190" s="1"/>
  <c r="O3059" i="246" s="1"/>
  <c r="M75" i="190"/>
  <c r="G75" i="190" s="1"/>
  <c r="I75" i="190" s="1"/>
  <c r="O3058" i="246" s="1"/>
  <c r="M74" i="190"/>
  <c r="G74" i="190" s="1"/>
  <c r="I74" i="190" s="1"/>
  <c r="O3057" i="246" s="1"/>
  <c r="M73" i="190"/>
  <c r="G73" i="190" s="1"/>
  <c r="I73" i="190" s="1"/>
  <c r="O3056" i="246" s="1"/>
  <c r="M72" i="190"/>
  <c r="G72" i="190" s="1"/>
  <c r="I72" i="190" s="1"/>
  <c r="O3055" i="246" s="1"/>
  <c r="M71" i="190"/>
  <c r="G71" i="190" s="1"/>
  <c r="I71" i="190" s="1"/>
  <c r="O3054" i="246" s="1"/>
  <c r="M70" i="190"/>
  <c r="G70" i="190" s="1"/>
  <c r="I70" i="190" s="1"/>
  <c r="O3053" i="246" s="1"/>
  <c r="M69" i="190"/>
  <c r="G69" i="190" s="1"/>
  <c r="I69" i="190" s="1"/>
  <c r="M68" i="190"/>
  <c r="G68" i="190" s="1"/>
  <c r="I68" i="190" s="1"/>
  <c r="M67" i="190"/>
  <c r="G67" i="190" s="1"/>
  <c r="I67" i="190" s="1"/>
  <c r="M66" i="190"/>
  <c r="G66" i="190" s="1"/>
  <c r="I66" i="190" s="1"/>
  <c r="M65" i="190"/>
  <c r="G65" i="190" s="1"/>
  <c r="I65" i="190" s="1"/>
  <c r="M64" i="190"/>
  <c r="G64" i="190" s="1"/>
  <c r="I64" i="190" s="1"/>
  <c r="O3050" i="246" s="1"/>
  <c r="M63" i="190"/>
  <c r="G63" i="190" s="1"/>
  <c r="I63" i="190" s="1"/>
  <c r="O1141" i="246" s="1"/>
  <c r="R1141" i="246" s="1"/>
  <c r="O1180" i="1"/>
  <c r="M62" i="190"/>
  <c r="G62" i="190" s="1"/>
  <c r="I62" i="190" s="1"/>
  <c r="O1140" i="246" s="1"/>
  <c r="R1140" i="246" s="1"/>
  <c r="O1179"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3047" i="246" s="1"/>
  <c r="M52" i="190"/>
  <c r="G52" i="190" s="1"/>
  <c r="I52" i="190" s="1"/>
  <c r="M51" i="190"/>
  <c r="G51" i="190" s="1"/>
  <c r="I51" i="190" s="1"/>
  <c r="M50" i="190"/>
  <c r="G50" i="190" s="1"/>
  <c r="I50" i="190" s="1"/>
  <c r="O3045" i="246" s="1"/>
  <c r="M49" i="190"/>
  <c r="G49" i="190" s="1"/>
  <c r="I49" i="190" s="1"/>
  <c r="O3044" i="246" s="1"/>
  <c r="M48" i="190"/>
  <c r="G48" i="190" s="1"/>
  <c r="I48" i="190" s="1"/>
  <c r="O3043" i="246" s="1"/>
  <c r="M47" i="190"/>
  <c r="G47" i="190" s="1"/>
  <c r="I47" i="190" s="1"/>
  <c r="O3042" i="246" s="1"/>
  <c r="M46" i="190"/>
  <c r="G46" i="190" s="1"/>
  <c r="I46" i="190" s="1"/>
  <c r="M45" i="190"/>
  <c r="G45" i="190" s="1"/>
  <c r="I45" i="190" s="1"/>
  <c r="M44" i="190"/>
  <c r="G44" i="190" s="1"/>
  <c r="I44" i="190" s="1"/>
  <c r="M43" i="190"/>
  <c r="G43" i="190" s="1"/>
  <c r="I43" i="190" s="1"/>
  <c r="M42" i="190"/>
  <c r="G42" i="190" s="1"/>
  <c r="I42" i="190" s="1"/>
  <c r="O3040" i="246" s="1"/>
  <c r="M41" i="190"/>
  <c r="G41" i="190" s="1"/>
  <c r="I41" i="190" s="1"/>
  <c r="O3039" i="246" s="1"/>
  <c r="M40" i="190"/>
  <c r="G40" i="190" s="1"/>
  <c r="I40" i="190" s="1"/>
  <c r="O3038"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3014" i="246" s="1"/>
  <c r="M21" i="190"/>
  <c r="G21" i="190" s="1"/>
  <c r="I21" i="190" s="1"/>
  <c r="O3013" i="246" s="1"/>
  <c r="M20" i="190"/>
  <c r="G20" i="190" s="1"/>
  <c r="I20" i="190" s="1"/>
  <c r="O3012" i="246" s="1"/>
  <c r="M19" i="190"/>
  <c r="G19" i="190" s="1"/>
  <c r="I19" i="190" s="1"/>
  <c r="O3011" i="246" s="1"/>
  <c r="M18" i="190"/>
  <c r="G18" i="190" s="1"/>
  <c r="I18" i="190" s="1"/>
  <c r="O3010"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3"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D4" i="189"/>
  <c r="C2" i="189"/>
  <c r="R594" i="1" l="1"/>
  <c r="C47" i="234"/>
  <c r="D47" i="234"/>
  <c r="F229" i="190"/>
  <c r="F235" i="190"/>
  <c r="O3185" i="246"/>
  <c r="S3185" i="246" s="1"/>
  <c r="O3745" i="1"/>
  <c r="S3745" i="1" s="1"/>
  <c r="M3581" i="1"/>
  <c r="S3581" i="1" s="1"/>
  <c r="O3102" i="246"/>
  <c r="O3498" i="1"/>
  <c r="M3334" i="1"/>
  <c r="I229" i="190"/>
  <c r="G232" i="190"/>
  <c r="I232" i="190" s="1"/>
  <c r="G232" i="5" s="1"/>
  <c r="R1848" i="1"/>
  <c r="R1773" i="246"/>
  <c r="R1791" i="246"/>
  <c r="R1786" i="246"/>
  <c r="R1779" i="246"/>
  <c r="R1775" i="246"/>
  <c r="R1793" i="246"/>
  <c r="R1781" i="246"/>
  <c r="R1772" i="246"/>
  <c r="R1788" i="246"/>
  <c r="R1776" i="246"/>
  <c r="R1794" i="246"/>
  <c r="R1790" i="246"/>
  <c r="R1785" i="246"/>
  <c r="R1778" i="246"/>
  <c r="R1774" i="246"/>
  <c r="R1789" i="246"/>
  <c r="R1777" i="246"/>
  <c r="R1792" i="246"/>
  <c r="R1780" i="246"/>
  <c r="R1771" i="246"/>
  <c r="U596" i="246"/>
  <c r="V594" i="1"/>
  <c r="R1853" i="1"/>
  <c r="O3593" i="1"/>
  <c r="O3628" i="1"/>
  <c r="O3046" i="246"/>
  <c r="O3399" i="1"/>
  <c r="S3399" i="1" s="1"/>
  <c r="O3003" i="246"/>
  <c r="S3003" i="246" s="1"/>
  <c r="O3001" i="246"/>
  <c r="S3001" i="246" s="1"/>
  <c r="O3052" i="246"/>
  <c r="O3096" i="246"/>
  <c r="O3108" i="246"/>
  <c r="O3090" i="246"/>
  <c r="O3135" i="246"/>
  <c r="O3104" i="246"/>
  <c r="O1072" i="246"/>
  <c r="R1072" i="246" s="1"/>
  <c r="O3025" i="246"/>
  <c r="O3027" i="246"/>
  <c r="O1074" i="246"/>
  <c r="R1074" i="246" s="1"/>
  <c r="O3041" i="246"/>
  <c r="O1271" i="246"/>
  <c r="R1271" i="246" s="1"/>
  <c r="O3143" i="246"/>
  <c r="S3143" i="246" s="1"/>
  <c r="O3028" i="246"/>
  <c r="O1075" i="246"/>
  <c r="R1075" i="246" s="1"/>
  <c r="O3049" i="246"/>
  <c r="O1139" i="246"/>
  <c r="R1139" i="246" s="1"/>
  <c r="M3335" i="1"/>
  <c r="O3103" i="246"/>
  <c r="O3026" i="246"/>
  <c r="O1073" i="246"/>
  <c r="R1073" i="246" s="1"/>
  <c r="O3048" i="246"/>
  <c r="O3051" i="246"/>
  <c r="O1210" i="246"/>
  <c r="R1210" i="246" s="1"/>
  <c r="O3133" i="246"/>
  <c r="O3132" i="246"/>
  <c r="O1071" i="246"/>
  <c r="R1071" i="246" s="1"/>
  <c r="O3024" i="246"/>
  <c r="O3097" i="246"/>
  <c r="O3729" i="1"/>
  <c r="S3729" i="1" s="1"/>
  <c r="M3273" i="1"/>
  <c r="O3539" i="1"/>
  <c r="S3539" i="1" s="1"/>
  <c r="M3260" i="1"/>
  <c r="O3424" i="1"/>
  <c r="M3271" i="1"/>
  <c r="O3435" i="1"/>
  <c r="O3440" i="1"/>
  <c r="M3276" i="1"/>
  <c r="M3286" i="1"/>
  <c r="O3450" i="1"/>
  <c r="M3294" i="1"/>
  <c r="O3458" i="1"/>
  <c r="O3531" i="1"/>
  <c r="M3367" i="1"/>
  <c r="O3500" i="1"/>
  <c r="M3336" i="1"/>
  <c r="O3488" i="1"/>
  <c r="M3324" i="1"/>
  <c r="M3333" i="1"/>
  <c r="O3497" i="1"/>
  <c r="M3346" i="1"/>
  <c r="O3510" i="1"/>
  <c r="M3233" i="1"/>
  <c r="S3233" i="1" s="1"/>
  <c r="O3397" i="1"/>
  <c r="S3397" i="1" s="1"/>
  <c r="M3272" i="1"/>
  <c r="O3436" i="1"/>
  <c r="O3441" i="1"/>
  <c r="M3277" i="1"/>
  <c r="O3448" i="1"/>
  <c r="M3284" i="1"/>
  <c r="M3291" i="1"/>
  <c r="O3455" i="1"/>
  <c r="M3328" i="1"/>
  <c r="O3492" i="1"/>
  <c r="M3343" i="1"/>
  <c r="O3507" i="1"/>
  <c r="O3515" i="1"/>
  <c r="M3351" i="1"/>
  <c r="M3235" i="1"/>
  <c r="S3235" i="1" s="1"/>
  <c r="O3407" i="1"/>
  <c r="M3243" i="1"/>
  <c r="M3259" i="1"/>
  <c r="O3423" i="1"/>
  <c r="O3434" i="1"/>
  <c r="M3270" i="1"/>
  <c r="O3439" i="1"/>
  <c r="M3275" i="1"/>
  <c r="O3449" i="1"/>
  <c r="M3285" i="1"/>
  <c r="O3453" i="1"/>
  <c r="M3289" i="1"/>
  <c r="O3457" i="1"/>
  <c r="M3293" i="1"/>
  <c r="M3322" i="1"/>
  <c r="O3490" i="1"/>
  <c r="M3326" i="1"/>
  <c r="M3332" i="1"/>
  <c r="O3496" i="1"/>
  <c r="M3337" i="1"/>
  <c r="O3501" i="1"/>
  <c r="M3341" i="1"/>
  <c r="O3505" i="1"/>
  <c r="M3345" i="1"/>
  <c r="O3509" i="1"/>
  <c r="O3513" i="1"/>
  <c r="M3349" i="1"/>
  <c r="M3353" i="1"/>
  <c r="O3517" i="1"/>
  <c r="M3375" i="1"/>
  <c r="S3375" i="1" s="1"/>
  <c r="O3408" i="1"/>
  <c r="M3244" i="1"/>
  <c r="O3443" i="1"/>
  <c r="M3279" i="1"/>
  <c r="O3445" i="1"/>
  <c r="M3281" i="1"/>
  <c r="M3290" i="1"/>
  <c r="O3454" i="1"/>
  <c r="O3532" i="1"/>
  <c r="M3368" i="1"/>
  <c r="M3338" i="1"/>
  <c r="O3502" i="1"/>
  <c r="O3506" i="1"/>
  <c r="M3342" i="1"/>
  <c r="M3350" i="1"/>
  <c r="O3514" i="1"/>
  <c r="O3409" i="1"/>
  <c r="M3245" i="1"/>
  <c r="O3421" i="1"/>
  <c r="M3257" i="1"/>
  <c r="O3437" i="1"/>
  <c r="O3446" i="1"/>
  <c r="M3282" i="1"/>
  <c r="O3451" i="1"/>
  <c r="M3287" i="1"/>
  <c r="O3459" i="1"/>
  <c r="M3295" i="1"/>
  <c r="M3363" i="1"/>
  <c r="O3527" i="1"/>
  <c r="O3487" i="1"/>
  <c r="M3323" i="1"/>
  <c r="O3494" i="1"/>
  <c r="M3330" i="1"/>
  <c r="M3340" i="1"/>
  <c r="O3504" i="1"/>
  <c r="O3511" i="1"/>
  <c r="M3347" i="1"/>
  <c r="M3242" i="1"/>
  <c r="O3406" i="1"/>
  <c r="M3246" i="1"/>
  <c r="O3410" i="1"/>
  <c r="O3422" i="1"/>
  <c r="M3258" i="1"/>
  <c r="O3438" i="1"/>
  <c r="M3274" i="1"/>
  <c r="M3278" i="1"/>
  <c r="O3442" i="1"/>
  <c r="O3444" i="1"/>
  <c r="M3280" i="1"/>
  <c r="O3447" i="1"/>
  <c r="M3283" i="1"/>
  <c r="M3288" i="1"/>
  <c r="O3452" i="1"/>
  <c r="M3292" i="1"/>
  <c r="O3456" i="1"/>
  <c r="M3296" i="1"/>
  <c r="O3460" i="1"/>
  <c r="M3365" i="1"/>
  <c r="O3529" i="1"/>
  <c r="M3364" i="1"/>
  <c r="O3528" i="1"/>
  <c r="M3366" i="1"/>
  <c r="O3530" i="1"/>
  <c r="O3486" i="1"/>
  <c r="O3489" i="1"/>
  <c r="M3325" i="1"/>
  <c r="O3495" i="1"/>
  <c r="M3331" i="1"/>
  <c r="O3499" i="1"/>
  <c r="O3508" i="1"/>
  <c r="M3344" i="1"/>
  <c r="O3512" i="1"/>
  <c r="M3348" i="1"/>
  <c r="M3352" i="1"/>
  <c r="O3516" i="1"/>
  <c r="O3420" i="1"/>
  <c r="M3256" i="1"/>
  <c r="M3329" i="1"/>
  <c r="O3493" i="1"/>
  <c r="M3565" i="1"/>
  <c r="S3565" i="1" s="1"/>
  <c r="M3647" i="1"/>
  <c r="S3647" i="1" s="1"/>
  <c r="O3811" i="1"/>
  <c r="S3811" i="1" s="1"/>
  <c r="O3706" i="1"/>
  <c r="O3701" i="1"/>
  <c r="O3686" i="1"/>
  <c r="O3644" i="1"/>
  <c r="M1179" i="1"/>
  <c r="R1179" i="1" s="1"/>
  <c r="M1252" i="1"/>
  <c r="R1252" i="1" s="1"/>
  <c r="M1180" i="1"/>
  <c r="R1180" i="1" s="1"/>
  <c r="E100" i="231"/>
  <c r="F100" i="231" s="1"/>
  <c r="G100" i="231" s="1"/>
  <c r="I193" i="190"/>
  <c r="G193" i="5" s="1"/>
  <c r="G400" i="5"/>
  <c r="I356" i="190"/>
  <c r="G356" i="5" s="1"/>
  <c r="G354" i="190"/>
  <c r="I354" i="190" s="1"/>
  <c r="G354" i="5" s="1"/>
  <c r="G398" i="190"/>
  <c r="I398" i="190" s="1"/>
  <c r="G398" i="5" s="1"/>
  <c r="I188" i="190"/>
  <c r="G188" i="5" s="1"/>
  <c r="F263" i="190"/>
  <c r="I263" i="190" s="1"/>
  <c r="F271" i="190"/>
  <c r="I271" i="190" s="1"/>
  <c r="I313" i="190"/>
  <c r="G313" i="5" s="1"/>
  <c r="G23" i="190"/>
  <c r="I23" i="190" s="1"/>
  <c r="I366" i="190"/>
  <c r="G366" i="5" s="1"/>
  <c r="I381" i="190"/>
  <c r="G381" i="5" s="1"/>
  <c r="I308" i="190"/>
  <c r="G308" i="5" s="1"/>
  <c r="O1111" i="1"/>
  <c r="O1113" i="1"/>
  <c r="O1178" i="1"/>
  <c r="I215" i="190"/>
  <c r="G215" i="5" s="1"/>
  <c r="I189" i="190"/>
  <c r="G189" i="5" s="1"/>
  <c r="I199" i="190"/>
  <c r="G199" i="5" s="1"/>
  <c r="I211" i="190"/>
  <c r="G211" i="5" s="1"/>
  <c r="G206" i="190"/>
  <c r="I206" i="190" s="1"/>
  <c r="G206" i="5" s="1"/>
  <c r="O1110" i="1"/>
  <c r="O1112" i="1"/>
  <c r="O1114" i="1"/>
  <c r="O1249" i="1"/>
  <c r="O1310" i="1"/>
  <c r="F176" i="190"/>
  <c r="I176" i="190" s="1"/>
  <c r="I235" i="190"/>
  <c r="F255" i="190"/>
  <c r="I255" i="190" s="1"/>
  <c r="L18" i="189"/>
  <c r="A18" i="189" s="1"/>
  <c r="L22" i="189"/>
  <c r="A22" i="189" s="1"/>
  <c r="L24" i="189"/>
  <c r="A24" i="189" s="1"/>
  <c r="G17" i="190"/>
  <c r="I17" i="190" s="1"/>
  <c r="O3009" i="246" s="1"/>
  <c r="G209" i="190"/>
  <c r="I209" i="190" s="1"/>
  <c r="G209" i="5" s="1"/>
  <c r="I370" i="190"/>
  <c r="G370" i="5" s="1"/>
  <c r="G362" i="190"/>
  <c r="I362" i="190" s="1"/>
  <c r="G362" i="5" s="1"/>
  <c r="I376" i="190"/>
  <c r="G376" i="5" s="1"/>
  <c r="I186" i="190"/>
  <c r="G186" i="5" s="1"/>
  <c r="I333" i="190"/>
  <c r="G333" i="5" s="1"/>
  <c r="M1114" i="1"/>
  <c r="I220" i="190"/>
  <c r="M1111" i="1"/>
  <c r="I260" i="190"/>
  <c r="G260" i="5" s="1"/>
  <c r="I272" i="190"/>
  <c r="G272" i="5" s="1"/>
  <c r="I280" i="190"/>
  <c r="G280" i="5" s="1"/>
  <c r="M17" i="189"/>
  <c r="A17" i="189" s="1"/>
  <c r="G367" i="190"/>
  <c r="I367" i="190" s="1"/>
  <c r="G367" i="5" s="1"/>
  <c r="M1110" i="1"/>
  <c r="L16" i="189"/>
  <c r="A16" i="189" s="1"/>
  <c r="L15" i="189"/>
  <c r="A15" i="189" s="1"/>
  <c r="I374" i="190"/>
  <c r="G374" i="5" s="1"/>
  <c r="I165" i="190"/>
  <c r="F8" i="189"/>
  <c r="D8" i="189" s="1"/>
  <c r="I166" i="190"/>
  <c r="I167" i="190"/>
  <c r="G13" i="190"/>
  <c r="I13" i="190" s="1"/>
  <c r="O3008" i="246" s="1"/>
  <c r="I360" i="190"/>
  <c r="G360" i="5" s="1"/>
  <c r="I190" i="190"/>
  <c r="G190" i="5" s="1"/>
  <c r="I212" i="190"/>
  <c r="G212" i="5" s="1"/>
  <c r="I306" i="190"/>
  <c r="I314" i="190"/>
  <c r="G314" i="5" s="1"/>
  <c r="I177" i="190"/>
  <c r="G177" i="5" s="1"/>
  <c r="I208" i="190"/>
  <c r="G208" i="5" s="1"/>
  <c r="I317" i="190"/>
  <c r="G317" i="5" s="1"/>
  <c r="I369" i="190"/>
  <c r="G369" i="5" s="1"/>
  <c r="I312" i="190"/>
  <c r="I352" i="190"/>
  <c r="G352" i="5" s="1"/>
  <c r="I168" i="190"/>
  <c r="I224" i="190"/>
  <c r="G224" i="5" s="1"/>
  <c r="I228" i="190"/>
  <c r="I265" i="190"/>
  <c r="G265" i="5" s="1"/>
  <c r="I320" i="190"/>
  <c r="G320" i="5" s="1"/>
  <c r="I361" i="190"/>
  <c r="G361" i="5" s="1"/>
  <c r="I399" i="190"/>
  <c r="I171" i="190"/>
  <c r="I185" i="190"/>
  <c r="G185" i="5" s="1"/>
  <c r="I309" i="190"/>
  <c r="G309" i="5" s="1"/>
  <c r="I331" i="190"/>
  <c r="G331" i="5" s="1"/>
  <c r="I340" i="190"/>
  <c r="G340" i="5" s="1"/>
  <c r="I357" i="190"/>
  <c r="G357" i="5" s="1"/>
  <c r="I389" i="190"/>
  <c r="G389" i="5" s="1"/>
  <c r="I392" i="190"/>
  <c r="I388" i="190"/>
  <c r="G388" i="5" s="1"/>
  <c r="I394" i="190"/>
  <c r="G394" i="5" s="1"/>
  <c r="I316" i="190"/>
  <c r="G316" i="5" s="1"/>
  <c r="I368" i="190"/>
  <c r="G368" i="5" s="1"/>
  <c r="I384" i="190"/>
  <c r="I219" i="190"/>
  <c r="I225" i="190"/>
  <c r="G225" i="5" s="1"/>
  <c r="I329" i="190"/>
  <c r="G329" i="5" s="1"/>
  <c r="I184" i="190"/>
  <c r="I192" i="190"/>
  <c r="G192" i="5" s="1"/>
  <c r="I210" i="190"/>
  <c r="G210" i="5" s="1"/>
  <c r="I250" i="190"/>
  <c r="I341" i="190"/>
  <c r="F180" i="190"/>
  <c r="I180" i="190" s="1"/>
  <c r="F385" i="190"/>
  <c r="I385" i="190" s="1"/>
  <c r="F172" i="190"/>
  <c r="I172" i="190" s="1"/>
  <c r="I196" i="190"/>
  <c r="G196" i="5" s="1"/>
  <c r="I214" i="190"/>
  <c r="G214" i="5" s="1"/>
  <c r="I207" i="190"/>
  <c r="G207" i="5" s="1"/>
  <c r="I218" i="190"/>
  <c r="G218" i="5" s="1"/>
  <c r="F267" i="190"/>
  <c r="I267" i="190" s="1"/>
  <c r="F275" i="190"/>
  <c r="I275" i="190" s="1"/>
  <c r="I343" i="190"/>
  <c r="G343" i="5" s="1"/>
  <c r="I348" i="190"/>
  <c r="G348" i="5" s="1"/>
  <c r="I187" i="190"/>
  <c r="G187" i="5" s="1"/>
  <c r="I346" i="190"/>
  <c r="G346" i="5" s="1"/>
  <c r="I355" i="190"/>
  <c r="G355" i="5" s="1"/>
  <c r="I371" i="190"/>
  <c r="G371" i="5" s="1"/>
  <c r="I375" i="190"/>
  <c r="G375" i="5" s="1"/>
  <c r="I393" i="190"/>
  <c r="F251" i="190"/>
  <c r="I251" i="190" s="1"/>
  <c r="F259" i="190"/>
  <c r="I259" i="190" s="1"/>
  <c r="F279" i="190"/>
  <c r="I279" i="190" s="1"/>
  <c r="I237" i="190"/>
  <c r="G237" i="5" s="1"/>
  <c r="I257" i="190"/>
  <c r="G257" i="5" s="1"/>
  <c r="I379" i="190"/>
  <c r="G379" i="5" s="1"/>
  <c r="I227" i="190"/>
  <c r="G227" i="5" s="1"/>
  <c r="I311" i="190"/>
  <c r="G311" i="5" s="1"/>
  <c r="I350" i="190"/>
  <c r="G350" i="5" s="1"/>
  <c r="I396" i="190"/>
  <c r="G396" i="5" s="1"/>
  <c r="I217" i="190"/>
  <c r="G217" i="5" s="1"/>
  <c r="I226" i="190"/>
  <c r="G226" i="5" s="1"/>
  <c r="I230" i="190"/>
  <c r="G230" i="5" s="1"/>
  <c r="I264" i="190"/>
  <c r="G264" i="5" s="1"/>
  <c r="I276" i="190"/>
  <c r="G276" i="5" s="1"/>
  <c r="I307" i="190"/>
  <c r="G307" i="5" s="1"/>
  <c r="I351" i="190"/>
  <c r="G351" i="5" s="1"/>
  <c r="I378" i="190"/>
  <c r="I382" i="190"/>
  <c r="G382" i="5" s="1"/>
  <c r="I213" i="190"/>
  <c r="G213" i="5" s="1"/>
  <c r="I256" i="190"/>
  <c r="G256" i="5" s="1"/>
  <c r="I273" i="190"/>
  <c r="G273" i="5" s="1"/>
  <c r="I203" i="190"/>
  <c r="G203" i="5" s="1"/>
  <c r="D403" i="190"/>
  <c r="D2" i="190" s="1"/>
  <c r="H2" i="190" s="1"/>
  <c r="F183" i="190"/>
  <c r="I183" i="190" s="1"/>
  <c r="I191" i="190"/>
  <c r="G191" i="5" s="1"/>
  <c r="I194" i="190"/>
  <c r="G194" i="5" s="1"/>
  <c r="I201" i="190"/>
  <c r="I202" i="190"/>
  <c r="G202" i="5" s="1"/>
  <c r="I216" i="190"/>
  <c r="G216" i="5" s="1"/>
  <c r="I221" i="190"/>
  <c r="K403" i="190"/>
  <c r="K2" i="190" s="1"/>
  <c r="F169" i="190"/>
  <c r="I195" i="190"/>
  <c r="G195" i="5" s="1"/>
  <c r="I200" i="190"/>
  <c r="I204" i="190"/>
  <c r="G204" i="5" s="1"/>
  <c r="I205" i="190"/>
  <c r="G205" i="5" s="1"/>
  <c r="I359" i="190"/>
  <c r="G359" i="5" s="1"/>
  <c r="I364" i="190"/>
  <c r="G364" i="5" s="1"/>
  <c r="I395" i="190"/>
  <c r="G395" i="5" s="1"/>
  <c r="I310" i="190"/>
  <c r="G310" i="5" s="1"/>
  <c r="I315" i="190"/>
  <c r="G315" i="5" s="1"/>
  <c r="I345" i="190"/>
  <c r="G345" i="5" s="1"/>
  <c r="I349" i="190"/>
  <c r="G349" i="5" s="1"/>
  <c r="I363" i="190"/>
  <c r="G363" i="5" s="1"/>
  <c r="I380" i="190"/>
  <c r="G380" i="5" s="1"/>
  <c r="I383" i="190"/>
  <c r="G383" i="5" s="1"/>
  <c r="I372" i="190"/>
  <c r="G372"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128" i="246" l="1"/>
  <c r="S3128" i="246" s="1"/>
  <c r="O3524" i="1"/>
  <c r="S3524" i="1" s="1"/>
  <c r="O3417" i="1"/>
  <c r="S3417" i="1" s="1"/>
  <c r="O3290" i="246"/>
  <c r="C3290" i="246" s="1"/>
  <c r="O3310" i="246"/>
  <c r="R3153" i="246" s="1"/>
  <c r="O3197" i="246"/>
  <c r="O3248" i="246"/>
  <c r="C3248" i="246" s="1"/>
  <c r="O3232" i="246"/>
  <c r="C3232" i="246" s="1"/>
  <c r="O3305" i="246"/>
  <c r="O3021" i="246"/>
  <c r="S3021" i="246" s="1"/>
  <c r="O3757" i="1"/>
  <c r="M3628" i="1"/>
  <c r="Y3628" i="1" s="1"/>
  <c r="M3253" i="1"/>
  <c r="S3253" i="1" s="1"/>
  <c r="R1839" i="1"/>
  <c r="R1857" i="1"/>
  <c r="R1852" i="1"/>
  <c r="R1845" i="1"/>
  <c r="R1841" i="1"/>
  <c r="R1855" i="1"/>
  <c r="R1847" i="1"/>
  <c r="R1838" i="1"/>
  <c r="R1858" i="1"/>
  <c r="R1854" i="1"/>
  <c r="R1846" i="1"/>
  <c r="R1842" i="1"/>
  <c r="R1837" i="1"/>
  <c r="R1860" i="1"/>
  <c r="R1856" i="1"/>
  <c r="R1851" i="1"/>
  <c r="R1844" i="1"/>
  <c r="R1840" i="1"/>
  <c r="R1859" i="1"/>
  <c r="R1843" i="1"/>
  <c r="O3087" i="246"/>
  <c r="S3087" i="246" s="1"/>
  <c r="O3035" i="246"/>
  <c r="S3035" i="246" s="1"/>
  <c r="O3411" i="1"/>
  <c r="O3015" i="246"/>
  <c r="O3005" i="246" s="1"/>
  <c r="S3005" i="246" s="1"/>
  <c r="O3792" i="1"/>
  <c r="C3792" i="1" s="1"/>
  <c r="O3743" i="1"/>
  <c r="C3743" i="1" s="1"/>
  <c r="O3808" i="1"/>
  <c r="C3808" i="1" s="1"/>
  <c r="O3870" i="1"/>
  <c r="C3870" i="1" s="1"/>
  <c r="O3850" i="1"/>
  <c r="C3850" i="1" s="1"/>
  <c r="M3593" i="1"/>
  <c r="M3241" i="1"/>
  <c r="O3405" i="1"/>
  <c r="O3483" i="1"/>
  <c r="S3483" i="1" s="1"/>
  <c r="M3360" i="1"/>
  <c r="S3360" i="1" s="1"/>
  <c r="O3431" i="1"/>
  <c r="S3431" i="1" s="1"/>
  <c r="O3404" i="1"/>
  <c r="M3240" i="1"/>
  <c r="M3319" i="1"/>
  <c r="S3319" i="1" s="1"/>
  <c r="M3267" i="1"/>
  <c r="S3267" i="1" s="1"/>
  <c r="M3247" i="1"/>
  <c r="O3865" i="1"/>
  <c r="M3706" i="1"/>
  <c r="Z3706" i="1" s="1"/>
  <c r="M3686" i="1"/>
  <c r="Y3686" i="1" s="1"/>
  <c r="M3701" i="1"/>
  <c r="M3644" i="1"/>
  <c r="Z3644" i="1" s="1"/>
  <c r="M3579" i="1"/>
  <c r="Z3579" i="1" s="1"/>
  <c r="X3644" i="1"/>
  <c r="M1311" i="1"/>
  <c r="R1311" i="1" s="1"/>
  <c r="M1320" i="1"/>
  <c r="R1320" i="1" s="1"/>
  <c r="M1250" i="1"/>
  <c r="R1250" i="1" s="1"/>
  <c r="M1313" i="1"/>
  <c r="R1313" i="1" s="1"/>
  <c r="M1314" i="1"/>
  <c r="R1314" i="1" s="1"/>
  <c r="M1319" i="1"/>
  <c r="R1319" i="1" s="1"/>
  <c r="M1310" i="1"/>
  <c r="R1310" i="1" s="1"/>
  <c r="M1249" i="1"/>
  <c r="R1249" i="1" s="1"/>
  <c r="M1315" i="1"/>
  <c r="R1315" i="1" s="1"/>
  <c r="M1251" i="1"/>
  <c r="R1251" i="1" s="1"/>
  <c r="M1312" i="1"/>
  <c r="R1312" i="1" s="1"/>
  <c r="E101" i="231"/>
  <c r="F101" i="231" s="1"/>
  <c r="G101" i="231" s="1"/>
  <c r="R1111" i="1"/>
  <c r="R1110" i="1"/>
  <c r="R1114" i="1"/>
  <c r="M1113" i="1"/>
  <c r="M1112" i="1"/>
  <c r="M1178" i="1"/>
  <c r="R1178" i="1" s="1"/>
  <c r="G403" i="190"/>
  <c r="G2" i="190" s="1"/>
  <c r="N2" i="190"/>
  <c r="G36" i="5" s="1"/>
  <c r="F403" i="190"/>
  <c r="I169" i="190"/>
  <c r="D1309" i="1"/>
  <c r="D1308" i="1"/>
  <c r="D1304" i="1"/>
  <c r="D1303" i="1"/>
  <c r="D1302" i="1"/>
  <c r="D1301" i="1"/>
  <c r="D1300" i="1"/>
  <c r="D1299" i="1"/>
  <c r="D1248" i="1"/>
  <c r="D1247" i="1"/>
  <c r="D1246" i="1"/>
  <c r="D1245" i="1"/>
  <c r="D1177" i="1"/>
  <c r="D1176" i="1"/>
  <c r="D1175" i="1"/>
  <c r="D1108" i="1"/>
  <c r="D1107" i="1"/>
  <c r="D1106" i="1"/>
  <c r="D1105" i="1"/>
  <c r="R3549" i="1" l="1"/>
  <c r="R3696" i="1" s="1"/>
  <c r="R3301" i="246"/>
  <c r="R3271" i="246"/>
  <c r="R3286" i="246"/>
  <c r="R3193" i="246"/>
  <c r="U3248" i="246"/>
  <c r="C3310" i="246"/>
  <c r="Z3628" i="1"/>
  <c r="C3628" i="1" s="1"/>
  <c r="R3713" i="1"/>
  <c r="O3019" i="246"/>
  <c r="C3019" i="246" s="1"/>
  <c r="O3068" i="246"/>
  <c r="C3068" i="246" s="1"/>
  <c r="O3033" i="246"/>
  <c r="O3146" i="246"/>
  <c r="R2989" i="246" s="1"/>
  <c r="O3141" i="246"/>
  <c r="O3126" i="246"/>
  <c r="C3126" i="246" s="1"/>
  <c r="O3084" i="246"/>
  <c r="C3084" i="246" s="1"/>
  <c r="R3313" i="246"/>
  <c r="R3290" i="246"/>
  <c r="R3250" i="246"/>
  <c r="R3296" i="246"/>
  <c r="R3275" i="246"/>
  <c r="R3316" i="246"/>
  <c r="R3292" i="246"/>
  <c r="R3238" i="246"/>
  <c r="R3299" i="246"/>
  <c r="R3279" i="246"/>
  <c r="R3269" i="246"/>
  <c r="R3260" i="246"/>
  <c r="R3249" i="246"/>
  <c r="R3237" i="246"/>
  <c r="R3225" i="246"/>
  <c r="R3207" i="246"/>
  <c r="R3178" i="246"/>
  <c r="R3158" i="246"/>
  <c r="R3255" i="246"/>
  <c r="R3228" i="246"/>
  <c r="R3210" i="246"/>
  <c r="R3176" i="246"/>
  <c r="R3157" i="246"/>
  <c r="R3281" i="246"/>
  <c r="R3246" i="246"/>
  <c r="R3212" i="246"/>
  <c r="R3179" i="246"/>
  <c r="R3154" i="246"/>
  <c r="R3259" i="246"/>
  <c r="R3291" i="246"/>
  <c r="R3215" i="246"/>
  <c r="R3159" i="246"/>
  <c r="R3192" i="246"/>
  <c r="R3172" i="246"/>
  <c r="R3224" i="246"/>
  <c r="R3163" i="246"/>
  <c r="R3244" i="246"/>
  <c r="R3308" i="246"/>
  <c r="R3278" i="246"/>
  <c r="R3312" i="246"/>
  <c r="R3283" i="246"/>
  <c r="R3268" i="246"/>
  <c r="R3261" i="246"/>
  <c r="R3254" i="246"/>
  <c r="R3239" i="246"/>
  <c r="R3231" i="246"/>
  <c r="R3209" i="246"/>
  <c r="R3189" i="246"/>
  <c r="R3161" i="246"/>
  <c r="R3307" i="246"/>
  <c r="R3262" i="246"/>
  <c r="R3243" i="246"/>
  <c r="R3214" i="246"/>
  <c r="R3190" i="246"/>
  <c r="R3162" i="246"/>
  <c r="R3300" i="246"/>
  <c r="R3257" i="246"/>
  <c r="R3219" i="246"/>
  <c r="R3188" i="246"/>
  <c r="R3160" i="246"/>
  <c r="R3274" i="246"/>
  <c r="R3235" i="246"/>
  <c r="R3223" i="246"/>
  <c r="R3169" i="246"/>
  <c r="R3217" i="246"/>
  <c r="R3230" i="246"/>
  <c r="R3185" i="246"/>
  <c r="R3289" i="246"/>
  <c r="R3298" i="246"/>
  <c r="R3265" i="246"/>
  <c r="R3245" i="246"/>
  <c r="R3205" i="246"/>
  <c r="R3314" i="246"/>
  <c r="R3251" i="246"/>
  <c r="R3218" i="246"/>
  <c r="R3173" i="246"/>
  <c r="R3272" i="246"/>
  <c r="R3177" i="246"/>
  <c r="R3240" i="246"/>
  <c r="R3277" i="246"/>
  <c r="R3206" i="246"/>
  <c r="R3309" i="246"/>
  <c r="R3208" i="246"/>
  <c r="R3282" i="246"/>
  <c r="R3288" i="246"/>
  <c r="R3263" i="246"/>
  <c r="R3242" i="246"/>
  <c r="R3233" i="246"/>
  <c r="R3203" i="246"/>
  <c r="R3311" i="246"/>
  <c r="R3247" i="246"/>
  <c r="R3216" i="246"/>
  <c r="R3165" i="246"/>
  <c r="R3166" i="246" s="1"/>
  <c r="R3264" i="246"/>
  <c r="R3222" i="246"/>
  <c r="R3167" i="246"/>
  <c r="R3168" i="246" s="1"/>
  <c r="R3236" i="246"/>
  <c r="R3248" i="246"/>
  <c r="R3175" i="246"/>
  <c r="R3284" i="246"/>
  <c r="R3295" i="246"/>
  <c r="R3227" i="246"/>
  <c r="R3234" i="246"/>
  <c r="R3273" i="246"/>
  <c r="R3258" i="246"/>
  <c r="R3221" i="246"/>
  <c r="R3174" i="246"/>
  <c r="R3280" i="246"/>
  <c r="R3202" i="246"/>
  <c r="R3155" i="246"/>
  <c r="R3241" i="246"/>
  <c r="R3204" i="246"/>
  <c r="R3220" i="246"/>
  <c r="R3232" i="246"/>
  <c r="R3297" i="246"/>
  <c r="R3285" i="246"/>
  <c r="R3156" i="246"/>
  <c r="R3310" i="246"/>
  <c r="R3315" i="246"/>
  <c r="R3270" i="246"/>
  <c r="R3256" i="246"/>
  <c r="R3211" i="246"/>
  <c r="R3164" i="246"/>
  <c r="R3266" i="246"/>
  <c r="R3199" i="246"/>
  <c r="R3191" i="246"/>
  <c r="R3276" i="246"/>
  <c r="R3213" i="246"/>
  <c r="R3226" i="246"/>
  <c r="R3267" i="246"/>
  <c r="V3808" i="1"/>
  <c r="Y3579" i="1"/>
  <c r="C3579" i="1" s="1"/>
  <c r="M3237" i="1"/>
  <c r="S3237" i="1" s="1"/>
  <c r="M3358" i="1" s="1"/>
  <c r="O3401" i="1"/>
  <c r="S3401" i="1" s="1"/>
  <c r="O3537" i="1" s="1"/>
  <c r="Y3706" i="1"/>
  <c r="C3706" i="1" s="1"/>
  <c r="V3644" i="1"/>
  <c r="Y3644" i="1"/>
  <c r="C3644" i="1" s="1"/>
  <c r="Z3686" i="1"/>
  <c r="C3686" i="1" s="1"/>
  <c r="R3651" i="1"/>
  <c r="R3586" i="1"/>
  <c r="R3680" i="1"/>
  <c r="R3639" i="1"/>
  <c r="R3595" i="1"/>
  <c r="R3555" i="1"/>
  <c r="R3620" i="1"/>
  <c r="R1112" i="1"/>
  <c r="R1113" i="1"/>
  <c r="E102" i="231"/>
  <c r="F102" i="231" s="1"/>
  <c r="G102" i="231" s="1"/>
  <c r="I403" i="190"/>
  <c r="I2" i="190" s="1"/>
  <c r="O2104" i="1"/>
  <c r="M2104" i="1"/>
  <c r="R3552" i="1" l="1"/>
  <c r="R3692" i="1"/>
  <c r="R3626" i="1"/>
  <c r="R3618" i="1"/>
  <c r="R3654" i="1"/>
  <c r="R3695" i="1"/>
  <c r="R3636" i="1"/>
  <c r="R3610" i="1"/>
  <c r="R3559" i="1"/>
  <c r="R3660" i="1"/>
  <c r="R3632" i="1"/>
  <c r="R3640" i="1"/>
  <c r="R3662" i="1"/>
  <c r="R3672" i="1"/>
  <c r="R3706" i="1"/>
  <c r="R3617" i="1"/>
  <c r="R3694" i="1"/>
  <c r="R3684" i="1"/>
  <c r="R3634" i="1"/>
  <c r="R3599" i="1"/>
  <c r="R3608" i="1"/>
  <c r="R3707" i="1"/>
  <c r="R3656" i="1"/>
  <c r="R3585" i="1"/>
  <c r="R3646" i="1"/>
  <c r="R3688" i="1"/>
  <c r="R3689" i="1" s="1"/>
  <c r="R3690" i="1" s="1"/>
  <c r="R3581" i="1"/>
  <c r="R3582" i="1" s="1"/>
  <c r="R3682" i="1"/>
  <c r="R3565" i="1"/>
  <c r="R3576" i="1" s="1"/>
  <c r="R3561" i="1"/>
  <c r="R3562" i="1" s="1"/>
  <c r="R3676" i="1"/>
  <c r="R3677" i="1"/>
  <c r="R3658" i="1"/>
  <c r="R3679" i="1"/>
  <c r="R3568" i="1"/>
  <c r="R3604" i="1"/>
  <c r="R3712" i="1"/>
  <c r="R3704" i="1"/>
  <c r="R3686" i="1"/>
  <c r="R3627" i="1"/>
  <c r="R3569" i="1"/>
  <c r="R3670" i="1"/>
  <c r="R3710" i="1"/>
  <c r="R3600" i="1"/>
  <c r="R3601" i="1"/>
  <c r="R3669" i="1"/>
  <c r="R3614" i="1"/>
  <c r="R3587" i="1"/>
  <c r="R3671" i="1"/>
  <c r="R3623" i="1"/>
  <c r="R3685" i="1"/>
  <c r="R3550" i="1"/>
  <c r="R3663" i="1"/>
  <c r="R3668" i="1"/>
  <c r="R3556" i="1"/>
  <c r="R3631" i="1"/>
  <c r="R3605" i="1"/>
  <c r="R3642" i="1"/>
  <c r="R3611" i="1"/>
  <c r="R3616" i="1"/>
  <c r="R3574" i="1"/>
  <c r="R3691" i="1"/>
  <c r="R3693" i="1"/>
  <c r="R3678" i="1"/>
  <c r="R3633" i="1"/>
  <c r="R3624" i="1"/>
  <c r="R3703" i="1"/>
  <c r="R3708" i="1"/>
  <c r="R3652" i="1"/>
  <c r="R3607" i="1"/>
  <c r="R3643" i="1"/>
  <c r="R3628" i="1"/>
  <c r="R3557" i="1"/>
  <c r="R3560" i="1"/>
  <c r="R3655" i="1"/>
  <c r="R3584" i="1"/>
  <c r="R3687" i="1"/>
  <c r="R3571" i="1"/>
  <c r="R3650" i="1"/>
  <c r="R3554" i="1"/>
  <c r="R3645" i="1"/>
  <c r="R3705" i="1"/>
  <c r="R3612" i="1"/>
  <c r="R3563" i="1"/>
  <c r="R3564" i="1" s="1"/>
  <c r="R3664" i="1"/>
  <c r="R3622" i="1"/>
  <c r="R3613" i="1"/>
  <c r="R3675" i="1"/>
  <c r="R3637" i="1"/>
  <c r="R3572" i="1"/>
  <c r="R3674" i="1"/>
  <c r="R3667" i="1"/>
  <c r="R3630" i="1"/>
  <c r="R3681" i="1"/>
  <c r="R3657" i="1"/>
  <c r="R3661" i="1"/>
  <c r="R3659" i="1"/>
  <c r="R3615" i="1"/>
  <c r="R3635" i="1"/>
  <c r="R3603" i="1"/>
  <c r="R3653" i="1"/>
  <c r="R3588" i="1"/>
  <c r="R3621" i="1"/>
  <c r="R3619" i="1"/>
  <c r="R3553" i="1"/>
  <c r="R3711" i="1"/>
  <c r="R3638" i="1"/>
  <c r="R3641" i="1"/>
  <c r="R3598" i="1"/>
  <c r="R3666" i="1"/>
  <c r="R3602" i="1"/>
  <c r="R3558" i="1"/>
  <c r="R3647" i="1"/>
  <c r="R3683" i="1" s="1"/>
  <c r="R3673" i="1"/>
  <c r="R3570" i="1"/>
  <c r="R3665" i="1"/>
  <c r="R3629" i="1"/>
  <c r="R3709" i="1"/>
  <c r="R3609" i="1"/>
  <c r="R3606" i="1"/>
  <c r="R3644" i="1"/>
  <c r="R3575" i="1"/>
  <c r="R3551" i="1"/>
  <c r="R3573" i="1"/>
  <c r="R3589" i="1"/>
  <c r="R3697" i="1"/>
  <c r="R3137" i="246"/>
  <c r="R3107" i="246"/>
  <c r="R3861" i="1"/>
  <c r="R3831" i="1"/>
  <c r="R3753" i="1"/>
  <c r="R3122" i="246"/>
  <c r="R3029" i="246"/>
  <c r="R3872" i="1"/>
  <c r="R3846" i="1"/>
  <c r="C3146" i="246"/>
  <c r="U3084" i="246"/>
  <c r="Y3358" i="1"/>
  <c r="Z3358" i="1"/>
  <c r="R3287" i="246"/>
  <c r="R3252" i="246"/>
  <c r="R3253" i="246" s="1"/>
  <c r="R3187" i="246"/>
  <c r="R3194" i="246"/>
  <c r="R3195" i="246" s="1"/>
  <c r="R3196" i="246" s="1"/>
  <c r="R3186" i="246"/>
  <c r="R3197" i="246"/>
  <c r="R3198" i="246" s="1"/>
  <c r="R3293" i="246"/>
  <c r="R3294" i="246" s="1"/>
  <c r="R3302" i="246"/>
  <c r="R3303" i="246" s="1"/>
  <c r="R3304" i="246" s="1"/>
  <c r="R3305" i="246" s="1"/>
  <c r="R3306" i="246" s="1"/>
  <c r="R3144" i="246"/>
  <c r="R3105" i="246"/>
  <c r="R3045" i="246"/>
  <c r="R3086" i="246"/>
  <c r="R2990" i="246"/>
  <c r="R3024" i="246"/>
  <c r="R3132" i="246"/>
  <c r="R3091" i="246"/>
  <c r="R3001" i="246"/>
  <c r="R3002" i="246" s="1"/>
  <c r="R3110" i="246"/>
  <c r="R3111" i="246"/>
  <c r="R3054" i="246"/>
  <c r="R3087" i="246"/>
  <c r="R3143" i="246"/>
  <c r="R3049" i="246"/>
  <c r="R3073" i="246"/>
  <c r="R3109" i="246"/>
  <c r="R2999" i="246"/>
  <c r="R3027" i="246"/>
  <c r="R3103" i="246"/>
  <c r="R3102" i="246"/>
  <c r="R3125" i="246"/>
  <c r="R2998" i="246"/>
  <c r="R3058" i="246"/>
  <c r="R3097" i="246"/>
  <c r="R3059" i="246"/>
  <c r="R3081" i="246"/>
  <c r="R3116" i="246"/>
  <c r="R2997" i="246"/>
  <c r="R3147" i="246"/>
  <c r="R3014" i="246"/>
  <c r="R3092" i="246"/>
  <c r="R3046" i="246"/>
  <c r="R3093" i="246"/>
  <c r="R3080" i="246"/>
  <c r="R3041" i="246"/>
  <c r="R2993" i="246"/>
  <c r="R3050" i="246"/>
  <c r="R3052" i="246"/>
  <c r="R3079" i="246"/>
  <c r="R3000" i="246"/>
  <c r="R3128" i="246"/>
  <c r="R3074" i="246"/>
  <c r="R3013" i="246"/>
  <c r="R3101" i="246"/>
  <c r="R3067" i="246"/>
  <c r="R3115" i="246"/>
  <c r="R2994" i="246"/>
  <c r="R3010" i="246"/>
  <c r="R3085" i="246"/>
  <c r="R3136" i="246"/>
  <c r="R3070" i="246"/>
  <c r="R3135" i="246"/>
  <c r="R3011" i="246"/>
  <c r="R3090" i="246"/>
  <c r="R3044" i="246"/>
  <c r="R3083" i="246"/>
  <c r="R3131" i="246"/>
  <c r="R3056" i="246"/>
  <c r="R3117" i="246"/>
  <c r="R3150" i="246"/>
  <c r="R3078" i="246"/>
  <c r="R3038" i="246"/>
  <c r="R3066" i="246"/>
  <c r="R3148" i="246"/>
  <c r="R3039" i="246"/>
  <c r="R3134" i="246"/>
  <c r="R3096" i="246"/>
  <c r="R3118" i="246"/>
  <c r="R3021" i="246"/>
  <c r="R3076" i="246"/>
  <c r="R3124" i="246"/>
  <c r="R3025" i="246"/>
  <c r="R3048" i="246"/>
  <c r="R3100" i="246"/>
  <c r="R3057" i="246"/>
  <c r="R3053" i="246"/>
  <c r="R3127" i="246"/>
  <c r="R3026" i="246"/>
  <c r="R3119" i="246"/>
  <c r="R3121" i="246"/>
  <c r="R3015" i="246"/>
  <c r="R3068" i="246"/>
  <c r="R3055" i="246"/>
  <c r="R3012" i="246"/>
  <c r="R3098" i="246"/>
  <c r="R3064" i="246"/>
  <c r="R3060" i="246"/>
  <c r="R3113" i="246"/>
  <c r="R3051" i="246"/>
  <c r="R3042" i="246"/>
  <c r="R3133" i="246"/>
  <c r="R3120" i="246"/>
  <c r="R3084" i="246"/>
  <c r="R3069" i="246"/>
  <c r="R3047" i="246"/>
  <c r="R3114" i="246"/>
  <c r="R3003" i="246"/>
  <c r="R3004" i="246" s="1"/>
  <c r="R3126" i="246"/>
  <c r="R3009" i="246"/>
  <c r="R3099" i="246"/>
  <c r="R3112" i="246"/>
  <c r="R3008" i="246"/>
  <c r="R3077" i="246"/>
  <c r="R2992" i="246"/>
  <c r="R3071" i="246"/>
  <c r="R3151" i="246"/>
  <c r="R3075" i="246"/>
  <c r="R3149" i="246"/>
  <c r="R3106" i="246"/>
  <c r="R3095" i="246"/>
  <c r="R3108" i="246"/>
  <c r="R2996" i="246"/>
  <c r="R3043" i="246"/>
  <c r="R3028" i="246"/>
  <c r="R3145" i="246"/>
  <c r="R3062" i="246"/>
  <c r="R3005" i="246"/>
  <c r="R2995" i="246"/>
  <c r="R3094" i="246"/>
  <c r="R3082" i="246"/>
  <c r="R3063" i="246"/>
  <c r="R3035" i="246"/>
  <c r="R3072" i="246"/>
  <c r="R3152" i="246"/>
  <c r="R3040" i="246"/>
  <c r="R3146" i="246"/>
  <c r="R3104" i="246"/>
  <c r="R3061" i="246"/>
  <c r="R2991" i="246"/>
  <c r="R3229" i="246"/>
  <c r="R3200" i="246"/>
  <c r="R3201" i="246" s="1"/>
  <c r="R3181" i="246"/>
  <c r="R3182" i="246" s="1"/>
  <c r="R3183" i="246" s="1"/>
  <c r="R3184" i="246" s="1"/>
  <c r="R3170" i="246"/>
  <c r="R3171" i="246" s="1"/>
  <c r="R3180" i="246"/>
  <c r="R3745" i="1"/>
  <c r="R3747" i="1" s="1"/>
  <c r="R3819" i="1"/>
  <c r="R3771" i="1"/>
  <c r="R3775" i="1"/>
  <c r="R3734" i="1"/>
  <c r="R3762" i="1"/>
  <c r="R3840" i="1"/>
  <c r="R3801" i="1"/>
  <c r="R3802" i="1"/>
  <c r="R3826" i="1"/>
  <c r="R3729" i="1"/>
  <c r="R3730" i="1" s="1"/>
  <c r="R3731" i="1" s="1"/>
  <c r="R3752" i="1"/>
  <c r="R3842" i="1"/>
  <c r="R3828" i="1"/>
  <c r="R3868" i="1"/>
  <c r="R3738" i="1"/>
  <c r="R3876" i="1"/>
  <c r="R3830" i="1"/>
  <c r="R3806" i="1"/>
  <c r="R3843" i="1"/>
  <c r="R3776" i="1"/>
  <c r="R3871" i="1"/>
  <c r="R3870" i="1"/>
  <c r="R3791" i="1"/>
  <c r="R3820" i="1"/>
  <c r="R3765" i="1"/>
  <c r="R3767" i="1"/>
  <c r="R3788" i="1"/>
  <c r="R3797" i="1"/>
  <c r="R3739" i="1"/>
  <c r="R3766" i="1"/>
  <c r="R3845" i="1"/>
  <c r="R3818" i="1"/>
  <c r="R3769" i="1"/>
  <c r="R3848" i="1"/>
  <c r="R3723" i="1"/>
  <c r="R3817" i="1"/>
  <c r="R3867" i="1"/>
  <c r="R3803" i="1"/>
  <c r="R3792" i="1"/>
  <c r="R3860" i="1"/>
  <c r="R3844" i="1"/>
  <c r="R3715" i="1"/>
  <c r="R3810" i="1"/>
  <c r="R3772" i="1"/>
  <c r="R3850" i="1"/>
  <c r="R3784" i="1"/>
  <c r="R3800" i="1"/>
  <c r="R3833" i="1"/>
  <c r="R3779" i="1"/>
  <c r="R3782" i="1"/>
  <c r="R3807" i="1"/>
  <c r="R3748" i="1"/>
  <c r="R3851" i="1"/>
  <c r="R3751" i="1"/>
  <c r="R3824" i="1"/>
  <c r="R3841" i="1"/>
  <c r="R3829" i="1"/>
  <c r="R3719" i="1"/>
  <c r="R3799" i="1"/>
  <c r="R3814" i="1"/>
  <c r="R3874" i="1"/>
  <c r="R3725" i="1"/>
  <c r="R3726" i="1" s="1"/>
  <c r="R3856" i="1"/>
  <c r="R3857" i="1"/>
  <c r="R3732" i="1"/>
  <c r="R3764" i="1"/>
  <c r="R3717" i="1"/>
  <c r="R3793" i="1"/>
  <c r="R3823" i="1"/>
  <c r="R3849" i="1"/>
  <c r="R3720" i="1"/>
  <c r="R3816" i="1"/>
  <c r="R3768" i="1"/>
  <c r="R3790" i="1"/>
  <c r="R3809" i="1"/>
  <c r="R3795" i="1"/>
  <c r="R3749" i="1"/>
  <c r="R3875" i="1"/>
  <c r="R3727" i="1"/>
  <c r="R3728" i="1" s="1"/>
  <c r="R3716" i="1"/>
  <c r="R3787" i="1"/>
  <c r="R3774" i="1"/>
  <c r="R3832" i="1"/>
  <c r="R3869" i="1"/>
  <c r="R3759" i="1"/>
  <c r="R3760" i="1" s="1"/>
  <c r="R3761" i="1" s="1"/>
  <c r="R3794" i="1"/>
  <c r="R3835" i="1"/>
  <c r="R3735" i="1"/>
  <c r="R3780" i="1"/>
  <c r="R3837" i="1"/>
  <c r="R3786" i="1"/>
  <c r="R3839" i="1"/>
  <c r="R3859" i="1"/>
  <c r="R3778" i="1"/>
  <c r="R3781" i="1"/>
  <c r="R3805" i="1"/>
  <c r="R3736" i="1"/>
  <c r="R3714" i="1"/>
  <c r="R3822" i="1"/>
  <c r="R3773" i="1"/>
  <c r="R3750" i="1"/>
  <c r="R3855" i="1"/>
  <c r="R3858" i="1"/>
  <c r="R3785" i="1"/>
  <c r="R3827" i="1"/>
  <c r="R3718" i="1"/>
  <c r="R3796" i="1"/>
  <c r="R3811" i="1"/>
  <c r="R3847" i="1" s="1"/>
  <c r="R3838" i="1"/>
  <c r="R3722" i="1"/>
  <c r="R3737" i="1"/>
  <c r="R3808" i="1"/>
  <c r="R3825" i="1"/>
  <c r="R3834" i="1"/>
  <c r="R3815" i="1"/>
  <c r="R3852" i="1"/>
  <c r="R3862" i="1" s="1"/>
  <c r="R3863" i="1" s="1"/>
  <c r="R3864" i="1" s="1"/>
  <c r="R3865" i="1" s="1"/>
  <c r="R3866" i="1" s="1"/>
  <c r="R3777" i="1"/>
  <c r="R3724" i="1"/>
  <c r="R3770" i="1"/>
  <c r="R3763" i="1"/>
  <c r="R3873" i="1"/>
  <c r="R3733" i="1"/>
  <c r="R3836" i="1"/>
  <c r="R3804" i="1"/>
  <c r="R3798" i="1"/>
  <c r="R3821" i="1"/>
  <c r="R3721" i="1"/>
  <c r="R3783" i="1"/>
  <c r="M3373" i="1"/>
  <c r="M3265" i="1"/>
  <c r="M3300" i="1"/>
  <c r="M3316" i="1"/>
  <c r="M3251" i="1"/>
  <c r="M3378" i="1"/>
  <c r="O3464" i="1"/>
  <c r="C3464" i="1" s="1"/>
  <c r="O3542" i="1"/>
  <c r="R3385" i="1" s="1"/>
  <c r="O3415" i="1"/>
  <c r="C3415" i="1" s="1"/>
  <c r="O3522" i="1"/>
  <c r="C3522" i="1" s="1"/>
  <c r="O3429" i="1"/>
  <c r="O3480" i="1"/>
  <c r="R3577" i="1"/>
  <c r="R3578" i="1" s="1"/>
  <c r="R3579" i="1" s="1"/>
  <c r="R3580" i="1" s="1"/>
  <c r="R3625" i="1"/>
  <c r="R3596" i="1"/>
  <c r="R3597" i="1" s="1"/>
  <c r="E103" i="231"/>
  <c r="F103" i="231" s="1"/>
  <c r="G103" i="231" s="1"/>
  <c r="D2662" i="1"/>
  <c r="M2499" i="1"/>
  <c r="D2496" i="1"/>
  <c r="D2493" i="1"/>
  <c r="R2493" i="1" s="1"/>
  <c r="D2492" i="1"/>
  <c r="M1226" i="1"/>
  <c r="D1223" i="1"/>
  <c r="D1220" i="1"/>
  <c r="D1219" i="1"/>
  <c r="M1201" i="1"/>
  <c r="D1198" i="1"/>
  <c r="D1195" i="1"/>
  <c r="D1194" i="1"/>
  <c r="M1169" i="1"/>
  <c r="D1166" i="1"/>
  <c r="D1163" i="1"/>
  <c r="D1162" i="1"/>
  <c r="M1388" i="1"/>
  <c r="D1385" i="1"/>
  <c r="D1382" i="1"/>
  <c r="R1382" i="1" s="1"/>
  <c r="D1381" i="1"/>
  <c r="M1349" i="1"/>
  <c r="D1346" i="1"/>
  <c r="D1343" i="1"/>
  <c r="R1343" i="1" s="1"/>
  <c r="D1342" i="1"/>
  <c r="M2396" i="1"/>
  <c r="D2393" i="1"/>
  <c r="D2390" i="1"/>
  <c r="D2389" i="1"/>
  <c r="M2373" i="1"/>
  <c r="D2370" i="1"/>
  <c r="D2367" i="1"/>
  <c r="D2366" i="1"/>
  <c r="M2321" i="1"/>
  <c r="D2318" i="1"/>
  <c r="D2315" i="1"/>
  <c r="D2314" i="1"/>
  <c r="M2257" i="1"/>
  <c r="D2254" i="1"/>
  <c r="D2251" i="1"/>
  <c r="D2250" i="1"/>
  <c r="M2145" i="1"/>
  <c r="D2142" i="1"/>
  <c r="D2139" i="1"/>
  <c r="D2138" i="1"/>
  <c r="M2122" i="1"/>
  <c r="D2119" i="1"/>
  <c r="D2116" i="1"/>
  <c r="D2115" i="1"/>
  <c r="M2100" i="1"/>
  <c r="D2097" i="1"/>
  <c r="D2094" i="1"/>
  <c r="R2094" i="1" s="1"/>
  <c r="D2093" i="1"/>
  <c r="M2045" i="1"/>
  <c r="D2042" i="1"/>
  <c r="D2039" i="1"/>
  <c r="R2039" i="1" s="1"/>
  <c r="D2038" i="1"/>
  <c r="M1989" i="1"/>
  <c r="D1986" i="1"/>
  <c r="D1983" i="1"/>
  <c r="D1982" i="1"/>
  <c r="M151" i="136"/>
  <c r="G151" i="136" s="1"/>
  <c r="I151" i="136" s="1"/>
  <c r="O1269" i="246" s="1"/>
  <c r="R1269" i="246" s="1"/>
  <c r="O1308" i="1"/>
  <c r="R3698" i="1" l="1"/>
  <c r="R3699" i="1" s="1"/>
  <c r="R3700" i="1" s="1"/>
  <c r="R3701" i="1" s="1"/>
  <c r="R3702" i="1" s="1"/>
  <c r="R3566" i="1"/>
  <c r="R3567" i="1" s="1"/>
  <c r="R3593" i="1"/>
  <c r="R3594" i="1" s="1"/>
  <c r="R3583" i="1"/>
  <c r="R3590" i="1"/>
  <c r="R3591" i="1" s="1"/>
  <c r="R3592" i="1" s="1"/>
  <c r="C3358" i="1"/>
  <c r="R3648" i="1"/>
  <c r="R3649" i="1" s="1"/>
  <c r="Z3378" i="1"/>
  <c r="R3221" i="1"/>
  <c r="R3237" i="1" s="1"/>
  <c r="R3533" i="1"/>
  <c r="R3503" i="1"/>
  <c r="R3518" i="1"/>
  <c r="R3425" i="1"/>
  <c r="R3741" i="1"/>
  <c r="R3742" i="1" s="1"/>
  <c r="R3743" i="1" s="1"/>
  <c r="R3744" i="1" s="1"/>
  <c r="C3542" i="1"/>
  <c r="Y3316" i="1"/>
  <c r="Z3316" i="1"/>
  <c r="Y3251" i="1"/>
  <c r="Z3251" i="1"/>
  <c r="Y3300" i="1"/>
  <c r="Z3300" i="1"/>
  <c r="R3757" i="1"/>
  <c r="R3758" i="1" s="1"/>
  <c r="R3754" i="1"/>
  <c r="R3755" i="1" s="1"/>
  <c r="R3756" i="1" s="1"/>
  <c r="R3022" i="246"/>
  <c r="R3033" i="246"/>
  <c r="R3034" i="246" s="1"/>
  <c r="R3030" i="246"/>
  <c r="R3031" i="246" s="1"/>
  <c r="R3032" i="246" s="1"/>
  <c r="R3023" i="246"/>
  <c r="R3123" i="246"/>
  <c r="R3088" i="246"/>
  <c r="R3089" i="246" s="1"/>
  <c r="R3016" i="246"/>
  <c r="R3017" i="246"/>
  <c r="R3018" i="246" s="1"/>
  <c r="R3019" i="246" s="1"/>
  <c r="R3020" i="246" s="1"/>
  <c r="R3006" i="246"/>
  <c r="R3007" i="246" s="1"/>
  <c r="R3065" i="246"/>
  <c r="R3036" i="246"/>
  <c r="R3037" i="246" s="1"/>
  <c r="R3129" i="246"/>
  <c r="R3130" i="246" s="1"/>
  <c r="R3138" i="246"/>
  <c r="R3139" i="246" s="1"/>
  <c r="R3140" i="246" s="1"/>
  <c r="R3141" i="246" s="1"/>
  <c r="R3142" i="246" s="1"/>
  <c r="R3746" i="1"/>
  <c r="R3740" i="1"/>
  <c r="R3853" i="1"/>
  <c r="R3854" i="1" s="1"/>
  <c r="R3812" i="1"/>
  <c r="R3813" i="1" s="1"/>
  <c r="R3789" i="1"/>
  <c r="V3316" i="1"/>
  <c r="Y3378" i="1"/>
  <c r="C3480" i="1"/>
  <c r="V3480" i="1"/>
  <c r="E104" i="231"/>
  <c r="F104" i="231" s="1"/>
  <c r="G104" i="231" s="1"/>
  <c r="M1308" i="1"/>
  <c r="R1308" i="1" s="1"/>
  <c r="K167" i="136"/>
  <c r="K166" i="136"/>
  <c r="K165" i="136"/>
  <c r="C1" i="136"/>
  <c r="M38" i="136"/>
  <c r="G38" i="136" s="1"/>
  <c r="I38" i="136" s="1"/>
  <c r="M37" i="136"/>
  <c r="G37" i="136" s="1"/>
  <c r="I37" i="136" s="1"/>
  <c r="M36" i="136"/>
  <c r="G36" i="136" s="1"/>
  <c r="I36" i="136" s="1"/>
  <c r="M35" i="136"/>
  <c r="G35" i="136" s="1"/>
  <c r="I35" i="136" s="1"/>
  <c r="M34" i="136"/>
  <c r="G34" i="136" s="1"/>
  <c r="I34" i="136" s="1"/>
  <c r="C3378" i="1" l="1"/>
  <c r="C3251" i="1"/>
  <c r="C3300" i="1"/>
  <c r="C3316" i="1"/>
  <c r="R3261" i="1"/>
  <c r="R3354" i="1"/>
  <c r="R3369" i="1"/>
  <c r="R3339" i="1"/>
  <c r="R3467" i="1"/>
  <c r="R3501" i="1"/>
  <c r="R3435" i="1"/>
  <c r="R3524" i="1"/>
  <c r="R3396" i="1"/>
  <c r="R3490" i="1"/>
  <c r="R3405" i="1"/>
  <c r="R3532" i="1"/>
  <c r="R3409" i="1"/>
  <c r="R3393" i="1"/>
  <c r="R3408" i="1"/>
  <c r="R3541" i="1"/>
  <c r="R3529" i="1"/>
  <c r="R3445" i="1"/>
  <c r="R3397" i="1"/>
  <c r="R3398" i="1" s="1"/>
  <c r="R3388" i="1"/>
  <c r="R3491" i="1"/>
  <c r="R3505" i="1"/>
  <c r="R3516" i="1"/>
  <c r="R3523" i="1"/>
  <c r="R3406" i="1"/>
  <c r="R3507" i="1"/>
  <c r="R3530" i="1"/>
  <c r="R3456" i="1"/>
  <c r="R3509" i="1"/>
  <c r="R3469" i="1"/>
  <c r="R3389" i="1"/>
  <c r="R3543" i="1"/>
  <c r="R3506" i="1"/>
  <c r="R3453" i="1"/>
  <c r="R3459" i="1"/>
  <c r="R3510" i="1"/>
  <c r="R3460" i="1"/>
  <c r="R3471" i="1"/>
  <c r="R3480" i="1"/>
  <c r="R3404" i="1"/>
  <c r="R3417" i="1"/>
  <c r="R3395" i="1"/>
  <c r="R3520" i="1"/>
  <c r="R3473" i="1"/>
  <c r="R3508" i="1"/>
  <c r="R3493" i="1"/>
  <c r="R3531" i="1"/>
  <c r="R3447" i="1"/>
  <c r="R3446" i="1"/>
  <c r="R3424" i="1"/>
  <c r="R3478" i="1"/>
  <c r="R3449" i="1"/>
  <c r="R3439" i="1"/>
  <c r="R3522" i="1"/>
  <c r="R3387" i="1"/>
  <c r="R3436" i="1"/>
  <c r="R3499" i="1"/>
  <c r="R3465" i="1"/>
  <c r="R3394" i="1"/>
  <c r="R3513" i="1"/>
  <c r="R3399" i="1"/>
  <c r="R3400" i="1" s="1"/>
  <c r="R3474" i="1"/>
  <c r="R3443" i="1"/>
  <c r="R3545" i="1"/>
  <c r="R3441" i="1"/>
  <c r="R3512" i="1"/>
  <c r="R3481" i="1"/>
  <c r="R3475" i="1"/>
  <c r="R3462" i="1"/>
  <c r="R3548" i="1"/>
  <c r="R3502" i="1"/>
  <c r="R3482" i="1"/>
  <c r="R3494" i="1"/>
  <c r="R3504" i="1"/>
  <c r="R3401" i="1"/>
  <c r="R3527" i="1"/>
  <c r="R3437" i="1"/>
  <c r="R3486" i="1"/>
  <c r="R3488" i="1"/>
  <c r="R3521" i="1"/>
  <c r="R3444" i="1"/>
  <c r="R3390" i="1"/>
  <c r="R3457" i="1"/>
  <c r="R3496" i="1"/>
  <c r="R3517" i="1"/>
  <c r="R3391" i="1"/>
  <c r="R3477" i="1"/>
  <c r="R3450" i="1"/>
  <c r="R3539" i="1"/>
  <c r="R3540" i="1"/>
  <c r="R3410" i="1"/>
  <c r="R3500" i="1"/>
  <c r="R3454" i="1"/>
  <c r="R3528" i="1"/>
  <c r="R3479" i="1"/>
  <c r="R3547" i="1"/>
  <c r="R3458" i="1"/>
  <c r="R3407" i="1"/>
  <c r="R3472" i="1"/>
  <c r="R3421" i="1"/>
  <c r="R3476" i="1"/>
  <c r="R3515" i="1"/>
  <c r="R3498" i="1"/>
  <c r="R3544" i="1"/>
  <c r="R3511" i="1"/>
  <c r="R3468" i="1"/>
  <c r="R3438" i="1"/>
  <c r="R3423" i="1"/>
  <c r="R3487" i="1"/>
  <c r="R3455" i="1"/>
  <c r="R3542" i="1"/>
  <c r="R3386" i="1"/>
  <c r="R3392" i="1"/>
  <c r="R3464" i="1"/>
  <c r="R3546" i="1"/>
  <c r="R3497" i="1"/>
  <c r="R3422" i="1"/>
  <c r="R3489" i="1"/>
  <c r="R3420" i="1"/>
  <c r="R3466" i="1"/>
  <c r="R3470" i="1"/>
  <c r="R3514" i="1"/>
  <c r="R3448" i="1"/>
  <c r="R3452" i="1"/>
  <c r="R3431" i="1"/>
  <c r="R3492" i="1"/>
  <c r="R3451" i="1"/>
  <c r="R3463" i="1"/>
  <c r="R3440" i="1"/>
  <c r="R3434" i="1"/>
  <c r="R3411" i="1"/>
  <c r="R3495" i="1"/>
  <c r="R3442" i="1"/>
  <c r="R3483" i="1"/>
  <c r="D2860" i="246"/>
  <c r="D1065" i="246"/>
  <c r="R3233" i="1"/>
  <c r="R3234" i="1" s="1"/>
  <c r="R3227" i="1"/>
  <c r="R3280" i="1"/>
  <c r="R3327" i="1"/>
  <c r="R3317" i="1"/>
  <c r="R3246" i="1"/>
  <c r="R3318" i="1"/>
  <c r="R3360" i="1"/>
  <c r="R3288" i="1"/>
  <c r="R3259" i="1"/>
  <c r="R3277" i="1"/>
  <c r="R3243" i="1"/>
  <c r="R3316" i="1"/>
  <c r="R3328" i="1"/>
  <c r="R3283" i="1"/>
  <c r="R3333" i="1"/>
  <c r="R3384" i="1"/>
  <c r="R3290" i="1"/>
  <c r="R3326" i="1"/>
  <c r="R3223" i="1"/>
  <c r="R3241" i="1"/>
  <c r="R3347" i="1"/>
  <c r="R3309" i="1"/>
  <c r="R3228" i="1"/>
  <c r="R3313" i="1"/>
  <c r="R3367" i="1"/>
  <c r="R3368" i="1"/>
  <c r="R3340" i="1"/>
  <c r="R3273" i="1"/>
  <c r="R3292" i="1"/>
  <c r="R3357" i="1"/>
  <c r="R3352" i="1"/>
  <c r="R3256" i="1"/>
  <c r="R3299" i="1"/>
  <c r="R3287" i="1"/>
  <c r="R3298" i="1"/>
  <c r="R3322" i="1"/>
  <c r="R3300" i="1"/>
  <c r="R3260" i="1"/>
  <c r="R3363" i="1"/>
  <c r="R3383" i="1"/>
  <c r="R3305" i="1"/>
  <c r="R3314" i="1"/>
  <c r="R3257" i="1"/>
  <c r="R3284" i="1"/>
  <c r="R3230" i="1"/>
  <c r="R3253" i="1"/>
  <c r="R3267" i="1"/>
  <c r="R3225" i="1"/>
  <c r="R3358" i="1"/>
  <c r="R3382" i="1"/>
  <c r="R3344" i="1"/>
  <c r="R3315" i="1"/>
  <c r="R3324" i="1"/>
  <c r="R3224" i="1"/>
  <c r="R3289" i="1"/>
  <c r="R3346" i="1"/>
  <c r="R3272" i="1"/>
  <c r="R3302" i="1"/>
  <c r="R3307" i="1"/>
  <c r="R3334" i="1"/>
  <c r="R3274" i="1"/>
  <c r="R3304" i="1"/>
  <c r="R3380" i="1"/>
  <c r="R3271" i="1"/>
  <c r="R3349" i="1"/>
  <c r="R3345" i="1"/>
  <c r="R3296" i="1"/>
  <c r="R3311" i="1"/>
  <c r="R3343" i="1"/>
  <c r="R3240" i="1"/>
  <c r="R3293" i="1"/>
  <c r="R3281" i="1"/>
  <c r="R3353" i="1"/>
  <c r="R3377" i="1"/>
  <c r="R3332" i="1"/>
  <c r="R3303" i="1"/>
  <c r="R3291" i="1"/>
  <c r="R3341" i="1"/>
  <c r="R3242" i="1"/>
  <c r="R3330" i="1"/>
  <c r="R3335" i="1"/>
  <c r="R3348" i="1"/>
  <c r="R3356" i="1"/>
  <c r="R3331" i="1"/>
  <c r="R3232" i="1"/>
  <c r="R3329" i="1"/>
  <c r="R3375" i="1"/>
  <c r="R3278" i="1"/>
  <c r="R3276" i="1"/>
  <c r="R3226" i="1"/>
  <c r="R3244" i="1"/>
  <c r="R3350" i="1"/>
  <c r="R3235" i="1"/>
  <c r="R3236" i="1" s="1"/>
  <c r="R3294" i="1"/>
  <c r="R3381" i="1"/>
  <c r="R3365" i="1"/>
  <c r="R3308" i="1"/>
  <c r="R3285" i="1"/>
  <c r="R3258" i="1"/>
  <c r="R3337" i="1"/>
  <c r="R3286" i="1"/>
  <c r="R3378" i="1"/>
  <c r="R3312" i="1"/>
  <c r="R3325" i="1"/>
  <c r="R3319" i="1"/>
  <c r="R3342" i="1"/>
  <c r="R3247" i="1"/>
  <c r="R3231" i="1"/>
  <c r="R3301" i="1"/>
  <c r="R3323" i="1"/>
  <c r="R3310" i="1"/>
  <c r="R3338" i="1"/>
  <c r="R3275" i="1"/>
  <c r="R3376" i="1"/>
  <c r="R3229" i="1"/>
  <c r="R3379" i="1"/>
  <c r="R3222" i="1"/>
  <c r="R3359" i="1"/>
  <c r="R3351" i="1"/>
  <c r="R3279" i="1"/>
  <c r="R3295" i="1"/>
  <c r="R3364" i="1"/>
  <c r="R3336" i="1"/>
  <c r="R3245" i="1"/>
  <c r="R3306" i="1"/>
  <c r="R3282" i="1"/>
  <c r="R3366" i="1"/>
  <c r="R3270" i="1"/>
  <c r="D3092" i="1"/>
  <c r="D2928" i="1"/>
  <c r="D1104" i="1"/>
  <c r="E105" i="231"/>
  <c r="F105" i="231" s="1"/>
  <c r="G105" i="231" s="1"/>
  <c r="H403" i="5"/>
  <c r="H2" i="5" s="1"/>
  <c r="H1" i="5"/>
  <c r="G1" i="5"/>
  <c r="F1" i="5"/>
  <c r="D1" i="5"/>
  <c r="R3461" i="1" l="1"/>
  <c r="R3432" i="1"/>
  <c r="R3433" i="1" s="1"/>
  <c r="R3525" i="1"/>
  <c r="R3526" i="1" s="1"/>
  <c r="R3534" i="1"/>
  <c r="R3535" i="1" s="1"/>
  <c r="R3536" i="1" s="1"/>
  <c r="R3537" i="1" s="1"/>
  <c r="R3538" i="1" s="1"/>
  <c r="R3484" i="1"/>
  <c r="R3485" i="1" s="1"/>
  <c r="R3519" i="1"/>
  <c r="R3412" i="1"/>
  <c r="R3402" i="1"/>
  <c r="R3403" i="1" s="1"/>
  <c r="R3413" i="1"/>
  <c r="R3414" i="1" s="1"/>
  <c r="R3415" i="1" s="1"/>
  <c r="R3416" i="1" s="1"/>
  <c r="R3429" i="1"/>
  <c r="R3430" i="1" s="1"/>
  <c r="R3418" i="1"/>
  <c r="R3419" i="1"/>
  <c r="R3426" i="1"/>
  <c r="R3427" i="1" s="1"/>
  <c r="R3428" i="1" s="1"/>
  <c r="D2543" i="246"/>
  <c r="D1059" i="246"/>
  <c r="R3255" i="1"/>
  <c r="R3254" i="1"/>
  <c r="R3265" i="1"/>
  <c r="R3266" i="1" s="1"/>
  <c r="R3262" i="1"/>
  <c r="R3263" i="1" s="1"/>
  <c r="R3264" i="1" s="1"/>
  <c r="R3355" i="1"/>
  <c r="R3320" i="1"/>
  <c r="R3321" i="1" s="1"/>
  <c r="R3268" i="1"/>
  <c r="R3269" i="1" s="1"/>
  <c r="R3297" i="1"/>
  <c r="R3249" i="1"/>
  <c r="R3250" i="1" s="1"/>
  <c r="R3251" i="1" s="1"/>
  <c r="R3252" i="1" s="1"/>
  <c r="R3238" i="1"/>
  <c r="R3239" i="1" s="1"/>
  <c r="R3248" i="1"/>
  <c r="R3361" i="1"/>
  <c r="R3362" i="1" s="1"/>
  <c r="R3370" i="1"/>
  <c r="R3371" i="1" s="1"/>
  <c r="R3372" i="1" s="1"/>
  <c r="R3373" i="1" s="1"/>
  <c r="R3374"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15" i="170"/>
  <c r="C14" i="170"/>
  <c r="C13" i="170"/>
  <c r="C12" i="170"/>
  <c r="C9" i="170"/>
  <c r="C8" i="170"/>
  <c r="C8" i="169"/>
  <c r="C9" i="169"/>
  <c r="C10" i="169"/>
  <c r="C11" i="169"/>
  <c r="C12" i="169"/>
  <c r="C13" i="169"/>
  <c r="C14" i="169"/>
  <c r="C15" i="169"/>
  <c r="C16" i="169"/>
  <c r="C17" i="169"/>
  <c r="C18" i="169"/>
  <c r="C19" i="169"/>
  <c r="C20" i="169"/>
  <c r="C21" i="169"/>
  <c r="C22" i="169"/>
  <c r="C23" i="169"/>
  <c r="C24" i="169"/>
  <c r="G6" i="170"/>
  <c r="E3" i="170"/>
  <c r="C2" i="170"/>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0" i="5"/>
  <c r="J360" i="5" s="1"/>
  <c r="E109" i="231" l="1"/>
  <c r="F109" i="231" s="1"/>
  <c r="G109" i="231" s="1"/>
  <c r="E110" i="231" l="1"/>
  <c r="F110" i="231" s="1"/>
  <c r="G110" i="231" s="1"/>
  <c r="K67" i="89"/>
  <c r="Z67" i="89" s="1"/>
  <c r="AB67" i="89" s="1"/>
  <c r="Q21" i="80"/>
  <c r="R21" i="80" s="1"/>
  <c r="K149" i="89" l="1"/>
  <c r="K373" i="89" s="1"/>
  <c r="E111" i="231"/>
  <c r="F111" i="231" s="1"/>
  <c r="G111" i="231" s="1"/>
  <c r="Q20" i="80"/>
  <c r="S23" i="80"/>
  <c r="T23" i="80"/>
  <c r="Q18" i="80"/>
  <c r="Q15" i="80"/>
  <c r="Q16" i="80"/>
  <c r="Q17" i="80"/>
  <c r="Q19" i="80"/>
  <c r="P23" i="80"/>
  <c r="O23" i="80"/>
  <c r="F96" i="1"/>
  <c r="Z149" i="89" l="1"/>
  <c r="Z373" i="89" s="1"/>
  <c r="E112" i="231"/>
  <c r="F112" i="231" s="1"/>
  <c r="G112" i="231" s="1"/>
  <c r="Q23" i="80"/>
  <c r="Y14" i="89"/>
  <c r="Y15" i="89"/>
  <c r="R14" i="89"/>
  <c r="Q14" i="89"/>
  <c r="R15" i="89"/>
  <c r="Q15" i="89"/>
  <c r="R16" i="89"/>
  <c r="Q16" i="89"/>
  <c r="T84" i="242" l="1"/>
  <c r="AB149" i="89"/>
  <c r="AB373" i="89" s="1"/>
  <c r="AC67" i="89"/>
  <c r="AC149" i="89" s="1"/>
  <c r="AC373" i="89" s="1"/>
  <c r="E113" i="231"/>
  <c r="F113" i="231" s="1"/>
  <c r="G113" i="231" s="1"/>
  <c r="Y12" i="89"/>
  <c r="R12" i="89"/>
  <c r="R17" i="89" s="1"/>
  <c r="Q12" i="89"/>
  <c r="R13" i="89"/>
  <c r="Y13" i="89"/>
  <c r="Q13" i="89"/>
  <c r="Y16" i="89"/>
  <c r="N16" i="242" l="1"/>
  <c r="Q17" i="89"/>
  <c r="T10" i="242"/>
  <c r="G497" i="4" s="1"/>
  <c r="W84" i="242"/>
  <c r="V84" i="242"/>
  <c r="Y374" i="89"/>
  <c r="Q374" i="89"/>
  <c r="R374" i="89"/>
  <c r="E114" i="231"/>
  <c r="F114" i="231" s="1"/>
  <c r="G114" i="231" s="1"/>
  <c r="D1297" i="1"/>
  <c r="P151"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G6" i="136" s="1"/>
  <c r="I6" i="136" s="1"/>
  <c r="M15" i="149"/>
  <c r="J15" i="149"/>
  <c r="G232" i="136" s="1"/>
  <c r="I232" i="136" s="1"/>
  <c r="F232" i="5" s="1"/>
  <c r="G91" i="136" l="1"/>
  <c r="I91" i="136" s="1"/>
  <c r="O1033" i="246"/>
  <c r="R1033" i="246" s="1"/>
  <c r="M1072" i="1"/>
  <c r="M2787" i="1"/>
  <c r="R2787" i="1" s="1"/>
  <c r="M2719" i="246"/>
  <c r="V10" i="242"/>
  <c r="W10" i="242"/>
  <c r="E115" i="231"/>
  <c r="F115" i="231" s="1"/>
  <c r="G115" i="231" s="1"/>
  <c r="M1234" i="1" l="1"/>
  <c r="R1234" i="1" s="1"/>
  <c r="M2790" i="1"/>
  <c r="R2790" i="1" s="1"/>
  <c r="M2722" i="246"/>
  <c r="R2722" i="246" s="1"/>
  <c r="O1195" i="246"/>
  <c r="R1195" i="246" s="1"/>
  <c r="R1072" i="1"/>
  <c r="E116" i="231"/>
  <c r="F116" i="231" s="1"/>
  <c r="G116" i="231" s="1"/>
  <c r="P38" i="5"/>
  <c r="J38" i="5" s="1"/>
  <c r="P37" i="5"/>
  <c r="J37" i="5" s="1"/>
  <c r="P36" i="5"/>
  <c r="J36" i="5" s="1"/>
  <c r="P35" i="5"/>
  <c r="J35" i="5" s="1"/>
  <c r="P34" i="5"/>
  <c r="J34" i="5" s="1"/>
  <c r="L34" i="5" s="1"/>
  <c r="E117" i="231" l="1"/>
  <c r="F117" i="231" s="1"/>
  <c r="G117" i="231" s="1"/>
  <c r="L37" i="5"/>
  <c r="L38" i="5"/>
  <c r="L36" i="5"/>
  <c r="O2671" i="246" l="1"/>
  <c r="R2671" i="246" s="1"/>
  <c r="M2739" i="1"/>
  <c r="O2670" i="246"/>
  <c r="R2670" i="246" s="1"/>
  <c r="M2738" i="1"/>
  <c r="E118" i="231"/>
  <c r="F118" i="231" s="1"/>
  <c r="G118" i="231" s="1"/>
  <c r="S2671" i="246" l="1"/>
  <c r="W2671" i="246"/>
  <c r="D2671" i="246" s="1"/>
  <c r="U3310" i="246"/>
  <c r="U3146" i="246"/>
  <c r="S2670" i="246"/>
  <c r="V3542" i="1"/>
  <c r="W2670" i="246"/>
  <c r="D2670" i="246" s="1"/>
  <c r="V3870" i="1"/>
  <c r="V3706" i="1"/>
  <c r="V3378" i="1"/>
  <c r="S2738" i="1"/>
  <c r="S2739" i="1"/>
  <c r="E119" i="231"/>
  <c r="F119" i="231" s="1"/>
  <c r="G119" i="231" s="1"/>
  <c r="D2187" i="1"/>
  <c r="D2186" i="1"/>
  <c r="D2185" i="1"/>
  <c r="D2184" i="1"/>
  <c r="D2183" i="1"/>
  <c r="J126" i="1"/>
  <c r="J127" i="1"/>
  <c r="R127" i="1" s="1"/>
  <c r="J129" i="1"/>
  <c r="J131" i="1"/>
  <c r="J132" i="1"/>
  <c r="J133" i="1"/>
  <c r="J134" i="1"/>
  <c r="J135" i="1"/>
  <c r="J137" i="1"/>
  <c r="J138" i="1"/>
  <c r="J139" i="1"/>
  <c r="J140" i="1"/>
  <c r="J149" i="1"/>
  <c r="J150" i="1"/>
  <c r="J156" i="1"/>
  <c r="J881" i="1"/>
  <c r="J882" i="1"/>
  <c r="J883" i="1"/>
  <c r="J884" i="1"/>
  <c r="C377" i="4"/>
  <c r="C372" i="4"/>
  <c r="C357" i="4"/>
  <c r="C352" i="4"/>
  <c r="C347" i="4"/>
  <c r="C342" i="4"/>
  <c r="C337" i="4"/>
  <c r="C332" i="4"/>
  <c r="L23" i="80"/>
  <c r="K23" i="80"/>
  <c r="I23" i="80"/>
  <c r="H23" i="80"/>
  <c r="G23" i="80"/>
  <c r="F23" i="80"/>
  <c r="F25" i="80" s="1"/>
  <c r="C21" i="80"/>
  <c r="C15" i="80"/>
  <c r="E4" i="80"/>
  <c r="E120" i="231" l="1"/>
  <c r="F120" i="231" s="1"/>
  <c r="G120" i="231" s="1"/>
  <c r="M138" i="136"/>
  <c r="G138" i="136" s="1"/>
  <c r="I138" i="136" s="1"/>
  <c r="M137" i="136"/>
  <c r="G137" i="136" s="1"/>
  <c r="I137" i="136" s="1"/>
  <c r="O2956" i="246" s="1"/>
  <c r="M136" i="136"/>
  <c r="G136" i="136" s="1"/>
  <c r="I136" i="136" s="1"/>
  <c r="O2955" i="246" s="1"/>
  <c r="M135" i="136"/>
  <c r="G135" i="136" s="1"/>
  <c r="I135" i="136" s="1"/>
  <c r="O2954" i="246" s="1"/>
  <c r="M134" i="136"/>
  <c r="G134" i="136" s="1"/>
  <c r="I134" i="136" s="1"/>
  <c r="O2953" i="246" s="1"/>
  <c r="H484" i="149"/>
  <c r="G484" i="149"/>
  <c r="I484" i="149"/>
  <c r="K15" i="149"/>
  <c r="D4" i="149"/>
  <c r="C2" i="149"/>
  <c r="K366" i="136"/>
  <c r="F366" i="136" s="1"/>
  <c r="K367" i="136"/>
  <c r="F367" i="136" s="1"/>
  <c r="M400" i="136"/>
  <c r="M399" i="136"/>
  <c r="G399" i="136" s="1"/>
  <c r="I399" i="136" s="1"/>
  <c r="M398" i="136"/>
  <c r="G398" i="136" s="1"/>
  <c r="M397" i="136"/>
  <c r="G397" i="136" s="1"/>
  <c r="M396" i="136"/>
  <c r="G396" i="136" s="1"/>
  <c r="M395" i="136"/>
  <c r="G395" i="136" s="1"/>
  <c r="M394" i="136"/>
  <c r="G394" i="136" s="1"/>
  <c r="M393" i="136"/>
  <c r="G393" i="136" s="1"/>
  <c r="M392" i="136"/>
  <c r="G392" i="136" s="1"/>
  <c r="I392" i="136" s="1"/>
  <c r="M391" i="136"/>
  <c r="G391" i="136" s="1"/>
  <c r="M390" i="136"/>
  <c r="G390" i="136" s="1"/>
  <c r="M389" i="136"/>
  <c r="G389" i="136" s="1"/>
  <c r="M388" i="136"/>
  <c r="G388" i="136" s="1"/>
  <c r="I388" i="136" s="1"/>
  <c r="F388" i="5"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M373" i="136"/>
  <c r="G373" i="136" s="1"/>
  <c r="I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G358" i="136" s="1"/>
  <c r="M357" i="136"/>
  <c r="M356" i="136"/>
  <c r="G356" i="136" s="1"/>
  <c r="M355" i="136"/>
  <c r="G355" i="136" s="1"/>
  <c r="M354" i="136"/>
  <c r="G354" i="136" s="1"/>
  <c r="M353" i="136"/>
  <c r="G353" i="136" s="1"/>
  <c r="I353" i="136" s="1"/>
  <c r="M352" i="136"/>
  <c r="G352" i="136" s="1"/>
  <c r="M351" i="136"/>
  <c r="G351" i="136" s="1"/>
  <c r="M350" i="136"/>
  <c r="G350" i="136" s="1"/>
  <c r="M349" i="136"/>
  <c r="G349" i="136" s="1"/>
  <c r="M348" i="136"/>
  <c r="G348" i="136" s="1"/>
  <c r="M346" i="136"/>
  <c r="G346" i="136" s="1"/>
  <c r="M345" i="136"/>
  <c r="G345" i="136" s="1"/>
  <c r="M343" i="136"/>
  <c r="G343" i="136" s="1"/>
  <c r="M341" i="136"/>
  <c r="G341" i="136" s="1"/>
  <c r="M340" i="136"/>
  <c r="G340" i="136" s="1"/>
  <c r="M333" i="136"/>
  <c r="G333" i="136" s="1"/>
  <c r="M331" i="136"/>
  <c r="G331" i="136" s="1"/>
  <c r="M329" i="136"/>
  <c r="G329" i="136" s="1"/>
  <c r="M320" i="136"/>
  <c r="G320"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6" i="136"/>
  <c r="G306" i="136" s="1"/>
  <c r="M301" i="136"/>
  <c r="G301" i="136" s="1"/>
  <c r="I301" i="136" s="1"/>
  <c r="M282" i="136"/>
  <c r="G282" i="136" s="1"/>
  <c r="M281" i="136"/>
  <c r="G281" i="136" s="1"/>
  <c r="I281" i="136" s="1"/>
  <c r="F281" i="5" s="1"/>
  <c r="M280" i="136"/>
  <c r="G280" i="136" s="1"/>
  <c r="I280" i="136" s="1"/>
  <c r="F280" i="5" s="1"/>
  <c r="M279" i="136"/>
  <c r="G279" i="136" s="1"/>
  <c r="M278" i="136"/>
  <c r="G278" i="136" s="1"/>
  <c r="I278" i="136" s="1"/>
  <c r="M277" i="136"/>
  <c r="G277" i="136" s="1"/>
  <c r="I277" i="136" s="1"/>
  <c r="F277" i="5" s="1"/>
  <c r="M276" i="136"/>
  <c r="G276" i="136" s="1"/>
  <c r="I276" i="136" s="1"/>
  <c r="F276" i="5" s="1"/>
  <c r="M275" i="136"/>
  <c r="G275" i="136" s="1"/>
  <c r="M274" i="136"/>
  <c r="G274" i="136" s="1"/>
  <c r="I274" i="136" s="1"/>
  <c r="M273" i="136"/>
  <c r="G273" i="136" s="1"/>
  <c r="I273" i="136" s="1"/>
  <c r="F273" i="5" s="1"/>
  <c r="M272" i="136"/>
  <c r="G272" i="136" s="1"/>
  <c r="I272" i="136" s="1"/>
  <c r="F272" i="5" s="1"/>
  <c r="M271" i="136"/>
  <c r="G271" i="136" s="1"/>
  <c r="M270" i="136"/>
  <c r="G270" i="136" s="1"/>
  <c r="I270" i="136" s="1"/>
  <c r="M269" i="136"/>
  <c r="G269" i="136" s="1"/>
  <c r="I269" i="136" s="1"/>
  <c r="F269" i="5" s="1"/>
  <c r="M268" i="136"/>
  <c r="G268" i="136" s="1"/>
  <c r="I268" i="136" s="1"/>
  <c r="F268" i="5" s="1"/>
  <c r="M267" i="136"/>
  <c r="G267" i="136" s="1"/>
  <c r="M266" i="136"/>
  <c r="G266" i="136" s="1"/>
  <c r="I266" i="136" s="1"/>
  <c r="M265" i="136"/>
  <c r="G265" i="136" s="1"/>
  <c r="I265" i="136" s="1"/>
  <c r="F265" i="5" s="1"/>
  <c r="M264" i="136"/>
  <c r="G264" i="136" s="1"/>
  <c r="I264" i="136" s="1"/>
  <c r="F264" i="5" s="1"/>
  <c r="M263" i="136"/>
  <c r="G263" i="136" s="1"/>
  <c r="M262" i="136"/>
  <c r="G262" i="136" s="1"/>
  <c r="I262" i="136" s="1"/>
  <c r="M261" i="136"/>
  <c r="G261" i="136" s="1"/>
  <c r="I261" i="136" s="1"/>
  <c r="F261" i="5" s="1"/>
  <c r="M260" i="136"/>
  <c r="G260" i="136" s="1"/>
  <c r="I260" i="136" s="1"/>
  <c r="F260" i="5" s="1"/>
  <c r="M259" i="136"/>
  <c r="G259" i="136" s="1"/>
  <c r="M258" i="136"/>
  <c r="G258" i="136" s="1"/>
  <c r="I258" i="136" s="1"/>
  <c r="M257" i="136"/>
  <c r="G257" i="136" s="1"/>
  <c r="I257" i="136" s="1"/>
  <c r="F257" i="5" s="1"/>
  <c r="M256" i="136"/>
  <c r="G256" i="136" s="1"/>
  <c r="I256" i="136" s="1"/>
  <c r="F256" i="5" s="1"/>
  <c r="M255" i="136"/>
  <c r="G255" i="136" s="1"/>
  <c r="M254" i="136"/>
  <c r="G254" i="136" s="1"/>
  <c r="I254" i="136" s="1"/>
  <c r="M253" i="136"/>
  <c r="G253" i="136" s="1"/>
  <c r="I253" i="136" s="1"/>
  <c r="F253" i="5" s="1"/>
  <c r="M252" i="136"/>
  <c r="G252" i="136" s="1"/>
  <c r="I252" i="136" s="1"/>
  <c r="F252" i="5" s="1"/>
  <c r="M251" i="136"/>
  <c r="G251" i="136" s="1"/>
  <c r="M250" i="136"/>
  <c r="G250" i="136" s="1"/>
  <c r="I250" i="136" s="1"/>
  <c r="M237" i="136"/>
  <c r="G237" i="136" s="1"/>
  <c r="I237" i="136" s="1"/>
  <c r="F237" i="5" s="1"/>
  <c r="M236" i="136"/>
  <c r="G236" i="136" s="1"/>
  <c r="I236" i="136" s="1"/>
  <c r="F236" i="5" s="1"/>
  <c r="M235" i="136"/>
  <c r="G235" i="136" s="1"/>
  <c r="M234" i="136"/>
  <c r="G234" i="136" s="1"/>
  <c r="I234" i="136" s="1"/>
  <c r="M231" i="136"/>
  <c r="G231" i="136" s="1"/>
  <c r="I231" i="136" s="1"/>
  <c r="F231" i="5" s="1"/>
  <c r="M230" i="136"/>
  <c r="G230" i="136" s="1"/>
  <c r="I230" i="136" s="1"/>
  <c r="F230" i="5" s="1"/>
  <c r="M229" i="136"/>
  <c r="G229" i="136" s="1"/>
  <c r="M228" i="136"/>
  <c r="G228" i="136" s="1"/>
  <c r="I228" i="136" s="1"/>
  <c r="M227" i="136"/>
  <c r="G227" i="136" s="1"/>
  <c r="I227" i="136" s="1"/>
  <c r="F227" i="5" s="1"/>
  <c r="M226" i="136"/>
  <c r="G226" i="136" s="1"/>
  <c r="I226" i="136" s="1"/>
  <c r="F226" i="5" s="1"/>
  <c r="M225" i="136"/>
  <c r="G225" i="136" s="1"/>
  <c r="I225" i="136" s="1"/>
  <c r="F225" i="5" s="1"/>
  <c r="M224" i="136"/>
  <c r="G224" i="136" s="1"/>
  <c r="I224" i="136" s="1"/>
  <c r="F224" i="5" s="1"/>
  <c r="M221" i="136"/>
  <c r="G221" i="136" s="1"/>
  <c r="M220" i="136"/>
  <c r="G220" i="136" s="1"/>
  <c r="M219" i="136"/>
  <c r="G219" i="136" s="1"/>
  <c r="I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G203" i="136" s="1"/>
  <c r="M202" i="136"/>
  <c r="M201" i="136"/>
  <c r="G201" i="136" s="1"/>
  <c r="M200" i="136"/>
  <c r="G200" i="136" s="1"/>
  <c r="M199" i="136"/>
  <c r="G199"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M184" i="136"/>
  <c r="G184" i="136" s="1"/>
  <c r="I184" i="136" s="1"/>
  <c r="M183" i="136"/>
  <c r="G183" i="136" s="1"/>
  <c r="M182" i="136"/>
  <c r="G182" i="136" s="1"/>
  <c r="I182" i="136" s="1"/>
  <c r="F182" i="5" s="1"/>
  <c r="M181" i="136"/>
  <c r="G181" i="136" s="1"/>
  <c r="I181" i="136" s="1"/>
  <c r="F181" i="5" s="1"/>
  <c r="M180" i="136"/>
  <c r="G180" i="136" s="1"/>
  <c r="M179" i="136"/>
  <c r="G179" i="136" s="1"/>
  <c r="I179" i="136" s="1"/>
  <c r="M178" i="136"/>
  <c r="G178" i="136" s="1"/>
  <c r="I178" i="136" s="1"/>
  <c r="F178" i="5" s="1"/>
  <c r="M177" i="136"/>
  <c r="G177" i="136" s="1"/>
  <c r="I177" i="136" s="1"/>
  <c r="F177" i="5" s="1"/>
  <c r="M176" i="136"/>
  <c r="G176" i="136" s="1"/>
  <c r="M175" i="136"/>
  <c r="G175" i="136" s="1"/>
  <c r="I175" i="136" s="1"/>
  <c r="M174" i="136"/>
  <c r="G174" i="136" s="1"/>
  <c r="I174" i="136" s="1"/>
  <c r="F174" i="5" s="1"/>
  <c r="M173" i="136"/>
  <c r="G173" i="136" s="1"/>
  <c r="I173" i="136" s="1"/>
  <c r="F173" i="5" s="1"/>
  <c r="M172" i="136"/>
  <c r="G172" i="136" s="1"/>
  <c r="M171" i="136"/>
  <c r="G171" i="136" s="1"/>
  <c r="I171" i="136" s="1"/>
  <c r="M170" i="136"/>
  <c r="G170" i="136" s="1"/>
  <c r="I170" i="136" s="1"/>
  <c r="F170" i="5" s="1"/>
  <c r="M169" i="136"/>
  <c r="G169" i="136" s="1"/>
  <c r="M168" i="136"/>
  <c r="K400" i="136"/>
  <c r="K399" i="136"/>
  <c r="K398" i="136"/>
  <c r="F398" i="136" s="1"/>
  <c r="K397" i="136"/>
  <c r="K396" i="136"/>
  <c r="F396" i="136" s="1"/>
  <c r="K395" i="136"/>
  <c r="F395" i="136" s="1"/>
  <c r="K394" i="136"/>
  <c r="F394" i="136" s="1"/>
  <c r="K393" i="136"/>
  <c r="F393" i="136" s="1"/>
  <c r="K392" i="136"/>
  <c r="K391" i="136"/>
  <c r="K390" i="136"/>
  <c r="K389" i="136"/>
  <c r="K388" i="136"/>
  <c r="K387" i="136"/>
  <c r="K386" i="136"/>
  <c r="K385" i="136"/>
  <c r="K384" i="136"/>
  <c r="K383" i="136"/>
  <c r="F383" i="136" s="1"/>
  <c r="K382" i="136"/>
  <c r="F382" i="136" s="1"/>
  <c r="K381" i="136"/>
  <c r="F381" i="136" s="1"/>
  <c r="K380" i="136"/>
  <c r="F380" i="136" s="1"/>
  <c r="K379" i="136"/>
  <c r="F379" i="136" s="1"/>
  <c r="K378" i="136"/>
  <c r="K377" i="136"/>
  <c r="K376" i="136"/>
  <c r="F376" i="136" s="1"/>
  <c r="K375" i="136"/>
  <c r="F375" i="136" s="1"/>
  <c r="K374" i="136"/>
  <c r="F374" i="136" s="1"/>
  <c r="K373" i="136"/>
  <c r="K372" i="136"/>
  <c r="F372" i="136" s="1"/>
  <c r="K371" i="136"/>
  <c r="F371" i="136" s="1"/>
  <c r="K370" i="136"/>
  <c r="F370" i="136" s="1"/>
  <c r="K369" i="136"/>
  <c r="F369" i="136" s="1"/>
  <c r="K368" i="136"/>
  <c r="F368" i="136" s="1"/>
  <c r="K365" i="136"/>
  <c r="K364" i="136"/>
  <c r="F364" i="136" s="1"/>
  <c r="K363" i="136"/>
  <c r="F363" i="136" s="1"/>
  <c r="K362" i="136"/>
  <c r="F362" i="136" s="1"/>
  <c r="K361" i="136"/>
  <c r="F361" i="136" s="1"/>
  <c r="K360" i="136"/>
  <c r="F360" i="136" s="1"/>
  <c r="K359" i="136"/>
  <c r="F359" i="136" s="1"/>
  <c r="K358" i="136"/>
  <c r="K357" i="136"/>
  <c r="F357" i="136" s="1"/>
  <c r="K356" i="136"/>
  <c r="F356" i="136" s="1"/>
  <c r="K355" i="136"/>
  <c r="F355" i="136" s="1"/>
  <c r="K354" i="136"/>
  <c r="F354" i="136" s="1"/>
  <c r="K353" i="136"/>
  <c r="K352" i="136"/>
  <c r="F352" i="136" s="1"/>
  <c r="K351" i="136"/>
  <c r="F351" i="136" s="1"/>
  <c r="K350" i="136"/>
  <c r="F350" i="136" s="1"/>
  <c r="K349" i="136"/>
  <c r="F349" i="136" s="1"/>
  <c r="K348" i="136"/>
  <c r="F348" i="136" s="1"/>
  <c r="K346" i="136"/>
  <c r="F346" i="136" s="1"/>
  <c r="K345" i="136"/>
  <c r="F345" i="136" s="1"/>
  <c r="K343" i="136"/>
  <c r="F343" i="136" s="1"/>
  <c r="K341" i="136"/>
  <c r="K340" i="136"/>
  <c r="F340" i="136" s="1"/>
  <c r="K333" i="136"/>
  <c r="F333" i="136" s="1"/>
  <c r="K331" i="136"/>
  <c r="F331" i="136" s="1"/>
  <c r="K329" i="136"/>
  <c r="F329" i="136" s="1"/>
  <c r="K320" i="136"/>
  <c r="F320" i="136" s="1"/>
  <c r="K318" i="136"/>
  <c r="K317" i="136"/>
  <c r="F317" i="136" s="1"/>
  <c r="K316" i="136"/>
  <c r="F316" i="136" s="1"/>
  <c r="K315" i="136"/>
  <c r="F315" i="136" s="1"/>
  <c r="K314" i="136"/>
  <c r="F314" i="136" s="1"/>
  <c r="K313" i="136"/>
  <c r="F313" i="136" s="1"/>
  <c r="K312" i="136"/>
  <c r="K311" i="136"/>
  <c r="F311" i="136" s="1"/>
  <c r="K310" i="136"/>
  <c r="F310" i="136" s="1"/>
  <c r="K309" i="136"/>
  <c r="F309" i="136" s="1"/>
  <c r="K308" i="136"/>
  <c r="F308" i="136" s="1"/>
  <c r="K307" i="136"/>
  <c r="F307" i="136" s="1"/>
  <c r="K306" i="136"/>
  <c r="K301"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37" i="136"/>
  <c r="K236" i="136"/>
  <c r="K235" i="136"/>
  <c r="K234" i="136"/>
  <c r="K231" i="136"/>
  <c r="K230" i="136"/>
  <c r="K229" i="136"/>
  <c r="K228" i="136"/>
  <c r="K227" i="136"/>
  <c r="K226" i="136"/>
  <c r="K225" i="136"/>
  <c r="K224" i="136"/>
  <c r="K221" i="136"/>
  <c r="K220" i="136"/>
  <c r="F220" i="136" s="1"/>
  <c r="K219" i="136"/>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9" i="136"/>
  <c r="F199"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F185" i="136" s="1"/>
  <c r="K184" i="136"/>
  <c r="K183" i="136"/>
  <c r="K182" i="136"/>
  <c r="K181" i="136"/>
  <c r="K180" i="136"/>
  <c r="K179" i="136"/>
  <c r="K178" i="136"/>
  <c r="K177" i="136"/>
  <c r="K176" i="136"/>
  <c r="K175" i="136"/>
  <c r="K174" i="136"/>
  <c r="K173" i="136"/>
  <c r="K172" i="136"/>
  <c r="K171" i="136"/>
  <c r="K170" i="136"/>
  <c r="K169" i="136"/>
  <c r="K168" i="136"/>
  <c r="AA226" i="89"/>
  <c r="K279" i="89"/>
  <c r="K278" i="89"/>
  <c r="M164" i="136"/>
  <c r="G164" i="136" s="1"/>
  <c r="I164" i="136" s="1"/>
  <c r="K280" i="89"/>
  <c r="K368" i="89"/>
  <c r="K367" i="89"/>
  <c r="K293" i="89"/>
  <c r="K292" i="89"/>
  <c r="K291" i="89"/>
  <c r="K290" i="89"/>
  <c r="K289" i="89"/>
  <c r="K288" i="89"/>
  <c r="K287" i="89"/>
  <c r="K286" i="89"/>
  <c r="K285" i="89"/>
  <c r="E3" i="124"/>
  <c r="F221" i="136" l="1"/>
  <c r="F229" i="136"/>
  <c r="I229" i="136" s="1"/>
  <c r="F235" i="136"/>
  <c r="O2957" i="246"/>
  <c r="M3025" i="1"/>
  <c r="U162" i="242"/>
  <c r="Z278" i="89"/>
  <c r="AB278" i="89" s="1"/>
  <c r="AC278" i="89" s="1"/>
  <c r="Z279" i="89"/>
  <c r="AB279" i="89" s="1"/>
  <c r="AC279" i="89" s="1"/>
  <c r="Z290" i="89"/>
  <c r="AB290" i="89" s="1"/>
  <c r="AC290" i="89" s="1"/>
  <c r="Z286" i="89"/>
  <c r="AB286" i="89" s="1"/>
  <c r="AC286" i="89" s="1"/>
  <c r="Z367" i="89"/>
  <c r="AB367" i="89" s="1"/>
  <c r="AC367" i="89" s="1"/>
  <c r="Z287" i="89"/>
  <c r="AB287" i="89" s="1"/>
  <c r="AC287" i="89" s="1"/>
  <c r="Z291" i="89"/>
  <c r="AB291" i="89" s="1"/>
  <c r="AC291" i="89" s="1"/>
  <c r="Z368" i="89"/>
  <c r="AB368" i="89" s="1"/>
  <c r="AC368" i="89" s="1"/>
  <c r="Z288" i="89"/>
  <c r="AB288" i="89" s="1"/>
  <c r="AC288" i="89" s="1"/>
  <c r="Z292" i="89"/>
  <c r="AB292" i="89" s="1"/>
  <c r="AC292" i="89" s="1"/>
  <c r="Z280" i="89"/>
  <c r="AB280" i="89" s="1"/>
  <c r="AC280" i="89" s="1"/>
  <c r="Z285" i="89"/>
  <c r="AB285" i="89" s="1"/>
  <c r="AC285" i="89" s="1"/>
  <c r="Z289" i="89"/>
  <c r="AB289" i="89" s="1"/>
  <c r="AC289" i="89" s="1"/>
  <c r="Z293" i="89"/>
  <c r="AB293" i="89" s="1"/>
  <c r="AC293" i="89" s="1"/>
  <c r="O3187" i="1"/>
  <c r="M3023" i="1"/>
  <c r="M3024" i="1"/>
  <c r="O3188" i="1"/>
  <c r="O3186" i="1"/>
  <c r="M3022" i="1"/>
  <c r="O3185" i="1"/>
  <c r="M3021" i="1"/>
  <c r="O3189" i="1"/>
  <c r="M21" i="149"/>
  <c r="E121" i="231"/>
  <c r="F121" i="231" s="1"/>
  <c r="G121" i="231" s="1"/>
  <c r="M16" i="149"/>
  <c r="M18" i="149"/>
  <c r="A18" i="149" s="1"/>
  <c r="G168" i="136"/>
  <c r="I168" i="136" s="1"/>
  <c r="M26" i="149"/>
  <c r="A26" i="149" s="1"/>
  <c r="M25" i="149"/>
  <c r="A25" i="149" s="1"/>
  <c r="M23" i="149"/>
  <c r="A23" i="149" s="1"/>
  <c r="M20" i="149"/>
  <c r="M19" i="149"/>
  <c r="M17" i="149"/>
  <c r="I394" i="136"/>
  <c r="F394" i="5" s="1"/>
  <c r="G357" i="136"/>
  <c r="I357" i="136" s="1"/>
  <c r="F357" i="5" s="1"/>
  <c r="G202" i="136"/>
  <c r="I202" i="136" s="1"/>
  <c r="F202" i="5" s="1"/>
  <c r="G400" i="136"/>
  <c r="I400" i="136" s="1"/>
  <c r="F400" i="5" s="1"/>
  <c r="I208" i="136"/>
  <c r="F208" i="5" s="1"/>
  <c r="I212" i="136"/>
  <c r="F212" i="5" s="1"/>
  <c r="I186" i="136"/>
  <c r="F186" i="5" s="1"/>
  <c r="I195" i="136"/>
  <c r="F195" i="5" s="1"/>
  <c r="I194" i="136"/>
  <c r="F194" i="5" s="1"/>
  <c r="I206" i="136"/>
  <c r="F206" i="5" s="1"/>
  <c r="F169" i="136"/>
  <c r="I169" i="136" s="1"/>
  <c r="I211" i="136"/>
  <c r="F211" i="5" s="1"/>
  <c r="F180" i="136"/>
  <c r="I180" i="136" s="1"/>
  <c r="A304" i="149"/>
  <c r="A464" i="149"/>
  <c r="I220" i="136"/>
  <c r="I188" i="136"/>
  <c r="F188" i="5" s="1"/>
  <c r="I192" i="136"/>
  <c r="F192" i="5" s="1"/>
  <c r="I369" i="136"/>
  <c r="F369" i="5" s="1"/>
  <c r="I235" i="136"/>
  <c r="F251" i="136"/>
  <c r="I251" i="136" s="1"/>
  <c r="F255" i="136"/>
  <c r="I255" i="136" s="1"/>
  <c r="F259" i="136"/>
  <c r="I259" i="136" s="1"/>
  <c r="F263" i="136"/>
  <c r="I263" i="136" s="1"/>
  <c r="F267" i="136"/>
  <c r="I267" i="136" s="1"/>
  <c r="F271" i="136"/>
  <c r="I271" i="136" s="1"/>
  <c r="F275" i="136"/>
  <c r="I275" i="136" s="1"/>
  <c r="F279" i="136"/>
  <c r="I279"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1" i="136"/>
  <c r="I196" i="136"/>
  <c r="F196" i="5" s="1"/>
  <c r="I203" i="136"/>
  <c r="F203" i="5" s="1"/>
  <c r="I207" i="136"/>
  <c r="F207" i="5" s="1"/>
  <c r="I215" i="136"/>
  <c r="F215" i="5" s="1"/>
  <c r="I309" i="136"/>
  <c r="F309" i="5" s="1"/>
  <c r="F172" i="136"/>
  <c r="I172" i="136" s="1"/>
  <c r="F176" i="136"/>
  <c r="I176" i="136" s="1"/>
  <c r="F385" i="136"/>
  <c r="I385" i="136" s="1"/>
  <c r="I317" i="136"/>
  <c r="F317" i="5" s="1"/>
  <c r="I343" i="136"/>
  <c r="F343" i="5" s="1"/>
  <c r="I185" i="136"/>
  <c r="F185" i="5" s="1"/>
  <c r="I189" i="136"/>
  <c r="F189" i="5" s="1"/>
  <c r="I193" i="136"/>
  <c r="F193" i="5" s="1"/>
  <c r="I199" i="136"/>
  <c r="F199" i="5" s="1"/>
  <c r="I204" i="136"/>
  <c r="F204" i="5" s="1"/>
  <c r="I216" i="136"/>
  <c r="F216" i="5" s="1"/>
  <c r="I190" i="136"/>
  <c r="F190" i="5" s="1"/>
  <c r="I200" i="136"/>
  <c r="I205" i="136"/>
  <c r="F205" i="5" s="1"/>
  <c r="I209" i="136"/>
  <c r="F209" i="5" s="1"/>
  <c r="I213" i="136"/>
  <c r="F213" i="5" s="1"/>
  <c r="I217" i="136"/>
  <c r="F217" i="5" s="1"/>
  <c r="I311" i="136"/>
  <c r="F311" i="5" s="1"/>
  <c r="I346" i="136"/>
  <c r="F346" i="5" s="1"/>
  <c r="I351" i="136"/>
  <c r="F351" i="5" s="1"/>
  <c r="I359" i="136"/>
  <c r="F359" i="5" s="1"/>
  <c r="I187" i="136"/>
  <c r="F187" i="5" s="1"/>
  <c r="I191" i="136"/>
  <c r="F191" i="5" s="1"/>
  <c r="I201" i="136"/>
  <c r="I210" i="136"/>
  <c r="F210" i="5" s="1"/>
  <c r="I214" i="136"/>
  <c r="F214" i="5" s="1"/>
  <c r="I218" i="136"/>
  <c r="F218" i="5" s="1"/>
  <c r="I316" i="136"/>
  <c r="F316" i="5" s="1"/>
  <c r="I364" i="136"/>
  <c r="F364" i="5" s="1"/>
  <c r="I383" i="136"/>
  <c r="F383" i="5" s="1"/>
  <c r="I307" i="136"/>
  <c r="F307" i="5" s="1"/>
  <c r="I315" i="136"/>
  <c r="F315" i="5" s="1"/>
  <c r="I320" i="136"/>
  <c r="F320" i="5" s="1"/>
  <c r="I340" i="136"/>
  <c r="F340" i="5" s="1"/>
  <c r="I355" i="136"/>
  <c r="F355" i="5" s="1"/>
  <c r="I363" i="136"/>
  <c r="F363" i="5" s="1"/>
  <c r="I367" i="136"/>
  <c r="F367" i="5" s="1"/>
  <c r="I371" i="136"/>
  <c r="F371" i="5" s="1"/>
  <c r="I374" i="136"/>
  <c r="F374" i="5" s="1"/>
  <c r="I378" i="136"/>
  <c r="I382" i="136"/>
  <c r="F382" i="5" s="1"/>
  <c r="I386" i="136"/>
  <c r="F386" i="5" s="1"/>
  <c r="I390" i="136"/>
  <c r="F390" i="5" s="1"/>
  <c r="I396" i="136"/>
  <c r="F396"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0" i="136"/>
  <c r="F310" i="5" s="1"/>
  <c r="I314" i="136"/>
  <c r="F314" i="5" s="1"/>
  <c r="I318" i="136"/>
  <c r="I333" i="136"/>
  <c r="F333" i="5" s="1"/>
  <c r="I345" i="136"/>
  <c r="F345" i="5" s="1"/>
  <c r="L345" i="5" s="1"/>
  <c r="I350" i="136"/>
  <c r="F350" i="5" s="1"/>
  <c r="I354" i="136"/>
  <c r="F354" i="5" s="1"/>
  <c r="I358" i="136"/>
  <c r="I362" i="136"/>
  <c r="F362" i="5" s="1"/>
  <c r="I370" i="136"/>
  <c r="F370" i="5" s="1"/>
  <c r="I377" i="136"/>
  <c r="I381" i="136"/>
  <c r="F381" i="5" s="1"/>
  <c r="I389" i="136"/>
  <c r="F389" i="5" s="1"/>
  <c r="I395" i="136"/>
  <c r="F395" i="5" s="1"/>
  <c r="I306" i="136"/>
  <c r="I282" i="136"/>
  <c r="I308" i="136"/>
  <c r="F308" i="5" s="1"/>
  <c r="I312" i="136"/>
  <c r="I329" i="136"/>
  <c r="F329" i="5" s="1"/>
  <c r="I341" i="136"/>
  <c r="I348" i="136"/>
  <c r="F348" i="5" s="1"/>
  <c r="I352" i="136"/>
  <c r="F352" i="5" s="1"/>
  <c r="I356" i="136"/>
  <c r="F356" i="5" s="1"/>
  <c r="I360" i="136"/>
  <c r="F360" i="5" s="1"/>
  <c r="I368" i="136"/>
  <c r="F368" i="5" s="1"/>
  <c r="I372" i="136"/>
  <c r="F372" i="5" s="1"/>
  <c r="I375" i="136"/>
  <c r="F375" i="5" s="1"/>
  <c r="I379" i="136"/>
  <c r="F379" i="5" s="1"/>
  <c r="I387" i="136"/>
  <c r="F387" i="5" s="1"/>
  <c r="I391" i="136"/>
  <c r="F391" i="5" s="1"/>
  <c r="I393" i="136"/>
  <c r="I397" i="136"/>
  <c r="A30" i="149"/>
  <c r="A31" i="149"/>
  <c r="A32" i="149"/>
  <c r="I366" i="136"/>
  <c r="F366" i="5" s="1"/>
  <c r="I313" i="136"/>
  <c r="F313" i="5" s="1"/>
  <c r="I331" i="136"/>
  <c r="F331" i="5" s="1"/>
  <c r="I349" i="136"/>
  <c r="F349" i="5" s="1"/>
  <c r="I361" i="136"/>
  <c r="F361" i="5" s="1"/>
  <c r="I365" i="136"/>
  <c r="I376" i="136"/>
  <c r="F376" i="5" s="1"/>
  <c r="I380" i="136"/>
  <c r="F380" i="5" s="1"/>
  <c r="I384" i="136"/>
  <c r="I398" i="136"/>
  <c r="F398" i="5" s="1"/>
  <c r="E292" i="4" l="1"/>
  <c r="G23" i="229"/>
  <c r="M1949" i="1"/>
  <c r="R1949" i="1" s="1"/>
  <c r="O1882" i="246"/>
  <c r="R1882" i="246" s="1"/>
  <c r="E122" i="231"/>
  <c r="F122" i="231" s="1"/>
  <c r="G122" i="231" s="1"/>
  <c r="E123" i="231" l="1"/>
  <c r="F123" i="231" s="1"/>
  <c r="G123" i="231" s="1"/>
  <c r="D403" i="136"/>
  <c r="P227" i="5"/>
  <c r="P221" i="5"/>
  <c r="J221" i="5" s="1"/>
  <c r="E124" i="231" l="1"/>
  <c r="F124" i="231" s="1"/>
  <c r="G124" i="231" s="1"/>
  <c r="A403" i="136"/>
  <c r="F462" i="4"/>
  <c r="O784" i="1" s="1"/>
  <c r="F421" i="4"/>
  <c r="O743" i="1" s="1"/>
  <c r="F450" i="4"/>
  <c r="O772" i="1" s="1"/>
  <c r="F443" i="4"/>
  <c r="O765" i="1" s="1"/>
  <c r="F441" i="4"/>
  <c r="O763" i="1" s="1"/>
  <c r="F439" i="4"/>
  <c r="O761" i="1" s="1"/>
  <c r="F431" i="4"/>
  <c r="O753" i="1" s="1"/>
  <c r="U753" i="1" s="1"/>
  <c r="F429" i="4"/>
  <c r="O751" i="1" s="1"/>
  <c r="F420" i="4"/>
  <c r="O742" i="1" s="1"/>
  <c r="F419" i="4"/>
  <c r="O741" i="1" s="1"/>
  <c r="F418" i="4"/>
  <c r="O740" i="1" s="1"/>
  <c r="U741" i="1" l="1"/>
  <c r="U761" i="1"/>
  <c r="U743" i="1"/>
  <c r="U742" i="1"/>
  <c r="U763" i="1"/>
  <c r="U751" i="1"/>
  <c r="U765" i="1"/>
  <c r="U740" i="1"/>
  <c r="U772" i="1"/>
  <c r="E125" i="231"/>
  <c r="F125" i="231" s="1"/>
  <c r="G125" i="231" s="1"/>
  <c r="F430" i="4"/>
  <c r="O752" i="1" s="1"/>
  <c r="U752" i="1" s="1"/>
  <c r="F417" i="4"/>
  <c r="O739" i="1" s="1"/>
  <c r="O748" i="1" l="1"/>
  <c r="O736" i="1"/>
  <c r="U739" i="1"/>
  <c r="E126" i="231"/>
  <c r="F126" i="231" s="1"/>
  <c r="G126" i="231" s="1"/>
  <c r="E127" i="231" l="1"/>
  <c r="F127" i="231" l="1"/>
  <c r="G127" i="231" l="1"/>
  <c r="D2238" i="1"/>
  <c r="D2237" i="1"/>
  <c r="D2236" i="1"/>
  <c r="D2235" i="1"/>
  <c r="D2234" i="1"/>
  <c r="D2233" i="1"/>
  <c r="D2232" i="1"/>
  <c r="D2231" i="1"/>
  <c r="D2230" i="1"/>
  <c r="D2229" i="1"/>
  <c r="D2228" i="1"/>
  <c r="D2227" i="1"/>
  <c r="D2226" i="1"/>
  <c r="D2225" i="1"/>
  <c r="D2224" i="1"/>
  <c r="D2223" i="1"/>
  <c r="D2709" i="1"/>
  <c r="D2708" i="1"/>
  <c r="D2707" i="1"/>
  <c r="D2706" i="1"/>
  <c r="D2705" i="1"/>
  <c r="D2651" i="1"/>
  <c r="D2650" i="1"/>
  <c r="D2649" i="1"/>
  <c r="D2648" i="1"/>
  <c r="D2647" i="1"/>
  <c r="D2646" i="1"/>
  <c r="D2645" i="1"/>
  <c r="D2644" i="1"/>
  <c r="D2643" i="1"/>
  <c r="E128" i="231" l="1"/>
  <c r="P138" i="5"/>
  <c r="P137" i="5"/>
  <c r="J137" i="5" s="1"/>
  <c r="L137" i="5" s="1"/>
  <c r="P136" i="5"/>
  <c r="J136" i="5" s="1"/>
  <c r="L136" i="5" s="1"/>
  <c r="P135" i="5"/>
  <c r="J135" i="5" s="1"/>
  <c r="L135" i="5" s="1"/>
  <c r="P134" i="5"/>
  <c r="J134" i="5" s="1"/>
  <c r="L134" i="5" s="1"/>
  <c r="C123" i="248" l="1"/>
  <c r="E123" i="248"/>
  <c r="O2637" i="246"/>
  <c r="R2637" i="246" s="1"/>
  <c r="E120" i="248"/>
  <c r="C120" i="248"/>
  <c r="O2639" i="246"/>
  <c r="R2639" i="246" s="1"/>
  <c r="E122" i="248"/>
  <c r="C122" i="248"/>
  <c r="O2638" i="246"/>
  <c r="R2638" i="246" s="1"/>
  <c r="C121" i="248"/>
  <c r="E121" i="248"/>
  <c r="O2640" i="246"/>
  <c r="R2640" i="246" s="1"/>
  <c r="F128" i="231"/>
  <c r="M2707" i="1"/>
  <c r="M2706" i="1"/>
  <c r="M2708" i="1"/>
  <c r="M2705" i="1"/>
  <c r="P199" i="5"/>
  <c r="P198" i="5"/>
  <c r="P195" i="5"/>
  <c r="P201" i="5"/>
  <c r="J201" i="5" s="1"/>
  <c r="P200" i="5"/>
  <c r="J200" i="5" s="1"/>
  <c r="P194" i="5"/>
  <c r="J194" i="5" s="1"/>
  <c r="P193" i="5"/>
  <c r="P192" i="5"/>
  <c r="P191" i="5"/>
  <c r="P190" i="5"/>
  <c r="G128" i="231" l="1"/>
  <c r="M163" i="136"/>
  <c r="M162" i="136"/>
  <c r="M160" i="136"/>
  <c r="M159" i="136"/>
  <c r="M158" i="136"/>
  <c r="M157" i="136"/>
  <c r="M156" i="136"/>
  <c r="M154" i="136"/>
  <c r="M153" i="136"/>
  <c r="M152" i="136"/>
  <c r="O1309" i="1"/>
  <c r="M147" i="136"/>
  <c r="O1304" i="1"/>
  <c r="M146" i="136"/>
  <c r="O1303" i="1"/>
  <c r="M145" i="136"/>
  <c r="O1302" i="1"/>
  <c r="M144" i="136"/>
  <c r="O1301" i="1"/>
  <c r="M143" i="136"/>
  <c r="O1300" i="1"/>
  <c r="M142" i="136"/>
  <c r="M141" i="136"/>
  <c r="M140"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8" i="136"/>
  <c r="M107" i="136"/>
  <c r="M105" i="136"/>
  <c r="G105" i="136" s="1"/>
  <c r="I105" i="136" s="1"/>
  <c r="O2930" i="246" s="1"/>
  <c r="M104" i="136"/>
  <c r="M103" i="136"/>
  <c r="M102" i="136"/>
  <c r="M101" i="136"/>
  <c r="M100" i="136"/>
  <c r="M99" i="136"/>
  <c r="M98" i="136"/>
  <c r="M97" i="136"/>
  <c r="M95" i="136"/>
  <c r="M94" i="136"/>
  <c r="M93" i="136"/>
  <c r="G93" i="136" s="1"/>
  <c r="I93" i="136" s="1"/>
  <c r="M92" i="136"/>
  <c r="M90" i="136"/>
  <c r="M89" i="136"/>
  <c r="M88" i="136"/>
  <c r="O1248" i="1"/>
  <c r="M87" i="136"/>
  <c r="O1247" i="1"/>
  <c r="M86" i="136"/>
  <c r="O1246" i="1"/>
  <c r="M85" i="136"/>
  <c r="M84" i="136"/>
  <c r="M83" i="136"/>
  <c r="M82" i="136"/>
  <c r="M81" i="136"/>
  <c r="G81" i="136" s="1"/>
  <c r="I81" i="136" s="1"/>
  <c r="O2900" i="246" s="1"/>
  <c r="M80" i="136"/>
  <c r="M79" i="136"/>
  <c r="M78" i="136"/>
  <c r="M77" i="136"/>
  <c r="M76" i="136"/>
  <c r="M75" i="136"/>
  <c r="M74" i="136"/>
  <c r="G74" i="136" s="1"/>
  <c r="I74" i="136" s="1"/>
  <c r="O2893" i="246" s="1"/>
  <c r="M73" i="136"/>
  <c r="G73" i="136" s="1"/>
  <c r="I73" i="136" s="1"/>
  <c r="O2892" i="246" s="1"/>
  <c r="M72" i="136"/>
  <c r="M71" i="136"/>
  <c r="M70" i="136"/>
  <c r="M69" i="136"/>
  <c r="M68" i="136"/>
  <c r="M67" i="136"/>
  <c r="M66" i="136"/>
  <c r="M65" i="136"/>
  <c r="M64" i="136"/>
  <c r="M63" i="136"/>
  <c r="O1177" i="1"/>
  <c r="M62" i="136"/>
  <c r="O1176" i="1"/>
  <c r="M61" i="136"/>
  <c r="L21" i="149" s="1"/>
  <c r="A21" i="149" s="1"/>
  <c r="M60" i="136"/>
  <c r="M59" i="136"/>
  <c r="M58" i="136"/>
  <c r="M57" i="136"/>
  <c r="M56" i="136"/>
  <c r="M55" i="136"/>
  <c r="M54" i="136"/>
  <c r="M53" i="136"/>
  <c r="G53" i="136" s="1"/>
  <c r="I53" i="136" s="1"/>
  <c r="O2883" i="246" s="1"/>
  <c r="M52" i="136"/>
  <c r="M51" i="136"/>
  <c r="M50" i="136"/>
  <c r="G50" i="136" s="1"/>
  <c r="I50" i="136" s="1"/>
  <c r="O2881"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0" i="5"/>
  <c r="J210" i="5" s="1"/>
  <c r="P209" i="5"/>
  <c r="P208" i="5"/>
  <c r="J208" i="5" s="1"/>
  <c r="P207" i="5"/>
  <c r="J207" i="5" s="1"/>
  <c r="O2971" i="246" l="1"/>
  <c r="O2940" i="246"/>
  <c r="O3113" i="1"/>
  <c r="M2949" i="1"/>
  <c r="M2960" i="1"/>
  <c r="O3124" i="1"/>
  <c r="O3132" i="1"/>
  <c r="M2968" i="1"/>
  <c r="M2961" i="1"/>
  <c r="O3125" i="1"/>
  <c r="O3162" i="1"/>
  <c r="M2998" i="1"/>
  <c r="O3115" i="1"/>
  <c r="M2951" i="1"/>
  <c r="M3008" i="1"/>
  <c r="O3172" i="1"/>
  <c r="O3203" i="1"/>
  <c r="M3039" i="1"/>
  <c r="E129" i="231"/>
  <c r="O1175" i="1"/>
  <c r="L19" i="149"/>
  <c r="O1245" i="1"/>
  <c r="O1299" i="1"/>
  <c r="L28" i="149"/>
  <c r="A28" i="149" s="1"/>
  <c r="L29" i="149"/>
  <c r="A29" i="149" s="1"/>
  <c r="O1107" i="1"/>
  <c r="O1105" i="1"/>
  <c r="O1104" i="1"/>
  <c r="O1106" i="1"/>
  <c r="O1108" i="1"/>
  <c r="L22" i="149"/>
  <c r="A22" i="149" s="1"/>
  <c r="L16" i="149"/>
  <c r="L15" i="149"/>
  <c r="G142" i="136"/>
  <c r="I142" i="136" s="1"/>
  <c r="G154" i="136"/>
  <c r="I154" i="136" s="1"/>
  <c r="G51" i="136"/>
  <c r="I51" i="136" s="1"/>
  <c r="G75" i="136"/>
  <c r="I75" i="136" s="1"/>
  <c r="O2894" i="246" s="1"/>
  <c r="G77" i="136"/>
  <c r="I77" i="136" s="1"/>
  <c r="O2896" i="246" s="1"/>
  <c r="G79" i="136"/>
  <c r="I79" i="136" s="1"/>
  <c r="O2898" i="246" s="1"/>
  <c r="G95" i="136"/>
  <c r="I95" i="136" s="1"/>
  <c r="O2970" i="246" s="1"/>
  <c r="G99" i="136"/>
  <c r="I99" i="136" s="1"/>
  <c r="G101" i="136"/>
  <c r="I101" i="136" s="1"/>
  <c r="G103" i="136"/>
  <c r="I103" i="136" s="1"/>
  <c r="G108" i="136"/>
  <c r="I108" i="136" s="1"/>
  <c r="G109" i="136"/>
  <c r="I109" i="136" s="1"/>
  <c r="G110" i="136"/>
  <c r="I110" i="136" s="1"/>
  <c r="G112" i="136"/>
  <c r="I112" i="136" s="1"/>
  <c r="G114" i="136"/>
  <c r="I114" i="136" s="1"/>
  <c r="G116" i="136"/>
  <c r="I116" i="136" s="1"/>
  <c r="O2934" i="246" s="1"/>
  <c r="G118" i="136"/>
  <c r="I118" i="136" s="1"/>
  <c r="O2936" i="246" s="1"/>
  <c r="G120" i="136"/>
  <c r="I120" i="136" s="1"/>
  <c r="G122" i="136"/>
  <c r="I122" i="136" s="1"/>
  <c r="O2941" i="246" s="1"/>
  <c r="G124" i="136"/>
  <c r="I124" i="136" s="1"/>
  <c r="G125" i="136"/>
  <c r="I125" i="136" s="1"/>
  <c r="G127" i="136"/>
  <c r="I127" i="136" s="1"/>
  <c r="O2946" i="246" s="1"/>
  <c r="G129" i="136"/>
  <c r="I129" i="136" s="1"/>
  <c r="O2948" i="246" s="1"/>
  <c r="G131" i="136"/>
  <c r="I131" i="136" s="1"/>
  <c r="O2950" i="246" s="1"/>
  <c r="G133" i="136"/>
  <c r="I133" i="136" s="1"/>
  <c r="O2952" i="246" s="1"/>
  <c r="G141" i="136"/>
  <c r="I141" i="136" s="1"/>
  <c r="G143" i="136"/>
  <c r="I143" i="136" s="1"/>
  <c r="O1261" i="246" s="1"/>
  <c r="R1261" i="246" s="1"/>
  <c r="G145" i="136"/>
  <c r="I145" i="136" s="1"/>
  <c r="O1263" i="246" s="1"/>
  <c r="R1263" i="246" s="1"/>
  <c r="G147" i="136"/>
  <c r="I147" i="136" s="1"/>
  <c r="O1265" i="246" s="1"/>
  <c r="R1265" i="246" s="1"/>
  <c r="G153" i="136"/>
  <c r="I153" i="136" s="1"/>
  <c r="G156" i="136"/>
  <c r="I156" i="136" s="1"/>
  <c r="G158" i="136"/>
  <c r="I158" i="136" s="1"/>
  <c r="G159" i="136"/>
  <c r="I159" i="136" s="1"/>
  <c r="G162" i="136"/>
  <c r="I162" i="136" s="1"/>
  <c r="G140" i="136"/>
  <c r="I140" i="136" s="1"/>
  <c r="G144" i="136"/>
  <c r="I144" i="136" s="1"/>
  <c r="O1262" i="246" s="1"/>
  <c r="R1262" i="246" s="1"/>
  <c r="G146" i="136"/>
  <c r="I146" i="136" s="1"/>
  <c r="O1264" i="246" s="1"/>
  <c r="R1264" i="246" s="1"/>
  <c r="G152" i="136"/>
  <c r="I152" i="136" s="1"/>
  <c r="G157" i="136"/>
  <c r="I157" i="136" s="1"/>
  <c r="G160" i="136"/>
  <c r="I160" i="136" s="1"/>
  <c r="G163" i="136"/>
  <c r="I163" i="136" s="1"/>
  <c r="G48" i="136"/>
  <c r="I48" i="136" s="1"/>
  <c r="O2879" i="246" s="1"/>
  <c r="G55" i="136"/>
  <c r="I55" i="136" s="1"/>
  <c r="G57" i="136"/>
  <c r="I57" i="136" s="1"/>
  <c r="G59" i="136"/>
  <c r="I59" i="136" s="1"/>
  <c r="G61" i="136"/>
  <c r="I61" i="136" s="1"/>
  <c r="G63" i="136"/>
  <c r="I63" i="136" s="1"/>
  <c r="O1138" i="246" s="1"/>
  <c r="R1138" i="246" s="1"/>
  <c r="G65" i="136"/>
  <c r="I65" i="136" s="1"/>
  <c r="G67" i="136"/>
  <c r="I67" i="136" s="1"/>
  <c r="G69" i="136"/>
  <c r="I69" i="136" s="1"/>
  <c r="G71" i="136"/>
  <c r="I71" i="136" s="1"/>
  <c r="O2890" i="246" s="1"/>
  <c r="G84" i="136"/>
  <c r="I84" i="136" s="1"/>
  <c r="G86" i="136"/>
  <c r="I86" i="136" s="1"/>
  <c r="O1207" i="246" s="1"/>
  <c r="R1207" i="246" s="1"/>
  <c r="G88" i="136"/>
  <c r="I88" i="136" s="1"/>
  <c r="O1209" i="246" s="1"/>
  <c r="R1209" i="246" s="1"/>
  <c r="G90" i="136"/>
  <c r="I90" i="136" s="1"/>
  <c r="G47" i="136"/>
  <c r="I47" i="136" s="1"/>
  <c r="O2878" i="246" s="1"/>
  <c r="G49" i="136"/>
  <c r="I49" i="136" s="1"/>
  <c r="O2880" i="246" s="1"/>
  <c r="G52" i="136"/>
  <c r="I52" i="136" s="1"/>
  <c r="G54" i="136"/>
  <c r="I54" i="136" s="1"/>
  <c r="G56" i="136"/>
  <c r="I56" i="136" s="1"/>
  <c r="G58" i="136"/>
  <c r="I58" i="136" s="1"/>
  <c r="G60" i="136"/>
  <c r="I60" i="136" s="1"/>
  <c r="G62" i="136"/>
  <c r="I62" i="136" s="1"/>
  <c r="O1137" i="246" s="1"/>
  <c r="R1137" i="246" s="1"/>
  <c r="G64" i="136"/>
  <c r="I64" i="136" s="1"/>
  <c r="O2886" i="246" s="1"/>
  <c r="G66" i="136"/>
  <c r="I66" i="136" s="1"/>
  <c r="G68" i="136"/>
  <c r="I68" i="136" s="1"/>
  <c r="O2888" i="246" s="1"/>
  <c r="G70" i="136"/>
  <c r="I70" i="136" s="1"/>
  <c r="O2889" i="246" s="1"/>
  <c r="G72" i="136"/>
  <c r="I72" i="136" s="1"/>
  <c r="O2891" i="246" s="1"/>
  <c r="G76" i="136"/>
  <c r="I76" i="136" s="1"/>
  <c r="O2895" i="246" s="1"/>
  <c r="G78" i="136"/>
  <c r="I78" i="136" s="1"/>
  <c r="O2897" i="246" s="1"/>
  <c r="G80" i="136"/>
  <c r="I80" i="136" s="1"/>
  <c r="O2899" i="246" s="1"/>
  <c r="G82" i="136"/>
  <c r="I82" i="136" s="1"/>
  <c r="G83" i="136"/>
  <c r="I83" i="136" s="1"/>
  <c r="O2972" i="246" s="1"/>
  <c r="G85" i="136"/>
  <c r="I85" i="136" s="1"/>
  <c r="G87" i="136"/>
  <c r="I87" i="136" s="1"/>
  <c r="O1208" i="246" s="1"/>
  <c r="R1208" i="246" s="1"/>
  <c r="G89" i="136"/>
  <c r="I89" i="136" s="1"/>
  <c r="G92" i="136"/>
  <c r="I92" i="136" s="1"/>
  <c r="G94" i="136"/>
  <c r="I94" i="136" s="1"/>
  <c r="O2967" i="246" s="1"/>
  <c r="G97" i="136"/>
  <c r="I97" i="136" s="1"/>
  <c r="G98" i="136"/>
  <c r="I98" i="136" s="1"/>
  <c r="G100" i="136"/>
  <c r="I100" i="136" s="1"/>
  <c r="G102" i="136"/>
  <c r="I102" i="136" s="1"/>
  <c r="O2927" i="246" s="1"/>
  <c r="G104" i="136"/>
  <c r="I104" i="136" s="1"/>
  <c r="O2929" i="246" s="1"/>
  <c r="G107" i="136"/>
  <c r="I107" i="136" s="1"/>
  <c r="G111" i="136"/>
  <c r="I111" i="136" s="1"/>
  <c r="G113" i="136"/>
  <c r="I113" i="136" s="1"/>
  <c r="G115" i="136"/>
  <c r="I115" i="136" s="1"/>
  <c r="G117" i="136"/>
  <c r="I117" i="136" s="1"/>
  <c r="O2935" i="246" s="1"/>
  <c r="G119" i="136"/>
  <c r="I119" i="136" s="1"/>
  <c r="O2937" i="246" s="1"/>
  <c r="G121" i="136"/>
  <c r="I121" i="136" s="1"/>
  <c r="G123" i="136"/>
  <c r="I123" i="136" s="1"/>
  <c r="O2942" i="246" s="1"/>
  <c r="G126" i="136"/>
  <c r="I126" i="136" s="1"/>
  <c r="O2945" i="246" s="1"/>
  <c r="G128" i="136"/>
  <c r="I128" i="136" s="1"/>
  <c r="G130" i="136"/>
  <c r="I130" i="136" s="1"/>
  <c r="O2949" i="246" s="1"/>
  <c r="G132" i="136"/>
  <c r="I132" i="136" s="1"/>
  <c r="O2951" i="246" s="1"/>
  <c r="G12" i="136"/>
  <c r="I12" i="136" s="1"/>
  <c r="G16" i="136"/>
  <c r="I16" i="136" s="1"/>
  <c r="G11" i="136"/>
  <c r="I11" i="136" s="1"/>
  <c r="G13" i="136"/>
  <c r="I13" i="136" s="1"/>
  <c r="G15" i="136"/>
  <c r="I15" i="136" s="1"/>
  <c r="G17" i="136"/>
  <c r="I17" i="136" s="1"/>
  <c r="O2845" i="246" s="1"/>
  <c r="G19" i="136"/>
  <c r="I19" i="136" s="1"/>
  <c r="O2847" i="246" s="1"/>
  <c r="G21" i="136"/>
  <c r="I21" i="136" s="1"/>
  <c r="O2849" i="246" s="1"/>
  <c r="G23" i="136"/>
  <c r="I23" i="136" s="1"/>
  <c r="G25" i="136"/>
  <c r="I25" i="136" s="1"/>
  <c r="G27" i="136"/>
  <c r="I27" i="136" s="1"/>
  <c r="G29" i="136"/>
  <c r="I29" i="136" s="1"/>
  <c r="G31" i="136"/>
  <c r="I31" i="136" s="1"/>
  <c r="G39" i="136"/>
  <c r="I39" i="136" s="1"/>
  <c r="G41" i="136"/>
  <c r="I41" i="136" s="1"/>
  <c r="O2875" i="246" s="1"/>
  <c r="G43" i="136"/>
  <c r="I43" i="136" s="1"/>
  <c r="G45" i="136"/>
  <c r="I45" i="136" s="1"/>
  <c r="G10" i="136"/>
  <c r="I10" i="136" s="1"/>
  <c r="G14" i="136"/>
  <c r="I14" i="136" s="1"/>
  <c r="G18" i="136"/>
  <c r="I18" i="136" s="1"/>
  <c r="O2846" i="246" s="1"/>
  <c r="G20" i="136"/>
  <c r="I20" i="136" s="1"/>
  <c r="O2848" i="246" s="1"/>
  <c r="G22" i="136"/>
  <c r="I22" i="136" s="1"/>
  <c r="O2850" i="246" s="1"/>
  <c r="G24" i="136"/>
  <c r="I24" i="136" s="1"/>
  <c r="G26" i="136"/>
  <c r="I26" i="136" s="1"/>
  <c r="G28" i="136"/>
  <c r="I28" i="136" s="1"/>
  <c r="G30" i="136"/>
  <c r="I30" i="136" s="1"/>
  <c r="G32" i="136"/>
  <c r="I32" i="136" s="1"/>
  <c r="G40" i="136"/>
  <c r="I40" i="136" s="1"/>
  <c r="O2874" i="246" s="1"/>
  <c r="G42" i="136"/>
  <c r="I42" i="136" s="1"/>
  <c r="O2876" i="246" s="1"/>
  <c r="G44" i="136"/>
  <c r="I44" i="136" s="1"/>
  <c r="G46" i="136"/>
  <c r="I46" i="136" s="1"/>
  <c r="F183" i="136"/>
  <c r="K403" i="136"/>
  <c r="K2" i="136" s="1"/>
  <c r="O2938" i="246" l="1"/>
  <c r="O3170" i="1"/>
  <c r="M3006" i="1"/>
  <c r="M3037" i="1"/>
  <c r="O2839" i="246"/>
  <c r="S2839" i="246" s="1"/>
  <c r="O3071" i="1"/>
  <c r="S3071" i="1" s="1"/>
  <c r="O2928" i="246"/>
  <c r="M2995" i="1"/>
  <c r="O2947" i="246"/>
  <c r="O1270" i="246"/>
  <c r="R1270" i="246" s="1"/>
  <c r="M3047" i="1"/>
  <c r="S3047" i="1" s="1"/>
  <c r="O2926" i="246"/>
  <c r="O2944" i="246"/>
  <c r="O2969" i="246"/>
  <c r="O1206" i="246"/>
  <c r="R1206" i="246" s="1"/>
  <c r="O2862" i="246"/>
  <c r="O1067" i="246"/>
  <c r="R1067" i="246" s="1"/>
  <c r="O1068" i="246"/>
  <c r="R1068" i="246" s="1"/>
  <c r="O2863" i="246"/>
  <c r="O1066" i="246"/>
  <c r="R1066" i="246" s="1"/>
  <c r="O2861" i="246"/>
  <c r="O2844" i="246"/>
  <c r="O2968" i="246"/>
  <c r="O2884" i="246"/>
  <c r="O2932" i="246"/>
  <c r="M2950" i="1"/>
  <c r="O2882" i="246"/>
  <c r="O2864" i="246"/>
  <c r="O1069" i="246"/>
  <c r="R1069" i="246" s="1"/>
  <c r="O2885" i="246"/>
  <c r="O1136" i="246"/>
  <c r="R1136" i="246" s="1"/>
  <c r="O1260" i="246"/>
  <c r="R1260" i="246" s="1"/>
  <c r="O2979" i="246"/>
  <c r="S2979" i="246" s="1"/>
  <c r="O2939" i="246"/>
  <c r="O2877" i="246"/>
  <c r="O2851" i="246"/>
  <c r="O2887" i="246"/>
  <c r="O2933" i="246"/>
  <c r="O2860" i="246"/>
  <c r="O1065" i="246"/>
  <c r="R1065" i="246" s="1"/>
  <c r="M2945" i="1"/>
  <c r="O3106" i="1"/>
  <c r="M2942" i="1"/>
  <c r="O3078" i="1"/>
  <c r="M2914" i="1"/>
  <c r="O3093" i="1"/>
  <c r="M2929" i="1"/>
  <c r="O3081" i="1"/>
  <c r="M2917" i="1"/>
  <c r="O3076" i="1"/>
  <c r="M2912" i="1"/>
  <c r="O3183" i="1"/>
  <c r="M3019" i="1"/>
  <c r="M3010" i="1"/>
  <c r="O3174" i="1"/>
  <c r="O3161" i="1"/>
  <c r="M2997" i="1"/>
  <c r="M2967" i="1"/>
  <c r="O3131" i="1"/>
  <c r="M2957" i="1"/>
  <c r="O3121" i="1"/>
  <c r="O3200" i="1"/>
  <c r="M3036" i="1"/>
  <c r="O3122" i="1"/>
  <c r="M2958" i="1"/>
  <c r="M2952" i="1"/>
  <c r="O3180" i="1"/>
  <c r="M3016" i="1"/>
  <c r="M3009" i="1"/>
  <c r="O3173" i="1"/>
  <c r="M3000" i="1"/>
  <c r="O3164" i="1"/>
  <c r="O3202" i="1"/>
  <c r="M3038" i="1"/>
  <c r="M2932" i="1"/>
  <c r="O3096" i="1"/>
  <c r="M2943" i="1"/>
  <c r="O3107" i="1"/>
  <c r="O3079" i="1"/>
  <c r="M2915" i="1"/>
  <c r="M2907" i="1"/>
  <c r="S2907" i="1" s="1"/>
  <c r="M3017" i="1"/>
  <c r="O3181" i="1"/>
  <c r="O3160" i="1"/>
  <c r="M2996" i="1"/>
  <c r="O3199" i="1"/>
  <c r="M3035" i="1"/>
  <c r="O3201" i="1"/>
  <c r="M2965" i="1"/>
  <c r="O3129" i="1"/>
  <c r="O3120" i="1"/>
  <c r="M2956" i="1"/>
  <c r="O3114" i="1"/>
  <c r="M2953" i="1"/>
  <c r="O3117" i="1"/>
  <c r="O3111" i="1"/>
  <c r="M2947" i="1"/>
  <c r="M3014" i="1"/>
  <c r="O3178" i="1"/>
  <c r="M3007" i="1"/>
  <c r="O3171" i="1"/>
  <c r="O3159" i="1"/>
  <c r="M2966" i="1"/>
  <c r="O3130" i="1"/>
  <c r="O3094" i="1"/>
  <c r="M2930" i="1"/>
  <c r="O3083" i="1"/>
  <c r="O3077" i="1"/>
  <c r="M2913" i="1"/>
  <c r="M3015" i="1"/>
  <c r="O3179" i="1"/>
  <c r="O3082" i="1"/>
  <c r="M2918" i="1"/>
  <c r="O3169" i="1"/>
  <c r="M3005" i="1"/>
  <c r="M3040" i="1"/>
  <c r="O3204" i="1"/>
  <c r="O3127" i="1"/>
  <c r="M2963" i="1"/>
  <c r="M2948" i="1"/>
  <c r="O3112" i="1"/>
  <c r="M3020" i="1"/>
  <c r="O3184" i="1"/>
  <c r="O3168" i="1"/>
  <c r="M3004" i="1"/>
  <c r="M2964" i="1"/>
  <c r="O3128" i="1"/>
  <c r="O3211" i="1"/>
  <c r="S3211" i="1" s="1"/>
  <c r="M2944" i="1"/>
  <c r="O3108" i="1"/>
  <c r="O3080" i="1"/>
  <c r="M2916" i="1"/>
  <c r="O3109" i="1"/>
  <c r="O3095" i="1"/>
  <c r="M2931" i="1"/>
  <c r="M2919" i="1"/>
  <c r="M3013" i="1"/>
  <c r="O3177" i="1"/>
  <c r="O3167" i="1"/>
  <c r="M3003" i="1"/>
  <c r="O3158" i="1"/>
  <c r="M2994" i="1"/>
  <c r="M2959" i="1"/>
  <c r="O3123" i="1"/>
  <c r="M2954" i="1"/>
  <c r="O3118" i="1"/>
  <c r="M2946" i="1"/>
  <c r="O3110" i="1"/>
  <c r="O3119" i="1"/>
  <c r="M2955" i="1"/>
  <c r="O3116" i="1"/>
  <c r="O3182" i="1"/>
  <c r="M3018" i="1"/>
  <c r="M3012" i="1"/>
  <c r="O3176" i="1"/>
  <c r="O3166" i="1"/>
  <c r="M3002" i="1"/>
  <c r="O3126" i="1"/>
  <c r="M2962" i="1"/>
  <c r="M2928" i="1"/>
  <c r="O3092" i="1"/>
  <c r="O3165" i="1"/>
  <c r="M3001" i="1"/>
  <c r="F129" i="231"/>
  <c r="M1247" i="1"/>
  <c r="R1247" i="1" s="1"/>
  <c r="M1176" i="1"/>
  <c r="R1176" i="1" s="1"/>
  <c r="M1177" i="1"/>
  <c r="R1177" i="1" s="1"/>
  <c r="M1300" i="1"/>
  <c r="R1300" i="1" s="1"/>
  <c r="M1246" i="1"/>
  <c r="R1246" i="1" s="1"/>
  <c r="M1309" i="1"/>
  <c r="R1309" i="1" s="1"/>
  <c r="M1301" i="1"/>
  <c r="R1301" i="1" s="1"/>
  <c r="M1302" i="1"/>
  <c r="R1302" i="1" s="1"/>
  <c r="M1248" i="1"/>
  <c r="R1248" i="1" s="1"/>
  <c r="M1303" i="1"/>
  <c r="R1303" i="1" s="1"/>
  <c r="M1304" i="1"/>
  <c r="R1304" i="1" s="1"/>
  <c r="M1175" i="1"/>
  <c r="R1175" i="1" s="1"/>
  <c r="M1299" i="1"/>
  <c r="R1299" i="1" s="1"/>
  <c r="M1107" i="1"/>
  <c r="M1108" i="1"/>
  <c r="M1106" i="1"/>
  <c r="M1105" i="1"/>
  <c r="M1245" i="1"/>
  <c r="R1245" i="1" s="1"/>
  <c r="M1104" i="1"/>
  <c r="R1104" i="1" s="1"/>
  <c r="I183" i="136"/>
  <c r="F403" i="136"/>
  <c r="M2909" i="1" l="1"/>
  <c r="S2909" i="1" s="1"/>
  <c r="O2964" i="246"/>
  <c r="S2964" i="246" s="1"/>
  <c r="M2925" i="1"/>
  <c r="S2925" i="1" s="1"/>
  <c r="O3196" i="1"/>
  <c r="S3196" i="1" s="1"/>
  <c r="M3032" i="1"/>
  <c r="S3032" i="1" s="1"/>
  <c r="O2857" i="246"/>
  <c r="S2857" i="246" s="1"/>
  <c r="O2871" i="246"/>
  <c r="S2871" i="246" s="1"/>
  <c r="O2923" i="246"/>
  <c r="S2923" i="246" s="1"/>
  <c r="O2841" i="246"/>
  <c r="S2841" i="246" s="1"/>
  <c r="M2991" i="1"/>
  <c r="S2991" i="1" s="1"/>
  <c r="M2939" i="1"/>
  <c r="S2939" i="1" s="1"/>
  <c r="O3155" i="1"/>
  <c r="S3155" i="1" s="1"/>
  <c r="O3073" i="1"/>
  <c r="S3073" i="1" s="1"/>
  <c r="O3089" i="1"/>
  <c r="S3089" i="1" s="1"/>
  <c r="O3103" i="1"/>
  <c r="S3103" i="1" s="1"/>
  <c r="R1105" i="1"/>
  <c r="R1108" i="1"/>
  <c r="R1106" i="1"/>
  <c r="R1107" i="1"/>
  <c r="G129" i="231"/>
  <c r="D1296" i="1"/>
  <c r="J79" i="26"/>
  <c r="J80" i="26"/>
  <c r="P150" i="5"/>
  <c r="J74" i="26"/>
  <c r="J71" i="26"/>
  <c r="J69" i="26"/>
  <c r="J146" i="5" s="1"/>
  <c r="L146" i="5" s="1"/>
  <c r="O1253" i="246" s="1"/>
  <c r="R1253" i="246" s="1"/>
  <c r="J73" i="26"/>
  <c r="J193" i="5" s="1"/>
  <c r="J70" i="26"/>
  <c r="J192" i="5" s="1"/>
  <c r="L16" i="89"/>
  <c r="J12" i="89"/>
  <c r="G6" i="124"/>
  <c r="J34" i="26"/>
  <c r="J238" i="5" s="1"/>
  <c r="L238" i="5" s="1"/>
  <c r="P19" i="89" s="1"/>
  <c r="P20" i="89" s="1"/>
  <c r="P352" i="5"/>
  <c r="J352" i="5" s="1"/>
  <c r="J39" i="26"/>
  <c r="K284" i="89"/>
  <c r="D1295" i="1"/>
  <c r="K283" i="89"/>
  <c r="K282" i="89"/>
  <c r="K281" i="89"/>
  <c r="P149" i="5"/>
  <c r="P215" i="5"/>
  <c r="J215" i="5" s="1"/>
  <c r="P214" i="5"/>
  <c r="J214" i="5" s="1"/>
  <c r="P213" i="5"/>
  <c r="J213" i="5" s="1"/>
  <c r="P212" i="5"/>
  <c r="J212" i="5" s="1"/>
  <c r="P211" i="5"/>
  <c r="J211" i="5" s="1"/>
  <c r="R19" i="80"/>
  <c r="R17" i="80"/>
  <c r="C20" i="80"/>
  <c r="C19" i="80"/>
  <c r="C18" i="80"/>
  <c r="C17" i="80"/>
  <c r="C16" i="80"/>
  <c r="P351" i="5"/>
  <c r="J351" i="5" s="1"/>
  <c r="P350" i="5"/>
  <c r="J350" i="5" s="1"/>
  <c r="B679" i="1"/>
  <c r="B690" i="1" s="1"/>
  <c r="B701" i="1" s="1"/>
  <c r="P174" i="5"/>
  <c r="P173" i="5"/>
  <c r="J173" i="5" s="1"/>
  <c r="L173" i="5" s="1"/>
  <c r="P172" i="5"/>
  <c r="J172" i="5" s="1"/>
  <c r="P171" i="5"/>
  <c r="J171" i="5" s="1"/>
  <c r="L171" i="5" s="1"/>
  <c r="E111" i="4"/>
  <c r="M667" i="1"/>
  <c r="D664" i="1"/>
  <c r="D661" i="1"/>
  <c r="R661" i="1" s="1"/>
  <c r="D660" i="1"/>
  <c r="D452" i="1"/>
  <c r="C405" i="1"/>
  <c r="D396" i="1"/>
  <c r="R396" i="1" s="1"/>
  <c r="D406" i="1"/>
  <c r="D2041" i="246"/>
  <c r="D2037" i="246"/>
  <c r="D399" i="1"/>
  <c r="D395" i="1"/>
  <c r="P81" i="5"/>
  <c r="J81" i="5" s="1"/>
  <c r="L81" i="5" s="1"/>
  <c r="P80" i="5"/>
  <c r="J80" i="5" s="1"/>
  <c r="L80" i="5" s="1"/>
  <c r="P79" i="5"/>
  <c r="J79" i="5" s="1"/>
  <c r="L79" i="5" s="1"/>
  <c r="P78" i="5"/>
  <c r="J78" i="5" s="1"/>
  <c r="L78" i="5" s="1"/>
  <c r="H42" i="4"/>
  <c r="H41" i="4"/>
  <c r="I41" i="4" s="1"/>
  <c r="P111" i="5"/>
  <c r="P112" i="5"/>
  <c r="J112" i="5" s="1"/>
  <c r="L112" i="5" s="1"/>
  <c r="E27" i="4"/>
  <c r="P366" i="5"/>
  <c r="J366" i="5" s="1"/>
  <c r="P169" i="5"/>
  <c r="J169" i="5" s="1"/>
  <c r="P170" i="5"/>
  <c r="J170" i="5" s="1"/>
  <c r="P61" i="5"/>
  <c r="J61" i="5" s="1"/>
  <c r="L61" i="5" s="1"/>
  <c r="P62" i="5"/>
  <c r="J62" i="5" s="1"/>
  <c r="P72" i="5"/>
  <c r="J72" i="5" s="1"/>
  <c r="P129" i="5"/>
  <c r="J129" i="5" s="1"/>
  <c r="K224" i="89"/>
  <c r="Z224" i="89" s="1"/>
  <c r="AB224" i="89" s="1"/>
  <c r="AC224" i="89" s="1"/>
  <c r="L14" i="89"/>
  <c r="L15" i="89"/>
  <c r="J61" i="26"/>
  <c r="P85" i="5"/>
  <c r="J85" i="5" s="1"/>
  <c r="L85" i="5" s="1"/>
  <c r="J65" i="26"/>
  <c r="J62" i="26"/>
  <c r="J45" i="26"/>
  <c r="J244" i="5" s="1"/>
  <c r="L244" i="5" s="1"/>
  <c r="J28" i="26"/>
  <c r="J38" i="26"/>
  <c r="J96" i="5" s="1"/>
  <c r="L96" i="5" s="1"/>
  <c r="J52" i="26"/>
  <c r="J26" i="26"/>
  <c r="J297" i="5" s="1"/>
  <c r="L297" i="5" s="1"/>
  <c r="J36" i="26"/>
  <c r="P18" i="5"/>
  <c r="J18" i="5" s="1"/>
  <c r="L18" i="5" s="1"/>
  <c r="J43" i="26"/>
  <c r="J44" i="26"/>
  <c r="J233" i="5" s="1"/>
  <c r="L233" i="5" s="1"/>
  <c r="J48" i="26"/>
  <c r="J49" i="26"/>
  <c r="J27" i="26"/>
  <c r="J40" i="26"/>
  <c r="J50" i="26"/>
  <c r="J66" i="26"/>
  <c r="N401" i="5"/>
  <c r="H43" i="4"/>
  <c r="P28" i="5"/>
  <c r="J28" i="5" s="1"/>
  <c r="L28" i="5" s="1"/>
  <c r="P29" i="5"/>
  <c r="J29" i="5" s="1"/>
  <c r="L29" i="5" s="1"/>
  <c r="P30" i="5"/>
  <c r="J30" i="5" s="1"/>
  <c r="L30" i="5" s="1"/>
  <c r="J32" i="26"/>
  <c r="P73" i="5"/>
  <c r="J73" i="5" s="1"/>
  <c r="L73" i="5" s="1"/>
  <c r="P74" i="5"/>
  <c r="J74" i="5" s="1"/>
  <c r="L74" i="5" s="1"/>
  <c r="P75" i="5"/>
  <c r="J75" i="5" s="1"/>
  <c r="L75" i="5" s="1"/>
  <c r="J29" i="26"/>
  <c r="J291" i="5" s="1"/>
  <c r="L291" i="5" s="1"/>
  <c r="J30" i="26"/>
  <c r="K274" i="89"/>
  <c r="K263" i="89"/>
  <c r="Z263" i="89" s="1"/>
  <c r="AB263" i="89" s="1"/>
  <c r="AC263" i="89" s="1"/>
  <c r="K262" i="89"/>
  <c r="Z262" i="89" s="1"/>
  <c r="AB262" i="89" s="1"/>
  <c r="AC262" i="89" s="1"/>
  <c r="K233" i="89"/>
  <c r="K199" i="89"/>
  <c r="K157" i="89"/>
  <c r="K156" i="89"/>
  <c r="K155" i="89"/>
  <c r="Z155" i="89" s="1"/>
  <c r="AB155" i="89" s="1"/>
  <c r="J51" i="26"/>
  <c r="J151" i="5" s="1"/>
  <c r="P313" i="5"/>
  <c r="J41" i="26"/>
  <c r="J242" i="5" s="1"/>
  <c r="L242" i="5" s="1"/>
  <c r="J63" i="26"/>
  <c r="J64" i="26"/>
  <c r="P218" i="5"/>
  <c r="J218" i="5" s="1"/>
  <c r="P217" i="5"/>
  <c r="J217" i="5" s="1"/>
  <c r="P216" i="5"/>
  <c r="J216" i="5" s="1"/>
  <c r="H45" i="4"/>
  <c r="O71" i="1"/>
  <c r="P76" i="5"/>
  <c r="J76" i="5" s="1"/>
  <c r="L76" i="5" s="1"/>
  <c r="P77" i="5"/>
  <c r="J77" i="5" s="1"/>
  <c r="L77" i="5" s="1"/>
  <c r="P86" i="5"/>
  <c r="P130" i="5"/>
  <c r="J130" i="5" s="1"/>
  <c r="L130" i="5" s="1"/>
  <c r="P131" i="5"/>
  <c r="J131" i="5" s="1"/>
  <c r="L131" i="5" s="1"/>
  <c r="P132" i="5"/>
  <c r="J132" i="5" s="1"/>
  <c r="L132" i="5" s="1"/>
  <c r="P367" i="5"/>
  <c r="J367" i="5" s="1"/>
  <c r="I192" i="89"/>
  <c r="I90" i="242" s="1"/>
  <c r="I14" i="89"/>
  <c r="I265" i="89"/>
  <c r="I370" i="89"/>
  <c r="I207" i="242" s="1"/>
  <c r="T16" i="89"/>
  <c r="K275" i="89"/>
  <c r="K276" i="89"/>
  <c r="K277" i="89"/>
  <c r="C2" i="89"/>
  <c r="D3" i="89"/>
  <c r="C12" i="89"/>
  <c r="C13" i="89"/>
  <c r="K158" i="89"/>
  <c r="K159" i="89"/>
  <c r="K160" i="89"/>
  <c r="K161" i="89"/>
  <c r="K162" i="89"/>
  <c r="K163" i="89"/>
  <c r="K164" i="89"/>
  <c r="K165" i="89"/>
  <c r="K166" i="89"/>
  <c r="K167" i="89"/>
  <c r="K168" i="89"/>
  <c r="K169" i="89"/>
  <c r="K170" i="89"/>
  <c r="K171" i="89"/>
  <c r="K172" i="89"/>
  <c r="K173" i="89"/>
  <c r="K190" i="89"/>
  <c r="C14" i="89"/>
  <c r="J14" i="89"/>
  <c r="K200" i="89"/>
  <c r="Z200" i="89" s="1"/>
  <c r="AB200" i="89" s="1"/>
  <c r="AC200" i="89" s="1"/>
  <c r="K201" i="89"/>
  <c r="Z201" i="89" s="1"/>
  <c r="AB201" i="89" s="1"/>
  <c r="AC201" i="89" s="1"/>
  <c r="S14" i="89"/>
  <c r="C15" i="89"/>
  <c r="J15" i="89"/>
  <c r="S15" i="89"/>
  <c r="T15" i="89"/>
  <c r="C16" i="89"/>
  <c r="P142" i="5"/>
  <c r="P185" i="5"/>
  <c r="J185" i="5" s="1"/>
  <c r="P186" i="5"/>
  <c r="P202" i="5"/>
  <c r="J238" i="4"/>
  <c r="J239"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3" i="5"/>
  <c r="K22" i="26"/>
  <c r="K21" i="26"/>
  <c r="K20" i="26"/>
  <c r="K19" i="26"/>
  <c r="K18" i="26"/>
  <c r="K17" i="26"/>
  <c r="K16" i="26"/>
  <c r="K15" i="26"/>
  <c r="P113" i="5"/>
  <c r="J113" i="5" s="1"/>
  <c r="L113" i="5" s="1"/>
  <c r="P114" i="5"/>
  <c r="J114" i="5" s="1"/>
  <c r="L114"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4" i="5"/>
  <c r="J314" i="5" s="1"/>
  <c r="P19" i="5"/>
  <c r="J19" i="5" s="1"/>
  <c r="L19" i="5" s="1"/>
  <c r="P143" i="5"/>
  <c r="P374" i="5"/>
  <c r="J374" i="5" s="1"/>
  <c r="P20" i="5"/>
  <c r="J20" i="5" s="1"/>
  <c r="L20" i="5" s="1"/>
  <c r="J75" i="26"/>
  <c r="P400" i="5"/>
  <c r="P399" i="5"/>
  <c r="J399" i="5" s="1"/>
  <c r="L399" i="5" s="1"/>
  <c r="P398" i="5"/>
  <c r="P397" i="5"/>
  <c r="J397" i="5" s="1"/>
  <c r="L397" i="5" s="1"/>
  <c r="P396" i="5"/>
  <c r="J396" i="5" s="1"/>
  <c r="P395" i="5"/>
  <c r="J395" i="5" s="1"/>
  <c r="P394" i="5"/>
  <c r="J394" i="5" s="1"/>
  <c r="P393" i="5"/>
  <c r="J393" i="5" s="1"/>
  <c r="P392" i="5"/>
  <c r="J392" i="5" s="1"/>
  <c r="P391" i="5"/>
  <c r="J391" i="5" s="1"/>
  <c r="P390" i="5"/>
  <c r="J390" i="5" s="1"/>
  <c r="P389" i="5"/>
  <c r="J389" i="5" s="1"/>
  <c r="P388" i="5"/>
  <c r="J388" i="5" s="1"/>
  <c r="L388" i="5" s="1"/>
  <c r="P387" i="5"/>
  <c r="J387" i="5" s="1"/>
  <c r="L387" i="5" s="1"/>
  <c r="P386" i="5"/>
  <c r="P385" i="5"/>
  <c r="J385" i="5" s="1"/>
  <c r="P384" i="5"/>
  <c r="J384" i="5" s="1"/>
  <c r="L384" i="5" s="1"/>
  <c r="P383" i="5"/>
  <c r="J383" i="5" s="1"/>
  <c r="P382" i="5"/>
  <c r="P381" i="5"/>
  <c r="J381" i="5" s="1"/>
  <c r="P380" i="5"/>
  <c r="J380" i="5" s="1"/>
  <c r="P379" i="5"/>
  <c r="J379" i="5" s="1"/>
  <c r="P378" i="5"/>
  <c r="J378" i="5" s="1"/>
  <c r="L378" i="5" s="1"/>
  <c r="P377" i="5"/>
  <c r="J377" i="5" s="1"/>
  <c r="P376" i="5"/>
  <c r="J376" i="5" s="1"/>
  <c r="P375" i="5"/>
  <c r="J375" i="5" s="1"/>
  <c r="P373" i="5"/>
  <c r="J373" i="5" s="1"/>
  <c r="L373" i="5" s="1"/>
  <c r="P372" i="5"/>
  <c r="J372" i="5" s="1"/>
  <c r="P371" i="5"/>
  <c r="J371" i="5" s="1"/>
  <c r="P370" i="5"/>
  <c r="J370" i="5" s="1"/>
  <c r="P369" i="5"/>
  <c r="J369" i="5" s="1"/>
  <c r="P368" i="5"/>
  <c r="J368" i="5" s="1"/>
  <c r="P365" i="5"/>
  <c r="J365" i="5" s="1"/>
  <c r="L365" i="5" s="1"/>
  <c r="P364" i="5"/>
  <c r="J364" i="5" s="1"/>
  <c r="P363" i="5"/>
  <c r="P362" i="5"/>
  <c r="J362" i="5" s="1"/>
  <c r="P361" i="5"/>
  <c r="J361" i="5" s="1"/>
  <c r="P359" i="5"/>
  <c r="P358" i="5"/>
  <c r="J358" i="5" s="1"/>
  <c r="L358" i="5" s="1"/>
  <c r="P357" i="5"/>
  <c r="P356" i="5"/>
  <c r="J356" i="5" s="1"/>
  <c r="P355" i="5"/>
  <c r="P354" i="5"/>
  <c r="P353" i="5"/>
  <c r="J353" i="5" s="1"/>
  <c r="L353" i="5" s="1"/>
  <c r="P349" i="5"/>
  <c r="J349" i="5" s="1"/>
  <c r="P348" i="5"/>
  <c r="P346" i="5"/>
  <c r="J346" i="5" s="1"/>
  <c r="P344" i="5"/>
  <c r="J344" i="5" s="1"/>
  <c r="P343" i="5"/>
  <c r="P341" i="5"/>
  <c r="J341" i="5" s="1"/>
  <c r="L341" i="5" s="1"/>
  <c r="P340" i="5"/>
  <c r="P333" i="5"/>
  <c r="J333" i="5" s="1"/>
  <c r="P331" i="5"/>
  <c r="P329" i="5"/>
  <c r="J329" i="5" s="1"/>
  <c r="P320" i="5"/>
  <c r="J320" i="5" s="1"/>
  <c r="P318" i="5"/>
  <c r="J318" i="5" s="1"/>
  <c r="L318" i="5" s="1"/>
  <c r="P317" i="5"/>
  <c r="J317" i="5" s="1"/>
  <c r="P316" i="5"/>
  <c r="J316" i="5" s="1"/>
  <c r="P315" i="5"/>
  <c r="J315" i="5" s="1"/>
  <c r="P312" i="5"/>
  <c r="J312" i="5" s="1"/>
  <c r="L312" i="5" s="1"/>
  <c r="P311" i="5"/>
  <c r="J311" i="5" s="1"/>
  <c r="P310" i="5"/>
  <c r="J310" i="5" s="1"/>
  <c r="P309" i="5"/>
  <c r="J309" i="5" s="1"/>
  <c r="P308" i="5"/>
  <c r="J308" i="5" s="1"/>
  <c r="P307" i="5"/>
  <c r="J307" i="5" s="1"/>
  <c r="P306" i="5"/>
  <c r="J306" i="5" s="1"/>
  <c r="L306" i="5" s="1"/>
  <c r="P301" i="5"/>
  <c r="J301" i="5" s="1"/>
  <c r="L301" i="5" s="1"/>
  <c r="P282" i="5"/>
  <c r="J282" i="5" s="1"/>
  <c r="L282" i="5" s="1"/>
  <c r="P281" i="5"/>
  <c r="J281" i="5" s="1"/>
  <c r="L281" i="5" s="1"/>
  <c r="P280" i="5"/>
  <c r="J280" i="5" s="1"/>
  <c r="P279" i="5"/>
  <c r="J279" i="5" s="1"/>
  <c r="P278" i="5"/>
  <c r="J278" i="5" s="1"/>
  <c r="L278" i="5" s="1"/>
  <c r="P277" i="5"/>
  <c r="J277" i="5" s="1"/>
  <c r="L277" i="5" s="1"/>
  <c r="P276" i="5"/>
  <c r="P275" i="5"/>
  <c r="J275" i="5" s="1"/>
  <c r="P274" i="5"/>
  <c r="J274" i="5" s="1"/>
  <c r="L274" i="5" s="1"/>
  <c r="J84" i="26"/>
  <c r="P273" i="5"/>
  <c r="J273" i="5" s="1"/>
  <c r="L273" i="5" s="1"/>
  <c r="P272" i="5"/>
  <c r="J272" i="5" s="1"/>
  <c r="J83" i="26"/>
  <c r="P271" i="5"/>
  <c r="J271" i="5" s="1"/>
  <c r="P270" i="5"/>
  <c r="J270" i="5" s="1"/>
  <c r="L270" i="5" s="1"/>
  <c r="P269" i="5"/>
  <c r="J269" i="5" s="1"/>
  <c r="L269" i="5" s="1"/>
  <c r="P268" i="5"/>
  <c r="J268" i="5" s="1"/>
  <c r="L268" i="5" s="1"/>
  <c r="F75" i="80" s="1"/>
  <c r="P267" i="5"/>
  <c r="J267" i="5" s="1"/>
  <c r="P266" i="5"/>
  <c r="J266" i="5" s="1"/>
  <c r="L266" i="5" s="1"/>
  <c r="P265" i="5"/>
  <c r="J265" i="5" s="1"/>
  <c r="L265" i="5" s="1"/>
  <c r="P264" i="5"/>
  <c r="J264" i="5" s="1"/>
  <c r="P263" i="5"/>
  <c r="J263" i="5" s="1"/>
  <c r="P262" i="5"/>
  <c r="J262" i="5" s="1"/>
  <c r="L262" i="5" s="1"/>
  <c r="P261" i="5"/>
  <c r="J261" i="5" s="1"/>
  <c r="L261" i="5" s="1"/>
  <c r="P260" i="5"/>
  <c r="J260" i="5" s="1"/>
  <c r="L260" i="5" s="1"/>
  <c r="P259" i="5"/>
  <c r="J259" i="5" s="1"/>
  <c r="P258" i="5"/>
  <c r="J258" i="5" s="1"/>
  <c r="L258" i="5" s="1"/>
  <c r="P257" i="5"/>
  <c r="J257" i="5" s="1"/>
  <c r="L257" i="5" s="1"/>
  <c r="P256" i="5"/>
  <c r="J256" i="5" s="1"/>
  <c r="P255" i="5"/>
  <c r="J255" i="5" s="1"/>
  <c r="P254" i="5"/>
  <c r="J254" i="5" s="1"/>
  <c r="L254" i="5" s="1"/>
  <c r="P253" i="5"/>
  <c r="J253" i="5" s="1"/>
  <c r="L253" i="5" s="1"/>
  <c r="P252" i="5"/>
  <c r="J252" i="5" s="1"/>
  <c r="L252" i="5" s="1"/>
  <c r="F73" i="80" s="1"/>
  <c r="P251" i="5"/>
  <c r="J251" i="5" s="1"/>
  <c r="P250" i="5"/>
  <c r="J250" i="5" s="1"/>
  <c r="L250" i="5" s="1"/>
  <c r="P237" i="5"/>
  <c r="J237" i="5" s="1"/>
  <c r="L237" i="5" s="1"/>
  <c r="O1431" i="246" s="1"/>
  <c r="P236" i="5"/>
  <c r="J236" i="5" s="1"/>
  <c r="P235" i="5"/>
  <c r="J235" i="5" s="1"/>
  <c r="P234" i="5"/>
  <c r="J234" i="5" s="1"/>
  <c r="L234" i="5" s="1"/>
  <c r="P231" i="5"/>
  <c r="P230" i="5"/>
  <c r="P229" i="5"/>
  <c r="J229" i="5" s="1"/>
  <c r="P228" i="5"/>
  <c r="J228" i="5" s="1"/>
  <c r="L228" i="5" s="1"/>
  <c r="P226" i="5"/>
  <c r="P225" i="5"/>
  <c r="P224" i="5"/>
  <c r="P220" i="5"/>
  <c r="J220" i="5" s="1"/>
  <c r="P219" i="5"/>
  <c r="J219" i="5" s="1"/>
  <c r="L219" i="5" s="1"/>
  <c r="P206" i="5"/>
  <c r="J206" i="5" s="1"/>
  <c r="P205" i="5"/>
  <c r="P204" i="5"/>
  <c r="P189" i="5"/>
  <c r="P188" i="5"/>
  <c r="J188" i="5" s="1"/>
  <c r="P187" i="5"/>
  <c r="P184" i="5"/>
  <c r="J184" i="5" s="1"/>
  <c r="L184" i="5" s="1"/>
  <c r="P183" i="5"/>
  <c r="J183" i="5" s="1"/>
  <c r="P182" i="5"/>
  <c r="P181" i="5"/>
  <c r="J181" i="5" s="1"/>
  <c r="L181" i="5" s="1"/>
  <c r="P180" i="5"/>
  <c r="J180" i="5" s="1"/>
  <c r="P179" i="5"/>
  <c r="J179" i="5" s="1"/>
  <c r="L179" i="5" s="1"/>
  <c r="P178" i="5"/>
  <c r="J178" i="5" s="1"/>
  <c r="L178" i="5" s="1"/>
  <c r="P177" i="5"/>
  <c r="J177" i="5" s="1"/>
  <c r="L177" i="5" s="1"/>
  <c r="P176" i="5"/>
  <c r="J176" i="5" s="1"/>
  <c r="P175" i="5"/>
  <c r="J175" i="5" s="1"/>
  <c r="L175" i="5" s="1"/>
  <c r="P168" i="5"/>
  <c r="M76" i="26" s="1"/>
  <c r="L167" i="5"/>
  <c r="L166" i="5"/>
  <c r="L165" i="5"/>
  <c r="P164" i="5"/>
  <c r="J164" i="5" s="1"/>
  <c r="L164" i="5" s="1"/>
  <c r="P163" i="5"/>
  <c r="J163" i="5" s="1"/>
  <c r="L163" i="5" s="1"/>
  <c r="P162" i="5"/>
  <c r="P160" i="5"/>
  <c r="P159" i="5"/>
  <c r="J159" i="5" s="1"/>
  <c r="L159" i="5" s="1"/>
  <c r="P158" i="5"/>
  <c r="J158" i="5" s="1"/>
  <c r="L158" i="5" s="1"/>
  <c r="P157" i="5"/>
  <c r="P156" i="5"/>
  <c r="J156" i="5" s="1"/>
  <c r="L156" i="5" s="1"/>
  <c r="P154" i="5"/>
  <c r="J154" i="5" s="1"/>
  <c r="P153" i="5"/>
  <c r="J153" i="5" s="1"/>
  <c r="L153" i="5" s="1"/>
  <c r="P152" i="5"/>
  <c r="J152" i="5" s="1"/>
  <c r="L152" i="5" s="1"/>
  <c r="P148" i="5"/>
  <c r="P144" i="5"/>
  <c r="P141" i="5"/>
  <c r="J141" i="5" s="1"/>
  <c r="L141" i="5" s="1"/>
  <c r="P140" i="5"/>
  <c r="J140" i="5" s="1"/>
  <c r="L140" i="5" s="1"/>
  <c r="P133" i="5"/>
  <c r="J133" i="5" s="1"/>
  <c r="L133" i="5" s="1"/>
  <c r="P128" i="5"/>
  <c r="J128" i="5" s="1"/>
  <c r="L128" i="5" s="1"/>
  <c r="P127" i="5"/>
  <c r="J127" i="5" s="1"/>
  <c r="P126" i="5"/>
  <c r="J126" i="5" s="1"/>
  <c r="P125" i="5"/>
  <c r="J125" i="5" s="1"/>
  <c r="L125" i="5" s="1"/>
  <c r="P124" i="5"/>
  <c r="J124" i="5" s="1"/>
  <c r="L124" i="5" s="1"/>
  <c r="P123" i="5"/>
  <c r="J123" i="5" s="1"/>
  <c r="L123" i="5" s="1"/>
  <c r="P122" i="5"/>
  <c r="J122" i="5" s="1"/>
  <c r="P121" i="5"/>
  <c r="J121" i="5" s="1"/>
  <c r="L121" i="5" s="1"/>
  <c r="P120" i="5"/>
  <c r="P119" i="5"/>
  <c r="J119" i="5" s="1"/>
  <c r="L119" i="5" s="1"/>
  <c r="P118" i="5"/>
  <c r="J118" i="5" s="1"/>
  <c r="L118" i="5" s="1"/>
  <c r="P117" i="5"/>
  <c r="J117" i="5" s="1"/>
  <c r="L117" i="5" s="1"/>
  <c r="P116" i="5"/>
  <c r="J116" i="5" s="1"/>
  <c r="L116" i="5" s="1"/>
  <c r="P115" i="5"/>
  <c r="J115" i="5" s="1"/>
  <c r="L115" i="5" s="1"/>
  <c r="P110" i="5"/>
  <c r="J110" i="5" s="1"/>
  <c r="L110" i="5" s="1"/>
  <c r="P109" i="5"/>
  <c r="J109" i="5" s="1"/>
  <c r="P108" i="5"/>
  <c r="J108" i="5" s="1"/>
  <c r="P107" i="5"/>
  <c r="J107" i="5" s="1"/>
  <c r="L107" i="5" s="1"/>
  <c r="P105" i="5"/>
  <c r="J105" i="5" s="1"/>
  <c r="P104" i="5"/>
  <c r="J104" i="5" s="1"/>
  <c r="P103" i="5"/>
  <c r="J103" i="5" s="1"/>
  <c r="L103" i="5" s="1"/>
  <c r="P102" i="5"/>
  <c r="P101" i="5"/>
  <c r="J101" i="5" s="1"/>
  <c r="L101" i="5" s="1"/>
  <c r="P100" i="5"/>
  <c r="J100" i="5" s="1"/>
  <c r="L100" i="5" s="1"/>
  <c r="P99" i="5"/>
  <c r="J99" i="5" s="1"/>
  <c r="L99" i="5" s="1"/>
  <c r="P98" i="5"/>
  <c r="J98" i="5" s="1"/>
  <c r="L98" i="5" s="1"/>
  <c r="P97" i="5"/>
  <c r="J97" i="5" s="1"/>
  <c r="L97" i="5" s="1"/>
  <c r="P95" i="5"/>
  <c r="J95" i="5" s="1"/>
  <c r="L95" i="5" s="1"/>
  <c r="P94" i="5"/>
  <c r="J94" i="5" s="1"/>
  <c r="L94" i="5" s="1"/>
  <c r="P93" i="5"/>
  <c r="P92" i="5"/>
  <c r="J92" i="5" s="1"/>
  <c r="L92" i="5" s="1"/>
  <c r="P90" i="5"/>
  <c r="J90" i="5" s="1"/>
  <c r="L90" i="5" s="1"/>
  <c r="P89" i="5"/>
  <c r="J89" i="5" s="1"/>
  <c r="L89" i="5" s="1"/>
  <c r="P88" i="5"/>
  <c r="J88" i="5" s="1"/>
  <c r="L88" i="5" s="1"/>
  <c r="P87" i="5"/>
  <c r="J87" i="5" s="1"/>
  <c r="L87" i="5" s="1"/>
  <c r="P84" i="5"/>
  <c r="J84" i="5" s="1"/>
  <c r="L84" i="5" s="1"/>
  <c r="P83" i="5"/>
  <c r="J83" i="5" s="1"/>
  <c r="L83" i="5" s="1"/>
  <c r="P82" i="5"/>
  <c r="J82" i="5" s="1"/>
  <c r="L82" i="5" s="1"/>
  <c r="P71" i="5"/>
  <c r="J71" i="5" s="1"/>
  <c r="L71" i="5" s="1"/>
  <c r="P70" i="5"/>
  <c r="J70" i="5" s="1"/>
  <c r="P69" i="5"/>
  <c r="J69" i="5" s="1"/>
  <c r="L69" i="5" s="1"/>
  <c r="P68" i="5"/>
  <c r="J68" i="5" s="1"/>
  <c r="L68" i="5" s="1"/>
  <c r="P67" i="5"/>
  <c r="J67" i="5" s="1"/>
  <c r="L67" i="5" s="1"/>
  <c r="P66" i="5"/>
  <c r="J66" i="5" s="1"/>
  <c r="L66" i="5" s="1"/>
  <c r="P65" i="5"/>
  <c r="J65" i="5" s="1"/>
  <c r="L65" i="5" s="1"/>
  <c r="P64" i="5"/>
  <c r="J64" i="5" s="1"/>
  <c r="P63" i="5"/>
  <c r="J63" i="5" s="1"/>
  <c r="L63" i="5"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P46" i="5"/>
  <c r="J46" i="5" s="1"/>
  <c r="P45" i="5"/>
  <c r="J45" i="5" s="1"/>
  <c r="P44" i="5"/>
  <c r="J44" i="5" s="1"/>
  <c r="P43" i="5"/>
  <c r="J43" i="5" s="1"/>
  <c r="L43" i="5" s="1"/>
  <c r="P42" i="5"/>
  <c r="J42" i="5" s="1"/>
  <c r="L42" i="5" s="1"/>
  <c r="P41" i="5"/>
  <c r="J41" i="5" s="1"/>
  <c r="P40" i="5"/>
  <c r="J40" i="5" s="1"/>
  <c r="L40" i="5" s="1"/>
  <c r="O2557" i="246" s="1"/>
  <c r="R2557" i="246" s="1"/>
  <c r="P39" i="5"/>
  <c r="J39" i="5" s="1"/>
  <c r="L39" i="5" s="1"/>
  <c r="P32" i="5"/>
  <c r="J32" i="5" s="1"/>
  <c r="L32" i="5" s="1"/>
  <c r="P31" i="5"/>
  <c r="J31" i="5" s="1"/>
  <c r="L31" i="5" s="1"/>
  <c r="P27" i="5"/>
  <c r="J27" i="5" s="1"/>
  <c r="L27" i="5" s="1"/>
  <c r="P26" i="5"/>
  <c r="P25" i="5"/>
  <c r="J25" i="5" s="1"/>
  <c r="L25" i="5" s="1"/>
  <c r="P24" i="5"/>
  <c r="P23" i="5"/>
  <c r="P22" i="5"/>
  <c r="J22" i="5" s="1"/>
  <c r="L22" i="5" s="1"/>
  <c r="P21" i="5"/>
  <c r="J21" i="5" s="1"/>
  <c r="L21" i="5" s="1"/>
  <c r="P17" i="5"/>
  <c r="J17" i="5" s="1"/>
  <c r="P16" i="5"/>
  <c r="P15" i="5"/>
  <c r="P14" i="5"/>
  <c r="P13" i="5"/>
  <c r="P12" i="5"/>
  <c r="J12" i="5" s="1"/>
  <c r="L12" i="5" s="1"/>
  <c r="P11" i="5"/>
  <c r="P10" i="5"/>
  <c r="J10" i="5" s="1"/>
  <c r="L10" i="5" s="1"/>
  <c r="P5" i="5"/>
  <c r="L36" i="26" s="1"/>
  <c r="D16" i="1"/>
  <c r="D20" i="1"/>
  <c r="D58" i="1"/>
  <c r="D59" i="1"/>
  <c r="R59" i="1" s="1"/>
  <c r="D63" i="1"/>
  <c r="D208" i="1"/>
  <c r="M208" i="1"/>
  <c r="D114" i="1"/>
  <c r="D115" i="1"/>
  <c r="R115" i="1" s="1"/>
  <c r="R129" i="1"/>
  <c r="R132" i="1"/>
  <c r="R133" i="1"/>
  <c r="R134" i="1"/>
  <c r="R135" i="1"/>
  <c r="R139" i="1"/>
  <c r="R140" i="1"/>
  <c r="R149" i="1"/>
  <c r="R150" i="1"/>
  <c r="D577" i="1"/>
  <c r="D578" i="1"/>
  <c r="R578" i="1" s="1"/>
  <c r="M583" i="1"/>
  <c r="D516" i="1"/>
  <c r="D517" i="1"/>
  <c r="R517" i="1" s="1"/>
  <c r="D520" i="1"/>
  <c r="M523" i="1"/>
  <c r="D795" i="1"/>
  <c r="D796" i="1"/>
  <c r="R796" i="1" s="1"/>
  <c r="D799" i="1"/>
  <c r="D881" i="1"/>
  <c r="K881" i="1"/>
  <c r="D882" i="1"/>
  <c r="K882" i="1"/>
  <c r="K883" i="1"/>
  <c r="K884" i="1"/>
  <c r="D1872" i="1"/>
  <c r="D1873" i="1"/>
  <c r="D1874" i="1"/>
  <c r="D1875" i="1"/>
  <c r="D1876" i="1"/>
  <c r="D1903" i="1"/>
  <c r="D1904" i="1"/>
  <c r="D1905" i="1"/>
  <c r="D1906" i="1"/>
  <c r="D1907" i="1"/>
  <c r="D1924" i="1"/>
  <c r="D1925" i="1"/>
  <c r="D1928" i="1"/>
  <c r="M1931" i="1"/>
  <c r="D1937" i="1"/>
  <c r="D2007" i="1"/>
  <c r="D2008" i="1"/>
  <c r="D2011" i="1"/>
  <c r="M2014" i="1"/>
  <c r="D2032" i="1"/>
  <c r="R2032" i="1" s="1"/>
  <c r="D2173" i="1"/>
  <c r="D2174" i="1"/>
  <c r="D2177" i="1"/>
  <c r="M2180" i="1"/>
  <c r="D2212" i="1"/>
  <c r="D2213" i="1"/>
  <c r="D2216" i="1"/>
  <c r="M2219" i="1"/>
  <c r="D2222" i="1"/>
  <c r="D2340" i="1"/>
  <c r="D2341" i="1"/>
  <c r="D2344" i="1"/>
  <c r="M2347" i="1"/>
  <c r="D2350" i="1"/>
  <c r="D2351" i="1"/>
  <c r="D2352" i="1"/>
  <c r="D2353" i="1"/>
  <c r="D2376" i="1"/>
  <c r="D2377" i="1"/>
  <c r="D2378" i="1"/>
  <c r="D2400" i="1"/>
  <c r="D2401" i="1"/>
  <c r="D2402" i="1"/>
  <c r="D2403" i="1"/>
  <c r="D1098" i="1"/>
  <c r="D1099" i="1"/>
  <c r="D1100" i="1"/>
  <c r="D1101" i="1"/>
  <c r="D1102" i="1"/>
  <c r="D1145" i="1"/>
  <c r="D1146" i="1"/>
  <c r="D1147" i="1"/>
  <c r="D1148" i="1"/>
  <c r="D1149" i="1"/>
  <c r="D1172" i="1"/>
  <c r="D1173" i="1"/>
  <c r="D1174" i="1"/>
  <c r="D1241" i="1"/>
  <c r="D1242" i="1"/>
  <c r="D1243" i="1"/>
  <c r="D1244" i="1"/>
  <c r="D1278" i="1"/>
  <c r="D1279" i="1"/>
  <c r="D1282" i="1"/>
  <c r="M1285" i="1"/>
  <c r="D1288" i="1"/>
  <c r="D1289" i="1"/>
  <c r="D1290" i="1"/>
  <c r="D1294" i="1"/>
  <c r="D1298" i="1"/>
  <c r="D2579" i="1"/>
  <c r="D2583" i="1"/>
  <c r="D2666" i="1" s="1"/>
  <c r="M2586" i="1"/>
  <c r="D2597" i="1"/>
  <c r="D2598" i="1"/>
  <c r="D2599" i="1"/>
  <c r="D2600" i="1"/>
  <c r="D2601" i="1"/>
  <c r="D2611" i="1"/>
  <c r="D2612" i="1"/>
  <c r="D2613" i="1"/>
  <c r="D2614" i="1"/>
  <c r="D2615" i="1"/>
  <c r="D2642" i="1"/>
  <c r="M2669" i="1"/>
  <c r="D2700" i="1"/>
  <c r="D2701" i="1"/>
  <c r="D2702" i="1"/>
  <c r="D2703" i="1"/>
  <c r="D2704" i="1"/>
  <c r="D2754" i="1"/>
  <c r="D2755" i="1"/>
  <c r="R2755" i="1" s="1"/>
  <c r="D2758" i="1"/>
  <c r="D2830" i="1"/>
  <c r="D2831" i="1"/>
  <c r="D2834"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4" i="4"/>
  <c r="F226" i="4"/>
  <c r="G226" i="4"/>
  <c r="H226" i="4"/>
  <c r="I226" i="4"/>
  <c r="F227" i="4"/>
  <c r="G227" i="4"/>
  <c r="H227" i="4"/>
  <c r="I227" i="4"/>
  <c r="F228" i="4"/>
  <c r="G228" i="4"/>
  <c r="H228" i="4"/>
  <c r="I228" i="4"/>
  <c r="J231" i="4"/>
  <c r="J232" i="4"/>
  <c r="E235" i="4"/>
  <c r="F235" i="4"/>
  <c r="G235" i="4"/>
  <c r="H235" i="4"/>
  <c r="I235" i="4"/>
  <c r="G245" i="4"/>
  <c r="C307" i="4"/>
  <c r="C312" i="4"/>
  <c r="C317" i="4"/>
  <c r="C322" i="4"/>
  <c r="C327" i="4"/>
  <c r="M406" i="4"/>
  <c r="G484" i="4"/>
  <c r="L1" i="5"/>
  <c r="M69" i="26"/>
  <c r="J35" i="26"/>
  <c r="J33" i="5" s="1"/>
  <c r="L33" i="5" s="1"/>
  <c r="J37" i="26"/>
  <c r="J42" i="26"/>
  <c r="L27" i="26"/>
  <c r="L41" i="26"/>
  <c r="L45" i="26"/>
  <c r="M18" i="26"/>
  <c r="M35" i="26"/>
  <c r="J31" i="26"/>
  <c r="J243" i="5" s="1"/>
  <c r="L243" i="5" s="1"/>
  <c r="F124" i="80"/>
  <c r="J81" i="26"/>
  <c r="I12" i="89"/>
  <c r="L73" i="26"/>
  <c r="J82" i="26"/>
  <c r="J72" i="26"/>
  <c r="L81" i="26"/>
  <c r="M59" i="26"/>
  <c r="M36" i="26"/>
  <c r="M39" i="26"/>
  <c r="M83" i="26"/>
  <c r="M40" i="26"/>
  <c r="M94" i="26"/>
  <c r="M89" i="26"/>
  <c r="M86" i="26"/>
  <c r="M75" i="26"/>
  <c r="M66" i="26"/>
  <c r="M74" i="26"/>
  <c r="M92" i="26"/>
  <c r="L82" i="26"/>
  <c r="L91" i="26"/>
  <c r="L57" i="26"/>
  <c r="L52" i="26"/>
  <c r="L43" i="26"/>
  <c r="L95" i="26"/>
  <c r="L79" i="26"/>
  <c r="L77" i="26"/>
  <c r="L71" i="26"/>
  <c r="L78" i="26"/>
  <c r="L80" i="26"/>
  <c r="L70" i="26"/>
  <c r="O2532" i="246" l="1"/>
  <c r="R2532" i="246" s="1"/>
  <c r="C53" i="248"/>
  <c r="E53" i="248"/>
  <c r="F90" i="80"/>
  <c r="E64" i="248"/>
  <c r="C64" i="248"/>
  <c r="O1205" i="246"/>
  <c r="R1205" i="246" s="1"/>
  <c r="O2621" i="246"/>
  <c r="R2621" i="246" s="1"/>
  <c r="C105" i="248"/>
  <c r="E105" i="248"/>
  <c r="O2633" i="246"/>
  <c r="R2633" i="246" s="1"/>
  <c r="E116" i="248"/>
  <c r="C116" i="248"/>
  <c r="O2577" i="246"/>
  <c r="R2577" i="246" s="1"/>
  <c r="C81" i="248"/>
  <c r="E81" i="248"/>
  <c r="O2581" i="246"/>
  <c r="R2581" i="246" s="1"/>
  <c r="C85" i="248"/>
  <c r="E85" i="248"/>
  <c r="O2533" i="246"/>
  <c r="R2533" i="246" s="1"/>
  <c r="O2561" i="246"/>
  <c r="R2561" i="246" s="1"/>
  <c r="C54" i="248"/>
  <c r="E54" i="248"/>
  <c r="E58" i="248"/>
  <c r="C58" i="248"/>
  <c r="E61" i="248"/>
  <c r="C61" i="248"/>
  <c r="C65" i="248"/>
  <c r="E65" i="248"/>
  <c r="C71" i="248"/>
  <c r="E71" i="248"/>
  <c r="C75" i="248"/>
  <c r="E75" i="248"/>
  <c r="M743" i="1"/>
  <c r="S743" i="1" s="1"/>
  <c r="M741" i="1"/>
  <c r="S741" i="1" s="1"/>
  <c r="C92" i="248"/>
  <c r="E92" i="248"/>
  <c r="M2769" i="1"/>
  <c r="D95" i="234" s="1"/>
  <c r="C102" i="248"/>
  <c r="E102" i="248"/>
  <c r="E110" i="248"/>
  <c r="C110" i="248"/>
  <c r="C114" i="248"/>
  <c r="E114" i="248"/>
  <c r="O2530" i="246"/>
  <c r="R2530" i="246" s="1"/>
  <c r="O2576" i="246"/>
  <c r="R2576" i="246" s="1"/>
  <c r="C80" i="248"/>
  <c r="E80" i="248"/>
  <c r="O2529" i="246"/>
  <c r="R2529" i="246" s="1"/>
  <c r="O2582" i="246"/>
  <c r="R2582" i="246" s="1"/>
  <c r="C86" i="248"/>
  <c r="E86" i="248"/>
  <c r="C109" i="248"/>
  <c r="E109" i="248"/>
  <c r="M2772" i="1"/>
  <c r="R2772" i="1" s="1"/>
  <c r="C107" i="248"/>
  <c r="E107" i="248"/>
  <c r="O2636" i="246"/>
  <c r="R2636" i="246" s="1"/>
  <c r="C119" i="248"/>
  <c r="E119" i="248"/>
  <c r="O2531" i="246"/>
  <c r="R2531" i="246" s="1"/>
  <c r="E100" i="248"/>
  <c r="C100" i="248"/>
  <c r="O2635" i="246"/>
  <c r="R2635" i="246" s="1"/>
  <c r="C118" i="248"/>
  <c r="E118" i="248"/>
  <c r="O2579" i="246"/>
  <c r="R2579" i="246" s="1"/>
  <c r="C83" i="248"/>
  <c r="E83" i="248"/>
  <c r="O2575" i="246"/>
  <c r="R2575" i="246" s="1"/>
  <c r="C79" i="248"/>
  <c r="E79" i="248"/>
  <c r="C67" i="248"/>
  <c r="E67" i="248"/>
  <c r="O2583" i="246"/>
  <c r="R2583" i="246" s="1"/>
  <c r="C87" i="248"/>
  <c r="E87" i="248"/>
  <c r="C74" i="248"/>
  <c r="E74" i="248"/>
  <c r="E89" i="248"/>
  <c r="C89" i="248"/>
  <c r="C101" i="248"/>
  <c r="E101" i="248"/>
  <c r="F87" i="80"/>
  <c r="C59" i="248"/>
  <c r="E59" i="248"/>
  <c r="E62" i="248"/>
  <c r="C62" i="248"/>
  <c r="F92" i="80"/>
  <c r="E72" i="248"/>
  <c r="C72" i="248"/>
  <c r="M742" i="1"/>
  <c r="S742" i="1" s="1"/>
  <c r="C103" i="248"/>
  <c r="E103" i="248"/>
  <c r="F101" i="80"/>
  <c r="C111" i="248"/>
  <c r="E111" i="248"/>
  <c r="C60" i="248"/>
  <c r="E60" i="248"/>
  <c r="C63" i="248"/>
  <c r="E63" i="248"/>
  <c r="O1135" i="246"/>
  <c r="R1135" i="246" s="1"/>
  <c r="C69" i="248"/>
  <c r="E69" i="248"/>
  <c r="F93" i="80"/>
  <c r="C73" i="248"/>
  <c r="E73" i="248"/>
  <c r="O2573" i="246"/>
  <c r="R2573" i="246" s="1"/>
  <c r="C77" i="248"/>
  <c r="E77" i="248"/>
  <c r="O1204" i="246"/>
  <c r="R1204" i="246" s="1"/>
  <c r="O1196" i="246"/>
  <c r="R1196" i="246" s="1"/>
  <c r="C90" i="248"/>
  <c r="E90" i="248"/>
  <c r="M2770" i="1"/>
  <c r="R2770" i="1" s="1"/>
  <c r="E104" i="248"/>
  <c r="C104" i="248"/>
  <c r="C99" i="248"/>
  <c r="E99" i="248"/>
  <c r="O2634" i="246"/>
  <c r="R2634" i="246" s="1"/>
  <c r="C117" i="248"/>
  <c r="E117" i="248"/>
  <c r="O2578" i="246"/>
  <c r="R2578" i="246" s="1"/>
  <c r="E82" i="248"/>
  <c r="C82" i="248"/>
  <c r="E98" i="248"/>
  <c r="C98" i="248"/>
  <c r="O2580" i="246"/>
  <c r="R2580" i="246" s="1"/>
  <c r="E84" i="248"/>
  <c r="C84" i="248"/>
  <c r="O2072" i="1"/>
  <c r="O2421" i="1"/>
  <c r="D1626" i="246"/>
  <c r="D1692" i="1"/>
  <c r="M2427" i="1"/>
  <c r="O2360" i="246"/>
  <c r="R2360" i="246" s="1"/>
  <c r="M2426" i="1"/>
  <c r="O2359" i="246"/>
  <c r="J223" i="5"/>
  <c r="L223" i="5" s="1"/>
  <c r="O2216" i="246" s="1"/>
  <c r="R1431" i="246"/>
  <c r="S1431" i="246"/>
  <c r="G383" i="4"/>
  <c r="O2473" i="1"/>
  <c r="I17" i="89"/>
  <c r="J17" i="89"/>
  <c r="G469" i="4"/>
  <c r="O2448" i="1"/>
  <c r="M50" i="26"/>
  <c r="M44" i="26"/>
  <c r="L56" i="26"/>
  <c r="L53" i="26"/>
  <c r="O1444" i="1"/>
  <c r="O1651" i="1"/>
  <c r="O1599" i="246"/>
  <c r="R1587" i="246"/>
  <c r="M1670" i="1"/>
  <c r="R1670" i="1" s="1"/>
  <c r="O1604" i="246"/>
  <c r="O1621" i="246"/>
  <c r="M1677" i="1"/>
  <c r="R1677" i="1" s="1"/>
  <c r="O1611" i="246"/>
  <c r="R1653" i="1"/>
  <c r="M1665" i="1"/>
  <c r="M1687" i="1"/>
  <c r="M1470" i="1"/>
  <c r="S1470" i="1" s="1"/>
  <c r="L51" i="26"/>
  <c r="M47" i="26"/>
  <c r="A47" i="26" s="1"/>
  <c r="O1416" i="246"/>
  <c r="M1463" i="1"/>
  <c r="S1463" i="1" s="1"/>
  <c r="O1424" i="246"/>
  <c r="M1455" i="1"/>
  <c r="J93" i="5"/>
  <c r="L93" i="5" s="1"/>
  <c r="M37" i="26"/>
  <c r="M32" i="26"/>
  <c r="L38" i="26"/>
  <c r="M2794" i="1"/>
  <c r="R2794" i="1" s="1"/>
  <c r="M2726" i="246"/>
  <c r="R2726" i="246" s="1"/>
  <c r="M2725" i="1"/>
  <c r="R2725" i="1" s="1"/>
  <c r="O2657" i="246"/>
  <c r="R2657" i="246" s="1"/>
  <c r="M1266" i="1"/>
  <c r="R1266" i="1" s="1"/>
  <c r="O1227" i="246"/>
  <c r="R1227" i="246" s="1"/>
  <c r="M2793" i="1"/>
  <c r="R2793" i="1" s="1"/>
  <c r="M2725" i="246"/>
  <c r="R2446" i="246"/>
  <c r="R2513" i="1"/>
  <c r="M2616" i="1"/>
  <c r="R2616" i="1" s="1"/>
  <c r="O2548" i="246"/>
  <c r="R2548" i="246" s="1"/>
  <c r="O533" i="246"/>
  <c r="M1103" i="1"/>
  <c r="R1103" i="1" s="1"/>
  <c r="O1064" i="246"/>
  <c r="R1064" i="246" s="1"/>
  <c r="M532" i="1"/>
  <c r="J199" i="5"/>
  <c r="J247" i="5"/>
  <c r="L247" i="5" s="1"/>
  <c r="O1712" i="246"/>
  <c r="R1712" i="246" s="1"/>
  <c r="M1778" i="1"/>
  <c r="R1778" i="1" s="1"/>
  <c r="M1787" i="1"/>
  <c r="O1721" i="246"/>
  <c r="O1748" i="246"/>
  <c r="M1814" i="1"/>
  <c r="M1823" i="1"/>
  <c r="S1823" i="1" s="1"/>
  <c r="M1818" i="1" s="1"/>
  <c r="O1757" i="246"/>
  <c r="S1757" i="246" s="1"/>
  <c r="O1752" i="246" s="1"/>
  <c r="M739" i="1"/>
  <c r="R741" i="1"/>
  <c r="O726" i="1"/>
  <c r="O1095" i="1"/>
  <c r="O1139" i="1"/>
  <c r="O1259" i="246"/>
  <c r="R1259" i="246" s="1"/>
  <c r="E5" i="248"/>
  <c r="G40" i="248" s="1"/>
  <c r="O1845" i="1"/>
  <c r="O1068" i="1"/>
  <c r="O1037" i="246"/>
  <c r="R1037" i="246" s="1"/>
  <c r="M1076" i="1"/>
  <c r="M2638" i="1"/>
  <c r="J174" i="5"/>
  <c r="L174" i="5" s="1"/>
  <c r="M2127" i="1" s="1"/>
  <c r="J332" i="5"/>
  <c r="L332" i="5" s="1"/>
  <c r="G16" i="229" s="1"/>
  <c r="J348" i="5"/>
  <c r="O1108" i="246"/>
  <c r="R1108" i="246" s="1"/>
  <c r="O1109" i="246"/>
  <c r="R1109" i="246" s="1"/>
  <c r="O1110" i="246"/>
  <c r="R1110" i="246" s="1"/>
  <c r="O1763" i="1"/>
  <c r="O1410" i="1"/>
  <c r="H505" i="4"/>
  <c r="O1318" i="246"/>
  <c r="R1318" i="246" s="1"/>
  <c r="M1423" i="1"/>
  <c r="O1384" i="246"/>
  <c r="R1384" i="246" s="1"/>
  <c r="M1536" i="246"/>
  <c r="M1596" i="1"/>
  <c r="M1537" i="246"/>
  <c r="M1597" i="1"/>
  <c r="H1529" i="246"/>
  <c r="H1589" i="1"/>
  <c r="J1529" i="246"/>
  <c r="J1589" i="1"/>
  <c r="K1529" i="246"/>
  <c r="K1589" i="1"/>
  <c r="K1537" i="246"/>
  <c r="K1597" i="1"/>
  <c r="H1536" i="246"/>
  <c r="H1596" i="1"/>
  <c r="H1537" i="246"/>
  <c r="H1597" i="1"/>
  <c r="J1536" i="246"/>
  <c r="J1596" i="1"/>
  <c r="J1537" i="246"/>
  <c r="J1597" i="1"/>
  <c r="K1536" i="246"/>
  <c r="K1596" i="1"/>
  <c r="M2792" i="1"/>
  <c r="R2792" i="1" s="1"/>
  <c r="M2724" i="246"/>
  <c r="R2724" i="246" s="1"/>
  <c r="M2565" i="1"/>
  <c r="M2497" i="246"/>
  <c r="R2769" i="1"/>
  <c r="M2789" i="1"/>
  <c r="M2721" i="246"/>
  <c r="O2612" i="246"/>
  <c r="R2612" i="246" s="1"/>
  <c r="M2679" i="1"/>
  <c r="H91" i="234" s="1"/>
  <c r="M2776" i="1"/>
  <c r="R2776" i="1" s="1"/>
  <c r="M2708" i="246"/>
  <c r="R2708" i="246" s="1"/>
  <c r="O440" i="1"/>
  <c r="O438" i="246"/>
  <c r="M2160" i="1"/>
  <c r="O2093" i="246"/>
  <c r="R2093" i="246" s="1"/>
  <c r="O2085" i="246"/>
  <c r="R2085" i="246" s="1"/>
  <c r="M2152" i="1"/>
  <c r="M693" i="1"/>
  <c r="O695" i="246"/>
  <c r="R695" i="246" s="1"/>
  <c r="O2086" i="246"/>
  <c r="R2086" i="246" s="1"/>
  <c r="M2153" i="1"/>
  <c r="O2059" i="246"/>
  <c r="R2059" i="246" s="1"/>
  <c r="M2126" i="1"/>
  <c r="O684" i="246"/>
  <c r="M682" i="1"/>
  <c r="C412" i="1"/>
  <c r="O741" i="246"/>
  <c r="R741" i="246" s="1"/>
  <c r="O707" i="246"/>
  <c r="R707" i="246" s="1"/>
  <c r="F89" i="80"/>
  <c r="O2567" i="246"/>
  <c r="R2567" i="246" s="1"/>
  <c r="F91" i="80"/>
  <c r="O2570" i="246"/>
  <c r="R2570" i="246" s="1"/>
  <c r="O2656" i="246"/>
  <c r="R2656" i="246" s="1"/>
  <c r="O745" i="246"/>
  <c r="O1224" i="246"/>
  <c r="R1224" i="246" s="1"/>
  <c r="O743" i="246"/>
  <c r="O1225" i="246"/>
  <c r="R1225" i="246" s="1"/>
  <c r="O2651" i="246"/>
  <c r="F100" i="80"/>
  <c r="O2628" i="246"/>
  <c r="R2628" i="246" s="1"/>
  <c r="O1060" i="246"/>
  <c r="R1060" i="246" s="1"/>
  <c r="O2544" i="246"/>
  <c r="R2544" i="246" s="1"/>
  <c r="R2720" i="246"/>
  <c r="O1194" i="246"/>
  <c r="O2652" i="246"/>
  <c r="R2652" i="246" s="1"/>
  <c r="O2654" i="246"/>
  <c r="R2654" i="246" s="1"/>
  <c r="O1226" i="246"/>
  <c r="R1226" i="246" s="1"/>
  <c r="O744" i="246"/>
  <c r="F96" i="80"/>
  <c r="O2619" i="246"/>
  <c r="R2619" i="246" s="1"/>
  <c r="F98" i="80"/>
  <c r="M2704" i="246"/>
  <c r="R2704" i="246" s="1"/>
  <c r="O1062" i="246"/>
  <c r="R1062" i="246" s="1"/>
  <c r="O2546" i="246"/>
  <c r="R2546" i="246" s="1"/>
  <c r="O1063" i="246"/>
  <c r="R1063" i="246" s="1"/>
  <c r="O2547" i="246"/>
  <c r="R2547" i="246" s="1"/>
  <c r="F85" i="80"/>
  <c r="O2559" i="246"/>
  <c r="R2559" i="246" s="1"/>
  <c r="O2571" i="246"/>
  <c r="R2571" i="246" s="1"/>
  <c r="O2610" i="246"/>
  <c r="R2610" i="246" s="1"/>
  <c r="M2678" i="1"/>
  <c r="F99" i="80"/>
  <c r="O2626" i="246"/>
  <c r="R2626" i="246" s="1"/>
  <c r="O1061" i="246"/>
  <c r="R1061" i="246" s="1"/>
  <c r="O2545" i="246"/>
  <c r="R2545" i="246" s="1"/>
  <c r="F95" i="80"/>
  <c r="M2701" i="246"/>
  <c r="R2701" i="246" s="1"/>
  <c r="O2618" i="246"/>
  <c r="R2618" i="246" s="1"/>
  <c r="O1202" i="246"/>
  <c r="F86" i="80"/>
  <c r="O2565" i="246"/>
  <c r="R2565" i="246" s="1"/>
  <c r="F103" i="80"/>
  <c r="O2631" i="246"/>
  <c r="R2631" i="246" s="1"/>
  <c r="O1133" i="246"/>
  <c r="F88" i="80"/>
  <c r="O2566" i="246"/>
  <c r="R2566" i="246" s="1"/>
  <c r="M2677" i="1"/>
  <c r="O2609" i="246"/>
  <c r="R2609" i="246" s="1"/>
  <c r="F97" i="80"/>
  <c r="O2620" i="246"/>
  <c r="R2620" i="246" s="1"/>
  <c r="M2702" i="246"/>
  <c r="R2702" i="246" s="1"/>
  <c r="I305" i="242"/>
  <c r="K207" i="242"/>
  <c r="K305" i="242" s="1"/>
  <c r="K14" i="242" s="1"/>
  <c r="U207" i="242"/>
  <c r="I15" i="89"/>
  <c r="I168" i="242"/>
  <c r="O1107" i="246"/>
  <c r="R1107" i="246" s="1"/>
  <c r="O2543" i="246"/>
  <c r="O1059" i="246"/>
  <c r="I127" i="242"/>
  <c r="K90" i="242"/>
  <c r="K127" i="242" s="1"/>
  <c r="U90" i="242"/>
  <c r="Z277" i="89"/>
  <c r="AB277" i="89" s="1"/>
  <c r="AC277" i="89" s="1"/>
  <c r="Z283" i="89"/>
  <c r="AB283" i="89" s="1"/>
  <c r="AC283" i="89" s="1"/>
  <c r="Z276" i="89"/>
  <c r="AB276" i="89" s="1"/>
  <c r="AC276" i="89" s="1"/>
  <c r="Z157" i="89"/>
  <c r="AB157" i="89" s="1"/>
  <c r="AC157" i="89" s="1"/>
  <c r="Z156" i="89"/>
  <c r="AB156" i="89" s="1"/>
  <c r="AC156" i="89" s="1"/>
  <c r="Z275" i="89"/>
  <c r="AB275" i="89" s="1"/>
  <c r="AC275" i="89" s="1"/>
  <c r="Z199" i="89"/>
  <c r="AB199" i="89" s="1"/>
  <c r="K226" i="89"/>
  <c r="Z274" i="89"/>
  <c r="AB274" i="89" s="1"/>
  <c r="AC274" i="89" s="1"/>
  <c r="K370" i="89"/>
  <c r="Z281" i="89"/>
  <c r="AB281" i="89" s="1"/>
  <c r="AC281" i="89" s="1"/>
  <c r="Z233" i="89"/>
  <c r="AB233" i="89" s="1"/>
  <c r="AB265" i="89" s="1"/>
  <c r="K265" i="89"/>
  <c r="Z282" i="89"/>
  <c r="AB282" i="89" s="1"/>
  <c r="AC282" i="89" s="1"/>
  <c r="Z284" i="89"/>
  <c r="AB284" i="89" s="1"/>
  <c r="AC284" i="89" s="1"/>
  <c r="Z172" i="89"/>
  <c r="AB172" i="89" s="1"/>
  <c r="AC172" i="89" s="1"/>
  <c r="Z164" i="89"/>
  <c r="AB164" i="89" s="1"/>
  <c r="AC164" i="89" s="1"/>
  <c r="Z160" i="89"/>
  <c r="AB160" i="89" s="1"/>
  <c r="AC160" i="89" s="1"/>
  <c r="Z171" i="89"/>
  <c r="AB171" i="89" s="1"/>
  <c r="AC171" i="89" s="1"/>
  <c r="Z167" i="89"/>
  <c r="AB167" i="89" s="1"/>
  <c r="AC167" i="89" s="1"/>
  <c r="Z163" i="89"/>
  <c r="AB163" i="89" s="1"/>
  <c r="AC163" i="89" s="1"/>
  <c r="Z159" i="89"/>
  <c r="AB159" i="89" s="1"/>
  <c r="AC159" i="89" s="1"/>
  <c r="Z173" i="89"/>
  <c r="AB173" i="89" s="1"/>
  <c r="AC173" i="89" s="1"/>
  <c r="Z169" i="89"/>
  <c r="AB169" i="89" s="1"/>
  <c r="AC169" i="89" s="1"/>
  <c r="Z165" i="89"/>
  <c r="AB165" i="89" s="1"/>
  <c r="AC165" i="89" s="1"/>
  <c r="Z161" i="89"/>
  <c r="AB161" i="89" s="1"/>
  <c r="AC161" i="89" s="1"/>
  <c r="Z168" i="89"/>
  <c r="AB168" i="89" s="1"/>
  <c r="AC168" i="89" s="1"/>
  <c r="Z190" i="89"/>
  <c r="AB190" i="89" s="1"/>
  <c r="AC190" i="89" s="1"/>
  <c r="Z170" i="89"/>
  <c r="AB170" i="89" s="1"/>
  <c r="AC170" i="89" s="1"/>
  <c r="Z166" i="89"/>
  <c r="AB166" i="89" s="1"/>
  <c r="AC166" i="89" s="1"/>
  <c r="Z162" i="89"/>
  <c r="AB162" i="89" s="1"/>
  <c r="AC162" i="89" s="1"/>
  <c r="Z158" i="89"/>
  <c r="AB158" i="89" s="1"/>
  <c r="AC158" i="89" s="1"/>
  <c r="K192" i="89"/>
  <c r="G19" i="240"/>
  <c r="H6" i="240"/>
  <c r="Q2" i="5"/>
  <c r="O3559" i="1"/>
  <c r="O2903" i="1"/>
  <c r="O2986" i="1"/>
  <c r="O3314" i="1"/>
  <c r="O3642" i="1"/>
  <c r="O3231" i="1"/>
  <c r="I42" i="4"/>
  <c r="M1147" i="1"/>
  <c r="M1146" i="1"/>
  <c r="M1149" i="1"/>
  <c r="M1148" i="1"/>
  <c r="L20" i="26"/>
  <c r="L22" i="26"/>
  <c r="J355" i="5"/>
  <c r="J354" i="5"/>
  <c r="J14" i="5"/>
  <c r="L14" i="5" s="1"/>
  <c r="J15" i="5"/>
  <c r="L15" i="5" s="1"/>
  <c r="L15" i="26"/>
  <c r="L24" i="26"/>
  <c r="L21" i="26"/>
  <c r="L29" i="26"/>
  <c r="L65" i="26"/>
  <c r="M2688" i="1"/>
  <c r="L17" i="26"/>
  <c r="L59" i="26"/>
  <c r="A59" i="26" s="1"/>
  <c r="L63" i="26"/>
  <c r="M78" i="26"/>
  <c r="A78" i="26" s="1"/>
  <c r="M84" i="26"/>
  <c r="A84" i="26" s="1"/>
  <c r="L31" i="26"/>
  <c r="M62" i="26"/>
  <c r="A62" i="26" s="1"/>
  <c r="L48" i="26"/>
  <c r="L75" i="26"/>
  <c r="A75" i="26" s="1"/>
  <c r="M91" i="26"/>
  <c r="A91" i="26" s="1"/>
  <c r="M85" i="26"/>
  <c r="A85" i="26" s="1"/>
  <c r="L69" i="26"/>
  <c r="A69" i="26" s="1"/>
  <c r="J187" i="5"/>
  <c r="M79" i="26"/>
  <c r="A79" i="26" s="1"/>
  <c r="M81" i="26"/>
  <c r="A81" i="26" s="1"/>
  <c r="L61" i="26"/>
  <c r="M82" i="26"/>
  <c r="A82" i="26" s="1"/>
  <c r="L87" i="26"/>
  <c r="A87" i="26" s="1"/>
  <c r="M88" i="26"/>
  <c r="A88" i="26" s="1"/>
  <c r="M53" i="26"/>
  <c r="L50" i="26"/>
  <c r="A50" i="26" s="1"/>
  <c r="M73" i="26"/>
  <c r="A73" i="26" s="1"/>
  <c r="L72" i="26"/>
  <c r="A72" i="26" s="1"/>
  <c r="L26" i="26"/>
  <c r="L33" i="26"/>
  <c r="M70" i="26"/>
  <c r="A70" i="26" s="1"/>
  <c r="L90" i="26"/>
  <c r="A90" i="26" s="1"/>
  <c r="H6" i="230"/>
  <c r="H6" i="229"/>
  <c r="J111" i="5"/>
  <c r="L111" i="5" s="1"/>
  <c r="J147" i="5"/>
  <c r="L147" i="5" s="1"/>
  <c r="O1254" i="246" s="1"/>
  <c r="R1254" i="246" s="1"/>
  <c r="M1292" i="1"/>
  <c r="R1292" i="1" s="1"/>
  <c r="J198" i="5"/>
  <c r="E130" i="231"/>
  <c r="M30" i="26"/>
  <c r="M22" i="26"/>
  <c r="M46" i="26"/>
  <c r="M56" i="26"/>
  <c r="A56" i="26" s="1"/>
  <c r="J190" i="5"/>
  <c r="M1298" i="1"/>
  <c r="M1235" i="1"/>
  <c r="M25" i="26"/>
  <c r="M27" i="26"/>
  <c r="A27" i="26" s="1"/>
  <c r="J13" i="89"/>
  <c r="I13" i="89"/>
  <c r="J189" i="5"/>
  <c r="H6" i="206"/>
  <c r="S12" i="89"/>
  <c r="L19" i="26"/>
  <c r="M34" i="26"/>
  <c r="M28" i="26"/>
  <c r="J197" i="5"/>
  <c r="L197" i="5" s="1"/>
  <c r="M31" i="26"/>
  <c r="L23" i="26"/>
  <c r="J49" i="5"/>
  <c r="L49" i="5" s="1"/>
  <c r="J205" i="5"/>
  <c r="J150" i="5"/>
  <c r="L150" i="5" s="1"/>
  <c r="O1257" i="246" s="1"/>
  <c r="R1257" i="246" s="1"/>
  <c r="J120" i="5"/>
  <c r="L120" i="5" s="1"/>
  <c r="J182" i="5"/>
  <c r="L182" i="5" s="1"/>
  <c r="L18" i="26"/>
  <c r="A18" i="26" s="1"/>
  <c r="M15" i="26"/>
  <c r="C25" i="170"/>
  <c r="C32" i="170"/>
  <c r="D2104" i="1"/>
  <c r="M1233" i="1"/>
  <c r="T13" i="89"/>
  <c r="S13" i="89"/>
  <c r="L13" i="89"/>
  <c r="I16" i="89"/>
  <c r="J16" i="89"/>
  <c r="O1900" i="1"/>
  <c r="O1869" i="1"/>
  <c r="M19" i="80"/>
  <c r="M1265" i="1"/>
  <c r="M1263" i="1"/>
  <c r="M1264" i="1"/>
  <c r="D80" i="234" s="1"/>
  <c r="K1" i="192"/>
  <c r="K1" i="190"/>
  <c r="O1201" i="1"/>
  <c r="O1349" i="1"/>
  <c r="O2257" i="1"/>
  <c r="O2045" i="1"/>
  <c r="O2396" i="1"/>
  <c r="O1226" i="1"/>
  <c r="O1388" i="1"/>
  <c r="O2321" i="1"/>
  <c r="O2100" i="1"/>
  <c r="O1169" i="1"/>
  <c r="O2145" i="1"/>
  <c r="O1989" i="1"/>
  <c r="O2499" i="1"/>
  <c r="O2373" i="1"/>
  <c r="O2122" i="1"/>
  <c r="M1241" i="1"/>
  <c r="L126" i="5"/>
  <c r="L129" i="5"/>
  <c r="L170" i="5"/>
  <c r="M772" i="1" s="1"/>
  <c r="L17" i="5"/>
  <c r="L70" i="5"/>
  <c r="L390" i="5"/>
  <c r="L151" i="5"/>
  <c r="O1258" i="246" s="1"/>
  <c r="R1258" i="246" s="1"/>
  <c r="L64" i="5"/>
  <c r="L104" i="5"/>
  <c r="L122" i="5"/>
  <c r="L154" i="5"/>
  <c r="L105" i="5"/>
  <c r="L48" i="5"/>
  <c r="L389" i="5"/>
  <c r="L41" i="5"/>
  <c r="L127" i="5"/>
  <c r="L72" i="5"/>
  <c r="L50" i="5"/>
  <c r="L391" i="5"/>
  <c r="L62" i="5"/>
  <c r="H10" i="187"/>
  <c r="H52" i="187"/>
  <c r="H35" i="187"/>
  <c r="H83" i="187"/>
  <c r="H69" i="187"/>
  <c r="H10" i="178"/>
  <c r="H61" i="167"/>
  <c r="H44" i="167"/>
  <c r="H6" i="170"/>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M54" i="26"/>
  <c r="A54" i="26" s="1"/>
  <c r="M60" i="26"/>
  <c r="A60" i="26" s="1"/>
  <c r="L39" i="26"/>
  <c r="A39" i="26" s="1"/>
  <c r="L68" i="26"/>
  <c r="A68" i="26" s="1"/>
  <c r="M57" i="26"/>
  <c r="A57" i="26" s="1"/>
  <c r="M61" i="26"/>
  <c r="M52" i="26"/>
  <c r="A52" i="26" s="1"/>
  <c r="M63" i="26"/>
  <c r="M51" i="26"/>
  <c r="M38" i="26"/>
  <c r="M58" i="26"/>
  <c r="A58" i="26" s="1"/>
  <c r="M55" i="26"/>
  <c r="A55" i="26" s="1"/>
  <c r="L35" i="26"/>
  <c r="A35" i="26" s="1"/>
  <c r="L40" i="26"/>
  <c r="A40" i="26" s="1"/>
  <c r="M43" i="26"/>
  <c r="A43" i="26" s="1"/>
  <c r="M64" i="26"/>
  <c r="A64" i="26" s="1"/>
  <c r="M67" i="26"/>
  <c r="A67" i="26" s="1"/>
  <c r="J382" i="5"/>
  <c r="J363" i="5"/>
  <c r="J11" i="5"/>
  <c r="L11" i="5" s="1"/>
  <c r="J209" i="5"/>
  <c r="J276" i="5"/>
  <c r="L276" i="5" s="1"/>
  <c r="F76" i="80" s="1"/>
  <c r="M29" i="26"/>
  <c r="M23" i="26"/>
  <c r="M26" i="26"/>
  <c r="M24" i="26"/>
  <c r="A16" i="149"/>
  <c r="A15" i="149"/>
  <c r="L25" i="26"/>
  <c r="L28" i="26"/>
  <c r="M33" i="26"/>
  <c r="L32" i="26"/>
  <c r="A32" i="26" s="1"/>
  <c r="L34" i="26"/>
  <c r="L30" i="26"/>
  <c r="A20" i="149"/>
  <c r="A19" i="149"/>
  <c r="A17" i="149"/>
  <c r="J23" i="80"/>
  <c r="U19" i="80"/>
  <c r="U18" i="80"/>
  <c r="J231" i="5"/>
  <c r="L231" i="5" s="1"/>
  <c r="O1430" i="246" s="1"/>
  <c r="M2647" i="1"/>
  <c r="M2651" i="1"/>
  <c r="M21" i="26"/>
  <c r="M20" i="26"/>
  <c r="L16" i="26"/>
  <c r="M17" i="26"/>
  <c r="M19" i="26"/>
  <c r="J359" i="5"/>
  <c r="AA14" i="89"/>
  <c r="U15" i="80"/>
  <c r="U17" i="80"/>
  <c r="K1" i="136"/>
  <c r="T14" i="89"/>
  <c r="AA15" i="89"/>
  <c r="K14" i="89"/>
  <c r="K15" i="89"/>
  <c r="M2704" i="1"/>
  <c r="M2625" i="1"/>
  <c r="M2641" i="1"/>
  <c r="H101" i="234" s="1"/>
  <c r="M2689" i="1"/>
  <c r="M2702" i="1"/>
  <c r="M2634" i="1"/>
  <c r="M2648" i="1"/>
  <c r="M2649" i="1"/>
  <c r="M2699" i="1"/>
  <c r="M2701" i="1"/>
  <c r="M2646" i="1"/>
  <c r="M2645" i="1"/>
  <c r="M265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AA13" i="89"/>
  <c r="M16" i="26"/>
  <c r="J168" i="5"/>
  <c r="L168"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F414" i="4"/>
  <c r="F426" i="4"/>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45" i="4"/>
  <c r="O2669" i="1"/>
  <c r="O1285" i="1"/>
  <c r="O2014" i="1"/>
  <c r="O2586" i="1"/>
  <c r="O2523" i="1"/>
  <c r="J228" i="4"/>
  <c r="J235" i="4"/>
  <c r="D2108" i="1"/>
  <c r="H6" i="124"/>
  <c r="O2219" i="1"/>
  <c r="O523" i="1"/>
  <c r="N1" i="5"/>
  <c r="O2347" i="1"/>
  <c r="F399" i="4"/>
  <c r="O2180" i="1"/>
  <c r="O1931" i="1"/>
  <c r="O667" i="1"/>
  <c r="F111" i="4"/>
  <c r="O583" i="1"/>
  <c r="O2524" i="1"/>
  <c r="M2724" i="1"/>
  <c r="M2600" i="1"/>
  <c r="M2694" i="1"/>
  <c r="M2599" i="1"/>
  <c r="M1243" i="1"/>
  <c r="M2627" i="1"/>
  <c r="M2629" i="1"/>
  <c r="U16" i="80"/>
  <c r="U20" i="80"/>
  <c r="M2722" i="1"/>
  <c r="M2597" i="1"/>
  <c r="M2687" i="1"/>
  <c r="M2598" i="1"/>
  <c r="A93" i="26"/>
  <c r="M2615" i="1"/>
  <c r="M1102" i="1"/>
  <c r="M2601" i="1"/>
  <c r="M1100" i="1"/>
  <c r="M2613" i="1"/>
  <c r="M2719" i="1"/>
  <c r="O2522" i="1"/>
  <c r="E228" i="4"/>
  <c r="O2558" i="246" l="1"/>
  <c r="R2558" i="246" s="1"/>
  <c r="C52" i="248"/>
  <c r="E52" i="248"/>
  <c r="O2564" i="246"/>
  <c r="R2564" i="246" s="1"/>
  <c r="E57" i="248"/>
  <c r="C57" i="248"/>
  <c r="R742" i="1"/>
  <c r="M2723" i="246"/>
  <c r="R2723" i="246" s="1"/>
  <c r="C97" i="248"/>
  <c r="E97" i="248"/>
  <c r="O2625" i="246"/>
  <c r="R2625" i="246" s="1"/>
  <c r="E108" i="248"/>
  <c r="C108" i="248"/>
  <c r="O2632" i="246"/>
  <c r="R2632" i="246" s="1"/>
  <c r="C115" i="248"/>
  <c r="E115" i="248"/>
  <c r="O2574" i="246"/>
  <c r="R2574" i="246" s="1"/>
  <c r="E78" i="248"/>
  <c r="C78" i="248"/>
  <c r="O2562" i="246"/>
  <c r="R2562" i="246" s="1"/>
  <c r="C55" i="248"/>
  <c r="E55" i="248"/>
  <c r="O2613" i="246"/>
  <c r="R2613" i="246" s="1"/>
  <c r="E93" i="248"/>
  <c r="C93" i="248"/>
  <c r="O2572" i="246"/>
  <c r="R2572" i="246" s="1"/>
  <c r="E76" i="248"/>
  <c r="C76" i="248"/>
  <c r="E112" i="248"/>
  <c r="C112" i="248"/>
  <c r="C56" i="248"/>
  <c r="E56" i="248"/>
  <c r="R743" i="1"/>
  <c r="O1134" i="246"/>
  <c r="R1134" i="246" s="1"/>
  <c r="E68" i="248"/>
  <c r="C68" i="248"/>
  <c r="O2630" i="246"/>
  <c r="R2630" i="246" s="1"/>
  <c r="O2614" i="246"/>
  <c r="R2614" i="246" s="1"/>
  <c r="C94" i="248"/>
  <c r="E94" i="248"/>
  <c r="O2569" i="246"/>
  <c r="R2569" i="246" s="1"/>
  <c r="C70" i="248"/>
  <c r="E70" i="248"/>
  <c r="O2623" i="246"/>
  <c r="R2623" i="246" s="1"/>
  <c r="E106" i="248"/>
  <c r="C106" i="248"/>
  <c r="M2430" i="1"/>
  <c r="O2363" i="246"/>
  <c r="R2363" i="246" s="1"/>
  <c r="R2359" i="246"/>
  <c r="U2359" i="246"/>
  <c r="O2361" i="246"/>
  <c r="R2361" i="246" s="1"/>
  <c r="M2428" i="1"/>
  <c r="O2362" i="246"/>
  <c r="R2362" i="246" s="1"/>
  <c r="M2429" i="1"/>
  <c r="M2747" i="246"/>
  <c r="M2748" i="246"/>
  <c r="M2749" i="246"/>
  <c r="R2749" i="246" s="1"/>
  <c r="R2216" i="246"/>
  <c r="S2216" i="246"/>
  <c r="G11" i="170"/>
  <c r="M2283" i="1"/>
  <c r="R1626" i="246"/>
  <c r="R1692" i="1"/>
  <c r="M773" i="1"/>
  <c r="O775" i="246"/>
  <c r="R775" i="246" s="1"/>
  <c r="R1463" i="1"/>
  <c r="R1627" i="246"/>
  <c r="R1628" i="246"/>
  <c r="R1430" i="246"/>
  <c r="S1430" i="246"/>
  <c r="O1427" i="246" s="1"/>
  <c r="R1427" i="246" s="1"/>
  <c r="R1681" i="1"/>
  <c r="R1693" i="1"/>
  <c r="R1694" i="1"/>
  <c r="A37" i="26"/>
  <c r="P16" i="242"/>
  <c r="S17" i="89"/>
  <c r="Q19" i="89"/>
  <c r="D767" i="246"/>
  <c r="A53" i="26"/>
  <c r="O2445" i="246"/>
  <c r="R2445" i="246" s="1"/>
  <c r="A38" i="26"/>
  <c r="M2773" i="1"/>
  <c r="D91" i="234" s="1"/>
  <c r="M2791" i="1"/>
  <c r="R2791" i="1" s="1"/>
  <c r="A51" i="26"/>
  <c r="O2624" i="246"/>
  <c r="R2624" i="246" s="1"/>
  <c r="S1670" i="1"/>
  <c r="M1667" i="1" s="1"/>
  <c r="R1667" i="1" s="1"/>
  <c r="R1668" i="1" s="1"/>
  <c r="O767" i="246"/>
  <c r="S767" i="246" s="1"/>
  <c r="M765" i="1"/>
  <c r="S1677" i="1"/>
  <c r="R1604" i="246"/>
  <c r="S1604" i="246"/>
  <c r="O1601" i="246" s="1"/>
  <c r="R1601" i="246" s="1"/>
  <c r="R1611" i="246"/>
  <c r="S1611" i="246"/>
  <c r="M1666" i="1"/>
  <c r="S1666" i="1" s="1"/>
  <c r="O1600" i="246"/>
  <c r="R1580" i="246"/>
  <c r="R1598" i="246"/>
  <c r="R1630" i="246"/>
  <c r="R1625" i="246"/>
  <c r="R1597" i="246"/>
  <c r="R1619" i="246"/>
  <c r="R1585" i="246"/>
  <c r="R1616" i="246"/>
  <c r="R1577" i="246"/>
  <c r="R1595" i="246"/>
  <c r="R1579" i="246"/>
  <c r="R1592" i="246"/>
  <c r="R1581" i="246"/>
  <c r="R1591" i="246"/>
  <c r="R1588" i="246"/>
  <c r="R1593" i="246"/>
  <c r="R1615" i="246"/>
  <c r="R1589" i="246"/>
  <c r="R1590" i="246"/>
  <c r="R1620" i="246"/>
  <c r="R1582" i="246"/>
  <c r="R1617" i="246"/>
  <c r="R1578" i="246"/>
  <c r="R1596" i="246"/>
  <c r="R1629" i="246"/>
  <c r="R1623" i="246"/>
  <c r="R1594" i="246"/>
  <c r="R1624" i="246"/>
  <c r="R1586" i="246"/>
  <c r="R1621" i="246"/>
  <c r="R1583" i="246"/>
  <c r="R1618" i="246"/>
  <c r="R1584" i="246"/>
  <c r="R1622" i="246"/>
  <c r="R1599" i="246"/>
  <c r="S1599" i="246"/>
  <c r="O2655" i="246"/>
  <c r="R2655" i="246" s="1"/>
  <c r="M2512" i="1"/>
  <c r="O1223" i="246"/>
  <c r="O1220" i="246" s="1"/>
  <c r="S1220" i="246" s="1"/>
  <c r="M2705" i="246"/>
  <c r="R2705" i="246" s="1"/>
  <c r="M1262" i="1"/>
  <c r="M1259" i="1" s="1"/>
  <c r="S1259" i="1" s="1"/>
  <c r="T19" i="89"/>
  <c r="M2692" i="1"/>
  <c r="R1648" i="1"/>
  <c r="R1657" i="1"/>
  <c r="R1654" i="1"/>
  <c r="R1645" i="1"/>
  <c r="R1682" i="1"/>
  <c r="R1662" i="1"/>
  <c r="R1650" i="1"/>
  <c r="R1690" i="1"/>
  <c r="R1651" i="1"/>
  <c r="R1644" i="1"/>
  <c r="R1687" i="1"/>
  <c r="R1685" i="1"/>
  <c r="R1684" i="1"/>
  <c r="R1643" i="1"/>
  <c r="R1661" i="1"/>
  <c r="R1696" i="1"/>
  <c r="R1658" i="1"/>
  <c r="R1691" i="1"/>
  <c r="R1655" i="1"/>
  <c r="R1688" i="1"/>
  <c r="R1656" i="1"/>
  <c r="R1689" i="1"/>
  <c r="R1659" i="1"/>
  <c r="R1660" i="1"/>
  <c r="R1695" i="1"/>
  <c r="R1652" i="1"/>
  <c r="R1686" i="1"/>
  <c r="R1649" i="1"/>
  <c r="R1683" i="1"/>
  <c r="R1646" i="1"/>
  <c r="R1663" i="1"/>
  <c r="R1647" i="1"/>
  <c r="R1664" i="1"/>
  <c r="R1665" i="1"/>
  <c r="S1665" i="1"/>
  <c r="R1424" i="246"/>
  <c r="S1424" i="246"/>
  <c r="M1469" i="1"/>
  <c r="S1469" i="1" s="1"/>
  <c r="M1466" i="1" s="1"/>
  <c r="R1416" i="246"/>
  <c r="S1416" i="246"/>
  <c r="R1455" i="1"/>
  <c r="S1455" i="1"/>
  <c r="R2725" i="246"/>
  <c r="O2540" i="246"/>
  <c r="O1085" i="246"/>
  <c r="R1085" i="246" s="1"/>
  <c r="S1721" i="246"/>
  <c r="R1721" i="246"/>
  <c r="R1787" i="1"/>
  <c r="S1787" i="1"/>
  <c r="R1738" i="246"/>
  <c r="U1752" i="246"/>
  <c r="R1804" i="1"/>
  <c r="V1818" i="1"/>
  <c r="S772" i="1"/>
  <c r="R772" i="1"/>
  <c r="S739" i="1"/>
  <c r="R739" i="1"/>
  <c r="M753" i="1"/>
  <c r="S753" i="1" s="1"/>
  <c r="M1230" i="1"/>
  <c r="V739" i="1" s="1"/>
  <c r="O1038" i="246"/>
  <c r="R1038" i="246" s="1"/>
  <c r="M1077" i="1"/>
  <c r="I14" i="242"/>
  <c r="I306" i="242"/>
  <c r="R1622" i="1"/>
  <c r="R1563" i="246"/>
  <c r="R1557" i="246" s="1"/>
  <c r="O2060" i="246"/>
  <c r="R2060" i="246" s="1"/>
  <c r="O685" i="246"/>
  <c r="R685" i="246" s="1"/>
  <c r="M683" i="1"/>
  <c r="M1957" i="1"/>
  <c r="R1957" i="1" s="1"/>
  <c r="O1890" i="246"/>
  <c r="R1890" i="246" s="1"/>
  <c r="O2528" i="246"/>
  <c r="R2528" i="246" s="1"/>
  <c r="G1560" i="1"/>
  <c r="R2721" i="246"/>
  <c r="O1536" i="246"/>
  <c r="J1533" i="246"/>
  <c r="K1533" i="246"/>
  <c r="O1537" i="246"/>
  <c r="K1593" i="1"/>
  <c r="J1593" i="1"/>
  <c r="M1593" i="1"/>
  <c r="O1597" i="1"/>
  <c r="M1529" i="246"/>
  <c r="O1529" i="246" s="1"/>
  <c r="M1589" i="1"/>
  <c r="O1589" i="1" s="1"/>
  <c r="O1596" i="1"/>
  <c r="H1593" i="1"/>
  <c r="H1533" i="246"/>
  <c r="M1533" i="246"/>
  <c r="O2128" i="246"/>
  <c r="R2128" i="246" s="1"/>
  <c r="M2195" i="1"/>
  <c r="R2195" i="1" s="1"/>
  <c r="O2522" i="246"/>
  <c r="O2519" i="1"/>
  <c r="U2519" i="1" s="1"/>
  <c r="R2789" i="1"/>
  <c r="M2771" i="1"/>
  <c r="R2771" i="1" s="1"/>
  <c r="M2511" i="1"/>
  <c r="O2444" i="246"/>
  <c r="R2444" i="246" s="1"/>
  <c r="M2690" i="1"/>
  <c r="F94" i="80"/>
  <c r="M2161" i="1"/>
  <c r="O696" i="246"/>
  <c r="M694" i="1"/>
  <c r="O2094" i="246"/>
  <c r="R2094" i="246" s="1"/>
  <c r="R684" i="246"/>
  <c r="S741" i="246"/>
  <c r="O2568" i="246"/>
  <c r="R2568" i="246" s="1"/>
  <c r="F102" i="80"/>
  <c r="O2629" i="246"/>
  <c r="R2629" i="246" s="1"/>
  <c r="R2651" i="246"/>
  <c r="R745" i="246"/>
  <c r="S745" i="246"/>
  <c r="M2703" i="246"/>
  <c r="R2703" i="246" s="1"/>
  <c r="O2622" i="246"/>
  <c r="R2622" i="246" s="1"/>
  <c r="O674" i="246"/>
  <c r="O774" i="246"/>
  <c r="O2563" i="246"/>
  <c r="R2563" i="246" s="1"/>
  <c r="O755" i="246"/>
  <c r="S755" i="246" s="1"/>
  <c r="S743" i="246"/>
  <c r="R743" i="246"/>
  <c r="R1133" i="246"/>
  <c r="R1202" i="246"/>
  <c r="S744" i="246"/>
  <c r="R744" i="246"/>
  <c r="R1194" i="246"/>
  <c r="O1191" i="246"/>
  <c r="U305" i="242"/>
  <c r="I200" i="242"/>
  <c r="I308" i="242" s="1"/>
  <c r="K168" i="242"/>
  <c r="K200" i="242" s="1"/>
  <c r="K13" i="242" s="1"/>
  <c r="U168" i="242"/>
  <c r="R533" i="246"/>
  <c r="S533" i="246"/>
  <c r="R2543" i="246"/>
  <c r="O2617" i="246"/>
  <c r="O1106" i="246"/>
  <c r="R1059" i="246"/>
  <c r="U127" i="242"/>
  <c r="K11" i="242"/>
  <c r="I128" i="242"/>
  <c r="I11" i="242"/>
  <c r="AB370" i="89"/>
  <c r="Z226" i="89"/>
  <c r="T134" i="242" s="1"/>
  <c r="Z265" i="89"/>
  <c r="AB226" i="89"/>
  <c r="AB14" i="89" s="1"/>
  <c r="Z370" i="89"/>
  <c r="T207" i="242" s="1"/>
  <c r="I374" i="89"/>
  <c r="K13" i="89"/>
  <c r="Z192" i="89"/>
  <c r="J374" i="89"/>
  <c r="I43" i="4"/>
  <c r="G33" i="240"/>
  <c r="A17" i="26"/>
  <c r="A15" i="26"/>
  <c r="M1145" i="1"/>
  <c r="A20" i="26"/>
  <c r="A33" i="26"/>
  <c r="A22" i="26"/>
  <c r="A24" i="26"/>
  <c r="A21" i="26"/>
  <c r="A29" i="26"/>
  <c r="A63" i="26"/>
  <c r="A31" i="26"/>
  <c r="A65" i="26"/>
  <c r="A26" i="26"/>
  <c r="A48" i="26"/>
  <c r="A61" i="26"/>
  <c r="M1293" i="1"/>
  <c r="R1293" i="1" s="1"/>
  <c r="F70" i="80"/>
  <c r="F130" i="231"/>
  <c r="A30" i="26"/>
  <c r="A46" i="26"/>
  <c r="E367" i="4"/>
  <c r="A28" i="26"/>
  <c r="G20" i="168"/>
  <c r="A34" i="26"/>
  <c r="A25" i="26"/>
  <c r="A19" i="26"/>
  <c r="A23" i="26"/>
  <c r="K12" i="89"/>
  <c r="K17" i="89" s="1"/>
  <c r="F25" i="170" s="1"/>
  <c r="T12" i="89"/>
  <c r="V16" i="80"/>
  <c r="V19" i="80"/>
  <c r="K16" i="89"/>
  <c r="V18" i="80"/>
  <c r="M672" i="1"/>
  <c r="R19" i="89"/>
  <c r="R20" i="89" s="1"/>
  <c r="M1296" i="1"/>
  <c r="M1297" i="1"/>
  <c r="M2815" i="1"/>
  <c r="M2816" i="1"/>
  <c r="M1173" i="1"/>
  <c r="M2817" i="1"/>
  <c r="R2817" i="1" s="1"/>
  <c r="M2640" i="1"/>
  <c r="M2596" i="1"/>
  <c r="R23" i="80"/>
  <c r="V20" i="80"/>
  <c r="M23" i="80"/>
  <c r="AC233" i="89"/>
  <c r="AC199" i="89"/>
  <c r="V15" i="80"/>
  <c r="U23" i="80"/>
  <c r="M2644" i="1"/>
  <c r="M2643" i="1"/>
  <c r="A16" i="26"/>
  <c r="V17" i="80"/>
  <c r="M1101" i="1"/>
  <c r="AC155" i="89"/>
  <c r="M2723" i="1"/>
  <c r="M2720" i="1"/>
  <c r="M2633" i="1"/>
  <c r="M1244" i="1"/>
  <c r="M2614" i="1"/>
  <c r="M2685" i="1"/>
  <c r="M1174" i="1"/>
  <c r="M2686" i="1"/>
  <c r="M2703" i="1"/>
  <c r="M705" i="1"/>
  <c r="M2696" i="1"/>
  <c r="M2639" i="1"/>
  <c r="M1357" i="1"/>
  <c r="V2426" i="1" s="1"/>
  <c r="M2630" i="1"/>
  <c r="H96" i="234" s="1"/>
  <c r="M2681" i="1"/>
  <c r="M2631" i="1"/>
  <c r="M2635" i="1"/>
  <c r="M1172" i="1"/>
  <c r="M2642" i="1"/>
  <c r="AC370" i="89"/>
  <c r="M2691" i="1"/>
  <c r="M2682" i="1"/>
  <c r="M2700" i="1"/>
  <c r="M2590" i="1"/>
  <c r="S2590" i="1" s="1"/>
  <c r="M2636" i="1"/>
  <c r="M2693" i="1"/>
  <c r="M2626" i="1"/>
  <c r="M2637" i="1"/>
  <c r="M2697" i="1"/>
  <c r="M2632" i="1"/>
  <c r="M2698" i="1"/>
  <c r="O1147" i="246" l="1"/>
  <c r="O2745" i="246"/>
  <c r="S2745" i="246" s="1"/>
  <c r="R2283" i="1"/>
  <c r="S2283" i="1"/>
  <c r="R2773" i="1"/>
  <c r="R1428" i="246"/>
  <c r="R1432" i="246"/>
  <c r="R1429" i="246"/>
  <c r="R1433" i="246"/>
  <c r="T374" i="89"/>
  <c r="T17" i="89"/>
  <c r="S765" i="1"/>
  <c r="S19" i="89"/>
  <c r="S20" i="89" s="1"/>
  <c r="R1672" i="1"/>
  <c r="R1673" i="1"/>
  <c r="R1669" i="1"/>
  <c r="H67" i="234"/>
  <c r="K308" i="242"/>
  <c r="R1666" i="1"/>
  <c r="R1220" i="246"/>
  <c r="R1228" i="246" s="1"/>
  <c r="R1600" i="246"/>
  <c r="S1600" i="246"/>
  <c r="R1607" i="246"/>
  <c r="R1603" i="246"/>
  <c r="R1602" i="246"/>
  <c r="R1606" i="246"/>
  <c r="R1223" i="246"/>
  <c r="R765" i="1"/>
  <c r="R1827" i="1"/>
  <c r="R1811" i="1"/>
  <c r="R1806" i="1"/>
  <c r="R1821" i="1"/>
  <c r="R1820" i="1"/>
  <c r="R1823" i="1"/>
  <c r="R1809" i="1"/>
  <c r="R1808" i="1"/>
  <c r="R1807" i="1"/>
  <c r="R1816" i="1"/>
  <c r="R1822" i="1"/>
  <c r="R1818" i="1"/>
  <c r="R1814" i="1"/>
  <c r="R1817" i="1"/>
  <c r="R1805" i="1"/>
  <c r="R1819" i="1"/>
  <c r="R1826" i="1"/>
  <c r="R1812" i="1"/>
  <c r="R1825" i="1"/>
  <c r="R1739" i="246"/>
  <c r="R1743" i="246"/>
  <c r="R1755" i="246"/>
  <c r="R1750" i="246"/>
  <c r="R1760" i="246"/>
  <c r="R1753" i="246"/>
  <c r="R1742" i="246"/>
  <c r="R1746" i="246"/>
  <c r="R1748" i="246"/>
  <c r="R1745" i="246"/>
  <c r="R1740" i="246"/>
  <c r="R1751" i="246"/>
  <c r="R1741" i="246"/>
  <c r="R1757" i="246"/>
  <c r="R1752" i="246"/>
  <c r="R1756" i="246"/>
  <c r="R1759" i="246"/>
  <c r="R1754" i="246"/>
  <c r="R1761" i="246"/>
  <c r="S773" i="1"/>
  <c r="Y773" i="1"/>
  <c r="Z773" i="1"/>
  <c r="R773" i="1"/>
  <c r="R1049" i="246"/>
  <c r="R1056" i="246"/>
  <c r="R1052" i="246"/>
  <c r="R1091" i="246"/>
  <c r="R1048" i="246"/>
  <c r="R1055" i="246"/>
  <c r="R1051" i="246"/>
  <c r="R1090" i="246"/>
  <c r="R1050" i="246"/>
  <c r="R1054" i="246"/>
  <c r="R1089" i="246"/>
  <c r="R1057" i="246"/>
  <c r="R1053" i="246"/>
  <c r="R1576" i="246"/>
  <c r="R1562" i="246"/>
  <c r="R1558" i="246"/>
  <c r="R1575" i="246"/>
  <c r="R1561" i="246"/>
  <c r="R1574" i="246"/>
  <c r="R1560" i="246"/>
  <c r="R1556" i="246"/>
  <c r="R1573" i="246"/>
  <c r="R1559" i="246"/>
  <c r="R1555" i="246"/>
  <c r="W775" i="246"/>
  <c r="D775" i="246" s="1"/>
  <c r="U14" i="242"/>
  <c r="U306" i="242"/>
  <c r="R1568" i="246"/>
  <c r="R1567" i="246"/>
  <c r="R1566" i="246"/>
  <c r="R1569" i="246"/>
  <c r="R1565" i="246"/>
  <c r="R1564" i="246"/>
  <c r="R1571" i="246"/>
  <c r="R1570" i="246"/>
  <c r="R1572" i="246"/>
  <c r="R1642" i="1"/>
  <c r="R1635" i="1"/>
  <c r="R1616" i="1"/>
  <c r="R1636" i="1"/>
  <c r="R1621" i="1"/>
  <c r="R1627" i="1"/>
  <c r="R1631" i="1"/>
  <c r="R1620" i="1"/>
  <c r="R1630" i="1"/>
  <c r="R1641" i="1"/>
  <c r="R1634" i="1"/>
  <c r="R1618" i="1"/>
  <c r="R1614" i="1"/>
  <c r="R1628" i="1"/>
  <c r="R1638" i="1"/>
  <c r="R1629" i="1"/>
  <c r="R1626" i="1"/>
  <c r="R1615" i="1"/>
  <c r="R1639" i="1"/>
  <c r="R1625" i="1"/>
  <c r="R1617" i="1"/>
  <c r="R1632" i="1"/>
  <c r="R1619" i="1"/>
  <c r="R1640" i="1"/>
  <c r="R1624" i="1"/>
  <c r="R1637" i="1"/>
  <c r="R1633" i="1"/>
  <c r="R1623" i="1"/>
  <c r="S775" i="246"/>
  <c r="H99" i="234"/>
  <c r="D99" i="234"/>
  <c r="O1533" i="246"/>
  <c r="O1593" i="1"/>
  <c r="K15" i="242"/>
  <c r="G25" i="170" s="1"/>
  <c r="H25" i="170" s="1"/>
  <c r="R1147" i="246"/>
  <c r="R1125" i="246" s="1"/>
  <c r="U1147" i="246"/>
  <c r="R767" i="246"/>
  <c r="R696" i="246"/>
  <c r="R774" i="246"/>
  <c r="S774" i="246"/>
  <c r="R1191" i="246"/>
  <c r="S1191" i="246"/>
  <c r="U741" i="246"/>
  <c r="R2522" i="246"/>
  <c r="S2522" i="246"/>
  <c r="T305" i="242"/>
  <c r="T14" i="242" s="1"/>
  <c r="V207" i="242"/>
  <c r="Z15" i="89"/>
  <c r="I108" i="5" s="1"/>
  <c r="L108" i="5" s="1"/>
  <c r="T168" i="242"/>
  <c r="U200" i="242"/>
  <c r="U308" i="242" s="1"/>
  <c r="I13" i="242"/>
  <c r="I15" i="242" s="1"/>
  <c r="I16" i="242" s="1"/>
  <c r="I201" i="242"/>
  <c r="Z14" i="89"/>
  <c r="I264" i="5" s="1"/>
  <c r="L264" i="5" s="1"/>
  <c r="T161" i="242"/>
  <c r="T12" i="242" s="1"/>
  <c r="V134" i="242"/>
  <c r="I44" i="4"/>
  <c r="U533" i="246"/>
  <c r="R1106" i="246"/>
  <c r="O1113" i="246"/>
  <c r="U1113" i="246" s="1"/>
  <c r="R2617" i="246"/>
  <c r="R1083" i="246"/>
  <c r="R1088" i="246"/>
  <c r="R1086" i="246"/>
  <c r="R1084" i="246"/>
  <c r="R1058" i="246"/>
  <c r="R1087" i="246"/>
  <c r="S2540" i="246"/>
  <c r="R2540" i="246"/>
  <c r="R534" i="246"/>
  <c r="T90" i="242"/>
  <c r="U11" i="242"/>
  <c r="U128" i="242"/>
  <c r="AC265" i="89"/>
  <c r="AC15" i="89" s="1"/>
  <c r="AC226" i="89"/>
  <c r="AC14" i="89" s="1"/>
  <c r="AC192" i="89"/>
  <c r="Z13" i="89"/>
  <c r="I256" i="5" s="1"/>
  <c r="L256" i="5" s="1"/>
  <c r="AB192" i="89"/>
  <c r="K374" i="89"/>
  <c r="T20" i="89"/>
  <c r="G130" i="231"/>
  <c r="O2813" i="1"/>
  <c r="S2813" i="1" s="1"/>
  <c r="J143" i="5"/>
  <c r="L143" i="5" s="1"/>
  <c r="O1250" i="246" s="1"/>
  <c r="R1250" i="246" s="1"/>
  <c r="S1230" i="1"/>
  <c r="J67" i="26"/>
  <c r="AB15" i="89"/>
  <c r="V23" i="80"/>
  <c r="J33" i="26"/>
  <c r="AA16" i="89"/>
  <c r="S16" i="89"/>
  <c r="M1152" i="1"/>
  <c r="V1152" i="1" s="1"/>
  <c r="M1098" i="1"/>
  <c r="H74" i="234" s="1"/>
  <c r="M1186" i="1"/>
  <c r="V1186" i="1" s="1"/>
  <c r="R1221" i="246" l="1"/>
  <c r="R1222" i="246"/>
  <c r="D773" i="1"/>
  <c r="S374" i="89"/>
  <c r="I309" i="242"/>
  <c r="J1540" i="246"/>
  <c r="J1600" i="1"/>
  <c r="H1540" i="246"/>
  <c r="H1600" i="1"/>
  <c r="I272" i="5"/>
  <c r="L272" i="5" s="1"/>
  <c r="K309" i="242"/>
  <c r="I46" i="5"/>
  <c r="L46" i="5" s="1"/>
  <c r="M1207" i="1"/>
  <c r="O1168" i="246"/>
  <c r="R1168" i="246" s="1"/>
  <c r="R1128" i="246"/>
  <c r="R1149" i="246"/>
  <c r="R1132" i="246"/>
  <c r="R1124" i="246"/>
  <c r="R1153" i="246"/>
  <c r="R1152" i="246"/>
  <c r="R1123" i="246"/>
  <c r="R1129" i="246"/>
  <c r="R1148" i="246"/>
  <c r="R1126" i="246"/>
  <c r="R1130" i="246"/>
  <c r="R1127" i="246"/>
  <c r="R1150" i="246"/>
  <c r="R1151" i="246"/>
  <c r="R1122" i="246"/>
  <c r="R1131" i="246"/>
  <c r="R1146" i="246"/>
  <c r="R1145" i="246"/>
  <c r="I45" i="4"/>
  <c r="R1113" i="246"/>
  <c r="R1112" i="246" s="1"/>
  <c r="R2523" i="246"/>
  <c r="R1198" i="246"/>
  <c r="R1192" i="246"/>
  <c r="R1193" i="246"/>
  <c r="R1197" i="246"/>
  <c r="V305" i="242"/>
  <c r="V14" i="242" s="1"/>
  <c r="W207" i="242"/>
  <c r="W305" i="242" s="1"/>
  <c r="W14" i="242" s="1"/>
  <c r="T200" i="242"/>
  <c r="T13" i="242" s="1"/>
  <c r="V168" i="242"/>
  <c r="U13" i="242"/>
  <c r="U15" i="242" s="1"/>
  <c r="U201" i="242"/>
  <c r="V161" i="242"/>
  <c r="V12" i="242" s="1"/>
  <c r="W134" i="242"/>
  <c r="W161" i="242" s="1"/>
  <c r="W12" i="242" s="1"/>
  <c r="R2552" i="246"/>
  <c r="R2542" i="246"/>
  <c r="R2541" i="246"/>
  <c r="R2549" i="246"/>
  <c r="V90" i="242"/>
  <c r="T127" i="242"/>
  <c r="I45" i="5"/>
  <c r="L45" i="5" s="1"/>
  <c r="AB13" i="89"/>
  <c r="AC13" i="89"/>
  <c r="E131" i="231"/>
  <c r="J343" i="5"/>
  <c r="J398" i="5"/>
  <c r="M1289" i="1"/>
  <c r="L12" i="89"/>
  <c r="AA12" i="89"/>
  <c r="J204" i="5"/>
  <c r="J400" i="5"/>
  <c r="L400" i="5" s="1"/>
  <c r="J68" i="26"/>
  <c r="J86" i="5" s="1"/>
  <c r="L86" i="5" s="1"/>
  <c r="M1099" i="1"/>
  <c r="D84" i="234" s="1"/>
  <c r="M2612" i="1"/>
  <c r="Z2841" i="1"/>
  <c r="Y2841" i="1"/>
  <c r="O543" i="246" l="1"/>
  <c r="M1206" i="1"/>
  <c r="L16" i="242"/>
  <c r="L17" i="89"/>
  <c r="U16" i="242"/>
  <c r="AA17" i="89"/>
  <c r="AA374" i="89" s="1"/>
  <c r="AD12" i="89"/>
  <c r="I25" i="170"/>
  <c r="M740" i="1"/>
  <c r="S740" i="1" s="1"/>
  <c r="M542" i="1"/>
  <c r="M1124" i="1"/>
  <c r="V532" i="1" s="1"/>
  <c r="D187" i="246"/>
  <c r="D416" i="246"/>
  <c r="D447" i="246"/>
  <c r="D402" i="1"/>
  <c r="D401" i="246"/>
  <c r="D417" i="1"/>
  <c r="D449" i="1"/>
  <c r="D190" i="246"/>
  <c r="D191" i="246"/>
  <c r="D179" i="246"/>
  <c r="D190" i="1"/>
  <c r="D191" i="1"/>
  <c r="D179" i="1"/>
  <c r="D187" i="1"/>
  <c r="L374" i="89"/>
  <c r="U309" i="242"/>
  <c r="K1540" i="246"/>
  <c r="K1600" i="1"/>
  <c r="O1167" i="246"/>
  <c r="R1167" i="246" s="1"/>
  <c r="C1850" i="246"/>
  <c r="D471" i="1"/>
  <c r="D347" i="246"/>
  <c r="D173" i="1"/>
  <c r="D3657" i="1"/>
  <c r="C1916" i="1"/>
  <c r="M1205" i="1"/>
  <c r="O1166" i="246"/>
  <c r="R1166" i="246" s="1"/>
  <c r="D197" i="246"/>
  <c r="D3493" i="1"/>
  <c r="D177" i="246"/>
  <c r="D3821" i="1"/>
  <c r="D173" i="246"/>
  <c r="D472" i="246"/>
  <c r="D3001" i="1"/>
  <c r="D346" i="1"/>
  <c r="D177" i="1"/>
  <c r="D2933" i="246"/>
  <c r="D3329" i="1"/>
  <c r="D3165" i="1"/>
  <c r="D197" i="1"/>
  <c r="D3261" i="246"/>
  <c r="D3097" i="246"/>
  <c r="D2848" i="1"/>
  <c r="D471" i="246"/>
  <c r="D470" i="1"/>
  <c r="D131" i="1"/>
  <c r="D77" i="246"/>
  <c r="D131" i="246"/>
  <c r="D77" i="1"/>
  <c r="D73" i="246"/>
  <c r="D73" i="1"/>
  <c r="D2685" i="1"/>
  <c r="D1105" i="246"/>
  <c r="D1144" i="1"/>
  <c r="D398" i="1"/>
  <c r="D463" i="1" s="1"/>
  <c r="D397" i="246"/>
  <c r="D464" i="246" s="1"/>
  <c r="D2617" i="246"/>
  <c r="R1116" i="246"/>
  <c r="R1111" i="246"/>
  <c r="R1114" i="246"/>
  <c r="R1115" i="246" s="1"/>
  <c r="O1203" i="246"/>
  <c r="O2653" i="246"/>
  <c r="O2648" i="246" s="1"/>
  <c r="O742" i="246"/>
  <c r="V200" i="242"/>
  <c r="V13" i="242" s="1"/>
  <c r="W168" i="242"/>
  <c r="W200" i="242" s="1"/>
  <c r="W13" i="242" s="1"/>
  <c r="R2553" i="246"/>
  <c r="R2550" i="246"/>
  <c r="T11" i="242"/>
  <c r="G496" i="4" s="1"/>
  <c r="T308" i="242"/>
  <c r="V127" i="242"/>
  <c r="W90" i="242"/>
  <c r="W127" i="242" s="1"/>
  <c r="F131" i="231"/>
  <c r="Z12" i="89"/>
  <c r="AB12" i="89"/>
  <c r="AB17" i="89" s="1"/>
  <c r="M1242" i="1"/>
  <c r="M1238" i="1" s="1"/>
  <c r="M2721" i="1"/>
  <c r="M2716" i="1" s="1"/>
  <c r="S532" i="1"/>
  <c r="R2892" i="1"/>
  <c r="Z17" i="89" l="1"/>
  <c r="AE12" i="89"/>
  <c r="J60" i="26"/>
  <c r="J36" i="170"/>
  <c r="M736" i="1"/>
  <c r="R736" i="1" s="1"/>
  <c r="R745" i="1" s="1"/>
  <c r="R746" i="1" s="1"/>
  <c r="R747" i="1" s="1"/>
  <c r="R740" i="1"/>
  <c r="D76" i="234"/>
  <c r="H77" i="234" s="1"/>
  <c r="V740" i="1"/>
  <c r="M2786" i="1"/>
  <c r="O2785" i="1" s="1"/>
  <c r="M2718" i="246"/>
  <c r="O2717" i="246" s="1"/>
  <c r="S742" i="246"/>
  <c r="R742" i="246"/>
  <c r="O738" i="246"/>
  <c r="R738" i="246" s="1"/>
  <c r="R2653" i="246"/>
  <c r="R543" i="246"/>
  <c r="S543" i="246"/>
  <c r="R1203" i="246"/>
  <c r="O1199" i="246"/>
  <c r="T15" i="242"/>
  <c r="T309" i="242" s="1"/>
  <c r="R2551" i="246"/>
  <c r="W11" i="242"/>
  <c r="W15" i="242" s="1"/>
  <c r="W308" i="242"/>
  <c r="V11" i="242"/>
  <c r="V15" i="242" s="1"/>
  <c r="V308" i="242"/>
  <c r="R2719" i="246"/>
  <c r="G131" i="231"/>
  <c r="I44" i="5"/>
  <c r="L44" i="5" s="1"/>
  <c r="I236" i="5"/>
  <c r="L236" i="5" s="1"/>
  <c r="O1434" i="246" s="1"/>
  <c r="S1434" i="246" s="1"/>
  <c r="R2831" i="1"/>
  <c r="AC12" i="89"/>
  <c r="AC17" i="89" s="1"/>
  <c r="F27" i="170" s="1"/>
  <c r="R2889" i="1"/>
  <c r="R2884" i="1"/>
  <c r="R2880" i="1"/>
  <c r="R2876" i="1"/>
  <c r="R2872" i="1"/>
  <c r="R2868" i="1"/>
  <c r="R2864" i="1"/>
  <c r="R2860" i="1"/>
  <c r="R2856" i="1"/>
  <c r="R2851" i="1"/>
  <c r="R2846" i="1"/>
  <c r="R2842" i="1"/>
  <c r="R2838" i="1"/>
  <c r="R2834" i="1"/>
  <c r="R2830" i="1"/>
  <c r="R2888" i="1"/>
  <c r="R2883" i="1"/>
  <c r="R2879" i="1"/>
  <c r="R2875" i="1"/>
  <c r="R2871" i="1"/>
  <c r="R2867" i="1"/>
  <c r="R2863" i="1"/>
  <c r="R2859" i="1"/>
  <c r="R2854" i="1"/>
  <c r="R2850" i="1"/>
  <c r="R2845" i="1"/>
  <c r="R2841" i="1"/>
  <c r="R2837" i="1"/>
  <c r="R2833" i="1"/>
  <c r="R2829" i="1"/>
  <c r="R93" i="1" s="1"/>
  <c r="R2891" i="1"/>
  <c r="R2886" i="1"/>
  <c r="R2882" i="1"/>
  <c r="R2878" i="1"/>
  <c r="R2874" i="1"/>
  <c r="R2870" i="1"/>
  <c r="R2866" i="1"/>
  <c r="R2862" i="1"/>
  <c r="R2858" i="1"/>
  <c r="R2853" i="1"/>
  <c r="R2849" i="1"/>
  <c r="R2844" i="1"/>
  <c r="R2840" i="1"/>
  <c r="R2836" i="1"/>
  <c r="R2832" i="1"/>
  <c r="R2890" i="1"/>
  <c r="R2885" i="1"/>
  <c r="R2881" i="1"/>
  <c r="R2877" i="1"/>
  <c r="R2873" i="1"/>
  <c r="R2869" i="1"/>
  <c r="R2865" i="1"/>
  <c r="R2861" i="1"/>
  <c r="R2857" i="1"/>
  <c r="R2852" i="1"/>
  <c r="R2847" i="1"/>
  <c r="R2843" i="1"/>
  <c r="R2839" i="1"/>
  <c r="R2835" i="1"/>
  <c r="S542" i="1"/>
  <c r="J59" i="26" l="1"/>
  <c r="F24" i="26"/>
  <c r="AF12" i="89"/>
  <c r="M1473" i="1"/>
  <c r="S1473" i="1" s="1"/>
  <c r="R737" i="1"/>
  <c r="R738" i="1" s="1"/>
  <c r="R744" i="1"/>
  <c r="S2717" i="246"/>
  <c r="R2786" i="1"/>
  <c r="O1165" i="246"/>
  <c r="M1204" i="1"/>
  <c r="R747" i="246"/>
  <c r="R739" i="246"/>
  <c r="R746" i="246"/>
  <c r="R544" i="246"/>
  <c r="R2648" i="246"/>
  <c r="S2648" i="246"/>
  <c r="R1199" i="246"/>
  <c r="S1199" i="246"/>
  <c r="O1231" i="246" s="1"/>
  <c r="U742" i="246"/>
  <c r="O2560" i="246"/>
  <c r="O535" i="246"/>
  <c r="W309" i="242"/>
  <c r="G27" i="170"/>
  <c r="V309" i="242"/>
  <c r="E132" i="231"/>
  <c r="F132" i="231" s="1"/>
  <c r="G132" i="231" s="1"/>
  <c r="M2628" i="1"/>
  <c r="M2622" i="1" s="1"/>
  <c r="S1238" i="1"/>
  <c r="M1270" i="1" s="1"/>
  <c r="S2716" i="1"/>
  <c r="S2785" i="1" l="1"/>
  <c r="R2785" i="1"/>
  <c r="V542" i="1"/>
  <c r="R740" i="246"/>
  <c r="R1231" i="246"/>
  <c r="U543" i="246"/>
  <c r="R2649" i="246"/>
  <c r="R2658" i="246"/>
  <c r="R1219" i="246"/>
  <c r="R1201" i="246"/>
  <c r="R1218" i="246"/>
  <c r="R1200" i="246"/>
  <c r="R748" i="246"/>
  <c r="R535" i="246"/>
  <c r="S535" i="246"/>
  <c r="R2560" i="246"/>
  <c r="O2554" i="246"/>
  <c r="R1165" i="246"/>
  <c r="E133" i="231"/>
  <c r="F133" i="231" s="1"/>
  <c r="G133" i="231" s="1"/>
  <c r="S2622" i="1"/>
  <c r="R1189" i="246" l="1"/>
  <c r="R1190" i="246" s="1"/>
  <c r="R1233" i="246"/>
  <c r="R1188" i="246"/>
  <c r="R1235" i="246"/>
  <c r="R1182" i="246"/>
  <c r="R1183" i="246"/>
  <c r="R1184" i="246"/>
  <c r="R1236" i="246"/>
  <c r="R1186" i="246"/>
  <c r="R1185" i="246"/>
  <c r="R1229" i="246"/>
  <c r="R1181" i="246"/>
  <c r="R1234" i="246"/>
  <c r="R1237" i="246"/>
  <c r="R1230" i="246"/>
  <c r="R1180" i="246"/>
  <c r="R1179" i="246"/>
  <c r="R1232" i="246"/>
  <c r="R1187" i="246"/>
  <c r="R749" i="246"/>
  <c r="R2659" i="246"/>
  <c r="R2650" i="246"/>
  <c r="R536" i="246"/>
  <c r="R2554" i="246"/>
  <c r="S2554" i="246"/>
  <c r="E134" i="231"/>
  <c r="F134" i="231" s="1"/>
  <c r="G134" i="231" s="1"/>
  <c r="R2660" i="246" l="1"/>
  <c r="R2661" i="246" s="1"/>
  <c r="R2662" i="246" s="1"/>
  <c r="R2584" i="246"/>
  <c r="R2555" i="246"/>
  <c r="E135" i="231"/>
  <c r="F135" i="231" s="1"/>
  <c r="G135" i="231" s="1"/>
  <c r="R2556"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Z16" i="89"/>
  <c r="Z374" i="89" s="1"/>
  <c r="E152" i="231" l="1"/>
  <c r="F152" i="231" s="1"/>
  <c r="G152" i="231" s="1"/>
  <c r="I280" i="5"/>
  <c r="L280" i="5" s="1"/>
  <c r="I109" i="5"/>
  <c r="L109" i="5" s="1"/>
  <c r="AC16" i="89"/>
  <c r="AB16" i="89"/>
  <c r="AB374" i="89" s="1"/>
  <c r="Z19" i="89" l="1"/>
  <c r="F84" i="80"/>
  <c r="M1540" i="246"/>
  <c r="O1540" i="246" s="1"/>
  <c r="M1600" i="1"/>
  <c r="O1169" i="246"/>
  <c r="R1169" i="246" s="1"/>
  <c r="M1208" i="1"/>
  <c r="M1211" i="1" s="1"/>
  <c r="D93" i="234" s="1"/>
  <c r="O2616" i="246"/>
  <c r="AC374" i="89"/>
  <c r="H27" i="170"/>
  <c r="R2718" i="246"/>
  <c r="E153" i="231"/>
  <c r="F153" i="231" s="1"/>
  <c r="G153" i="231" s="1"/>
  <c r="M2684" i="1"/>
  <c r="I27" i="170" l="1"/>
  <c r="K27" i="170" s="1"/>
  <c r="O1600" i="1"/>
  <c r="J17" i="26"/>
  <c r="R2443" i="246"/>
  <c r="V1211" i="1"/>
  <c r="M2768" i="1"/>
  <c r="R2616" i="246"/>
  <c r="O1172" i="246"/>
  <c r="R2717" i="246"/>
  <c r="E154" i="231"/>
  <c r="F154" i="231" s="1"/>
  <c r="G154" i="231" s="1"/>
  <c r="Z20" i="89"/>
  <c r="J54" i="26" l="1"/>
  <c r="I19" i="26"/>
  <c r="J16" i="5"/>
  <c r="R2768" i="1"/>
  <c r="R1172" i="246"/>
  <c r="R1164" i="246" s="1"/>
  <c r="M2700" i="246"/>
  <c r="U1172" i="246"/>
  <c r="E155" i="231"/>
  <c r="F155" i="231" s="1"/>
  <c r="G155" i="231" s="1"/>
  <c r="R1159" i="246" l="1"/>
  <c r="R1156" i="246"/>
  <c r="R1155" i="246"/>
  <c r="R1163" i="246"/>
  <c r="R1178" i="246"/>
  <c r="R1154" i="246"/>
  <c r="R1174" i="246"/>
  <c r="R1176" i="246"/>
  <c r="R1157" i="246"/>
  <c r="R1160" i="246"/>
  <c r="R1170" i="246"/>
  <c r="R1175" i="246"/>
  <c r="R1173" i="246"/>
  <c r="R1161" i="246"/>
  <c r="R1171" i="246"/>
  <c r="R1177" i="246"/>
  <c r="R1158" i="246"/>
  <c r="R1162" i="246"/>
  <c r="R2700" i="246"/>
  <c r="E156" i="231"/>
  <c r="F156" i="231" s="1"/>
  <c r="G156" i="231" s="1"/>
  <c r="E157" i="231" l="1"/>
  <c r="F157" i="231" s="1"/>
  <c r="G157" i="231" s="1"/>
  <c r="J78" i="26"/>
  <c r="G484" i="26"/>
  <c r="E158" i="231" l="1"/>
  <c r="F158" i="231" s="1"/>
  <c r="G158" i="231" s="1"/>
  <c r="H484" i="26"/>
  <c r="C451" i="1"/>
  <c r="C454" i="1" l="1"/>
  <c r="C467" i="1" s="1"/>
  <c r="E159" i="231"/>
  <c r="F159" i="231" s="1"/>
  <c r="G159" i="231" s="1"/>
  <c r="E160" i="231" l="1"/>
  <c r="F160" i="231" s="1"/>
  <c r="G160" i="231" s="1"/>
  <c r="C470" i="1" l="1"/>
  <c r="E161" i="231"/>
  <c r="F161" i="231" s="1"/>
  <c r="G161" i="231" s="1"/>
  <c r="C481" i="1" l="1"/>
  <c r="C487" i="1" s="1"/>
  <c r="C492" i="1" s="1"/>
  <c r="E162" i="231"/>
  <c r="F162" i="231" s="1"/>
  <c r="G162" i="231" s="1"/>
  <c r="F410" i="4"/>
  <c r="O732" i="1" s="1"/>
  <c r="U732" i="1" s="1"/>
  <c r="F452" i="4"/>
  <c r="O774" i="1" s="1"/>
  <c r="F442" i="4"/>
  <c r="O764" i="1" s="1"/>
  <c r="F453" i="4"/>
  <c r="O775" i="1" s="1"/>
  <c r="F409" i="4"/>
  <c r="O731" i="1" s="1"/>
  <c r="F454" i="4"/>
  <c r="O776" i="1" s="1"/>
  <c r="U776" i="1" l="1"/>
  <c r="U774" i="1"/>
  <c r="O769" i="1"/>
  <c r="O735" i="1"/>
  <c r="U731" i="1"/>
  <c r="U775" i="1"/>
  <c r="U764" i="1"/>
  <c r="O758" i="1" s="1"/>
  <c r="C496" i="1"/>
  <c r="F436" i="4"/>
  <c r="E163" i="231"/>
  <c r="F163" i="231" s="1"/>
  <c r="G163" i="231" s="1"/>
  <c r="F413" i="4"/>
  <c r="F425" i="4" s="1"/>
  <c r="F406" i="4" s="1"/>
  <c r="F447" i="4"/>
  <c r="O781" i="1" l="1"/>
  <c r="O728" i="1"/>
  <c r="O747" i="1"/>
  <c r="E164" i="231"/>
  <c r="F164" i="231" s="1"/>
  <c r="G164" i="231" s="1"/>
  <c r="F459" i="4"/>
  <c r="F466" i="4" s="1"/>
  <c r="O788" i="1" l="1"/>
  <c r="E165" i="231"/>
  <c r="F165" i="231" s="1"/>
  <c r="G165" i="231" s="1"/>
  <c r="X788" i="1" l="1"/>
  <c r="X2085" i="1"/>
  <c r="E166" i="231"/>
  <c r="F166" i="231" s="1"/>
  <c r="G166" i="231" s="1"/>
  <c r="E167" i="231" l="1"/>
  <c r="F167" i="231" s="1"/>
  <c r="G167" i="231" s="1"/>
  <c r="M2611" i="1"/>
  <c r="M2608" i="1" s="1"/>
  <c r="J28" i="149"/>
  <c r="I165" i="136" s="1"/>
  <c r="F484" i="149"/>
  <c r="F486" i="149" s="1"/>
  <c r="F9" i="149" s="1"/>
  <c r="E168" i="231" l="1"/>
  <c r="F168" i="231" s="1"/>
  <c r="G168" i="231" s="1"/>
  <c r="I166" i="136"/>
  <c r="S2608" i="1"/>
  <c r="I167" i="136"/>
  <c r="G5" i="136"/>
  <c r="I5" i="136" s="1"/>
  <c r="F8" i="149"/>
  <c r="D8" i="149" s="1"/>
  <c r="O2837" i="246" l="1"/>
  <c r="S2837" i="246" s="1"/>
  <c r="S2905" i="1"/>
  <c r="O3069" i="1"/>
  <c r="S3069" i="1" s="1"/>
  <c r="E169" i="231"/>
  <c r="F169" i="231" s="1"/>
  <c r="G169" i="231" s="1"/>
  <c r="G403" i="136"/>
  <c r="G2" i="136" s="1"/>
  <c r="O2982" i="246" l="1"/>
  <c r="O2962" i="246"/>
  <c r="C2962" i="246" s="1"/>
  <c r="O2920" i="246"/>
  <c r="O2977" i="246"/>
  <c r="O2904" i="246"/>
  <c r="C2904" i="246" s="1"/>
  <c r="O2869" i="246"/>
  <c r="O2855" i="246"/>
  <c r="C2855" i="246" s="1"/>
  <c r="O3087" i="1"/>
  <c r="C3087" i="1" s="1"/>
  <c r="O3136" i="1"/>
  <c r="C3136" i="1" s="1"/>
  <c r="O3194" i="1"/>
  <c r="C3194" i="1" s="1"/>
  <c r="O3152" i="1"/>
  <c r="O3101" i="1"/>
  <c r="O3209" i="1"/>
  <c r="O3214" i="1"/>
  <c r="M2972" i="1"/>
  <c r="M3045" i="1"/>
  <c r="M2988" i="1"/>
  <c r="Z2988" i="1" s="1"/>
  <c r="M3030" i="1"/>
  <c r="M2937" i="1"/>
  <c r="M3050" i="1"/>
  <c r="R2893" i="1" s="1"/>
  <c r="R2909" i="1" s="1"/>
  <c r="M2923" i="1"/>
  <c r="E170" i="231"/>
  <c r="F170" i="231" s="1"/>
  <c r="G170" i="231" s="1"/>
  <c r="R3011" i="1" l="1"/>
  <c r="R2933" i="1"/>
  <c r="R3026" i="1"/>
  <c r="R3041" i="1"/>
  <c r="C3214" i="1"/>
  <c r="R3057" i="1"/>
  <c r="C2982" i="246"/>
  <c r="R2825" i="246"/>
  <c r="Y2972" i="1"/>
  <c r="Z2972" i="1"/>
  <c r="Y3050" i="1"/>
  <c r="Z3050" i="1"/>
  <c r="Y3030" i="1"/>
  <c r="Z3030" i="1"/>
  <c r="C2920" i="246"/>
  <c r="U2920" i="246"/>
  <c r="Y2923" i="1"/>
  <c r="Z2923" i="1"/>
  <c r="R2995" i="1"/>
  <c r="C3152" i="1"/>
  <c r="V3152" i="1"/>
  <c r="Y2988" i="1"/>
  <c r="C2988" i="1" s="1"/>
  <c r="V2988" i="1"/>
  <c r="E171" i="231"/>
  <c r="F171" i="231" s="1"/>
  <c r="G171" i="231" s="1"/>
  <c r="C3050" i="1" l="1"/>
  <c r="C2923" i="1"/>
  <c r="C3030" i="1"/>
  <c r="C2972" i="1"/>
  <c r="R2973" i="246"/>
  <c r="R2943" i="246"/>
  <c r="R3205" i="1"/>
  <c r="R3175" i="1"/>
  <c r="R2958" i="246"/>
  <c r="R2865" i="246"/>
  <c r="R3190" i="1"/>
  <c r="R3097" i="1"/>
  <c r="R2954" i="246"/>
  <c r="R2906" i="246"/>
  <c r="R2907" i="246"/>
  <c r="R2947" i="1"/>
  <c r="R2975" i="1"/>
  <c r="R3139" i="1"/>
  <c r="R3138" i="1"/>
  <c r="R2962" i="246"/>
  <c r="R2850" i="246"/>
  <c r="R2935" i="246"/>
  <c r="R2960" i="246"/>
  <c r="R2947" i="246"/>
  <c r="R2830" i="246"/>
  <c r="R2922" i="246"/>
  <c r="R2982" i="246"/>
  <c r="R2876" i="246"/>
  <c r="R2871" i="246"/>
  <c r="R2901" i="246" s="1"/>
  <c r="R2938" i="246"/>
  <c r="R2833" i="246"/>
  <c r="R2888" i="246"/>
  <c r="R2936" i="246"/>
  <c r="R2829" i="246"/>
  <c r="R2885" i="246"/>
  <c r="R2920" i="246"/>
  <c r="R2862" i="246"/>
  <c r="R2878" i="246"/>
  <c r="R2875" i="246"/>
  <c r="R2969" i="246"/>
  <c r="R2834" i="246"/>
  <c r="R2957" i="246"/>
  <c r="R2905" i="246"/>
  <c r="R2949" i="246"/>
  <c r="R2836" i="246"/>
  <c r="R2961" i="246"/>
  <c r="R2928" i="246"/>
  <c r="R2903" i="246"/>
  <c r="R2923" i="246"/>
  <c r="R2924" i="246" s="1"/>
  <c r="R2925" i="246" s="1"/>
  <c r="R2832" i="246"/>
  <c r="R2909" i="246"/>
  <c r="R2932" i="246"/>
  <c r="R2879" i="246"/>
  <c r="R2910" i="246"/>
  <c r="R2827" i="246"/>
  <c r="R2915" i="246"/>
  <c r="R2874" i="246"/>
  <c r="R2841" i="246"/>
  <c r="R2852" i="246" s="1"/>
  <c r="R2835" i="246"/>
  <c r="R2848" i="246"/>
  <c r="R2881" i="246"/>
  <c r="R2986" i="246"/>
  <c r="R2897" i="246"/>
  <c r="R2964" i="246"/>
  <c r="R2965" i="246" s="1"/>
  <c r="R2966" i="246" s="1"/>
  <c r="R2900" i="246"/>
  <c r="R2942" i="246"/>
  <c r="R2882" i="246"/>
  <c r="R2944" i="246"/>
  <c r="R2894" i="246"/>
  <c r="R2851" i="246"/>
  <c r="R2931" i="246"/>
  <c r="R2902" i="246"/>
  <c r="R2847" i="246"/>
  <c r="R2860" i="246"/>
  <c r="R2831" i="246"/>
  <c r="R2967" i="246"/>
  <c r="R2889" i="246"/>
  <c r="R2864" i="246"/>
  <c r="R2939" i="246"/>
  <c r="R2934" i="246"/>
  <c r="R2930" i="246"/>
  <c r="R2911" i="246"/>
  <c r="R2877" i="246"/>
  <c r="R2893" i="246"/>
  <c r="R2837" i="246"/>
  <c r="R2838" i="246" s="1"/>
  <c r="R2937" i="246"/>
  <c r="R2941" i="246"/>
  <c r="R2927" i="246"/>
  <c r="R2983" i="246"/>
  <c r="R2846" i="246"/>
  <c r="R2845" i="246"/>
  <c r="R2857" i="246"/>
  <c r="R2866" i="246" s="1"/>
  <c r="R2867" i="246" s="1"/>
  <c r="R2868" i="246" s="1"/>
  <c r="R2933" i="246"/>
  <c r="R2895" i="246"/>
  <c r="R2826" i="246"/>
  <c r="R2984" i="246"/>
  <c r="R2839" i="246"/>
  <c r="R2840" i="246" s="1"/>
  <c r="R2953" i="246"/>
  <c r="R2912" i="246"/>
  <c r="R2891" i="246"/>
  <c r="R2887" i="246"/>
  <c r="R2886" i="246"/>
  <c r="R2921" i="246"/>
  <c r="R2898" i="246"/>
  <c r="R2970" i="246"/>
  <c r="R2880" i="246"/>
  <c r="R2899" i="246"/>
  <c r="R2896" i="246"/>
  <c r="R2926" i="246"/>
  <c r="R2916" i="246"/>
  <c r="R2972" i="246"/>
  <c r="R2988" i="246"/>
  <c r="R2828" i="246"/>
  <c r="R2985" i="246"/>
  <c r="R2987" i="246"/>
  <c r="R2946" i="246"/>
  <c r="R2844" i="246"/>
  <c r="R2883" i="246"/>
  <c r="R2952" i="246"/>
  <c r="R2963" i="246"/>
  <c r="R2908" i="246"/>
  <c r="R2971" i="246"/>
  <c r="R2919" i="246"/>
  <c r="R2892" i="246"/>
  <c r="R2884" i="246"/>
  <c r="R2980" i="246"/>
  <c r="R2929" i="246"/>
  <c r="R2861" i="246"/>
  <c r="R2913" i="246"/>
  <c r="R2951" i="246"/>
  <c r="R2981" i="246"/>
  <c r="R2955" i="246"/>
  <c r="R2956" i="246"/>
  <c r="R2917" i="246"/>
  <c r="R2948" i="246"/>
  <c r="R2914" i="246"/>
  <c r="R2890" i="246"/>
  <c r="R2979" i="246"/>
  <c r="R2940" i="246"/>
  <c r="R2918" i="246"/>
  <c r="R2849" i="246"/>
  <c r="R2950" i="246"/>
  <c r="R2904" i="246"/>
  <c r="R2945" i="246"/>
  <c r="R2968" i="246"/>
  <c r="R2863" i="246"/>
  <c r="R3073" i="1"/>
  <c r="R3204" i="1"/>
  <c r="R3108" i="1"/>
  <c r="R3202" i="1"/>
  <c r="R3115" i="1"/>
  <c r="R3186" i="1"/>
  <c r="R3177" i="1"/>
  <c r="R3076" i="1"/>
  <c r="R3079" i="1"/>
  <c r="R3170" i="1"/>
  <c r="R3130" i="1"/>
  <c r="R3182" i="1"/>
  <c r="R3131" i="1"/>
  <c r="R3124" i="1"/>
  <c r="R3120" i="1"/>
  <c r="R3132" i="1"/>
  <c r="R3168" i="1"/>
  <c r="R3180" i="1"/>
  <c r="R3169" i="1"/>
  <c r="R3171" i="1"/>
  <c r="R3095" i="1"/>
  <c r="R3162" i="1"/>
  <c r="R3152" i="1"/>
  <c r="R3143" i="1"/>
  <c r="R3136" i="1"/>
  <c r="R3150" i="1"/>
  <c r="R3134" i="1"/>
  <c r="R3137" i="1"/>
  <c r="R3220" i="1"/>
  <c r="R3094" i="1"/>
  <c r="R3183" i="1"/>
  <c r="R3078" i="1"/>
  <c r="R3109" i="1"/>
  <c r="R3129" i="1"/>
  <c r="R3173" i="1"/>
  <c r="R3127" i="1"/>
  <c r="R3160" i="1"/>
  <c r="R3077" i="1"/>
  <c r="R3125" i="1"/>
  <c r="R3161" i="1"/>
  <c r="R3063" i="1"/>
  <c r="R3216" i="1"/>
  <c r="R3147" i="1"/>
  <c r="R3153" i="1"/>
  <c r="R3214" i="1"/>
  <c r="R3145" i="1"/>
  <c r="R3110" i="1"/>
  <c r="R3179" i="1"/>
  <c r="R3196" i="1"/>
  <c r="R3080" i="1"/>
  <c r="R3164" i="1"/>
  <c r="R3188" i="1"/>
  <c r="R3189" i="1"/>
  <c r="R3114" i="1"/>
  <c r="R3071" i="1"/>
  <c r="R3072" i="1" s="1"/>
  <c r="R3068" i="1"/>
  <c r="R3058" i="1"/>
  <c r="R3065" i="1"/>
  <c r="R3059" i="1"/>
  <c r="R3144" i="1"/>
  <c r="R3154" i="1"/>
  <c r="R3215" i="1"/>
  <c r="R3149" i="1"/>
  <c r="R3083" i="1"/>
  <c r="R3106" i="1"/>
  <c r="R3121" i="1"/>
  <c r="R3092" i="1"/>
  <c r="R3176" i="1"/>
  <c r="R3122" i="1"/>
  <c r="R3082" i="1"/>
  <c r="R3201" i="1"/>
  <c r="R3167" i="1"/>
  <c r="R3163" i="1"/>
  <c r="R3174" i="1"/>
  <c r="R3081" i="1"/>
  <c r="R3117" i="1"/>
  <c r="R3113" i="1"/>
  <c r="R3165" i="1"/>
  <c r="R3103" i="1"/>
  <c r="R3155" i="1"/>
  <c r="R3158" i="1"/>
  <c r="R3123" i="1"/>
  <c r="R3199" i="1"/>
  <c r="R3089" i="1"/>
  <c r="R3061" i="1"/>
  <c r="R3140" i="1"/>
  <c r="R3062" i="1"/>
  <c r="R3148" i="1"/>
  <c r="R3194" i="1"/>
  <c r="R3066" i="1"/>
  <c r="R3064" i="1"/>
  <c r="R3217" i="1"/>
  <c r="R3212" i="1"/>
  <c r="R3218" i="1"/>
  <c r="R3141" i="1"/>
  <c r="R3195" i="1"/>
  <c r="R3192" i="1"/>
  <c r="R3112" i="1"/>
  <c r="R3203" i="1"/>
  <c r="R3093" i="1"/>
  <c r="R3172" i="1"/>
  <c r="R3181" i="1"/>
  <c r="R3178" i="1"/>
  <c r="R3107" i="1"/>
  <c r="R3184" i="1"/>
  <c r="R3200" i="1"/>
  <c r="R3126" i="1"/>
  <c r="R3193" i="1"/>
  <c r="R3213" i="1"/>
  <c r="R3067" i="1"/>
  <c r="R3060" i="1"/>
  <c r="R3151" i="1"/>
  <c r="R3135" i="1"/>
  <c r="R3185" i="1"/>
  <c r="R3116" i="1"/>
  <c r="R3211" i="1"/>
  <c r="R3119" i="1"/>
  <c r="R3159" i="1"/>
  <c r="R3187" i="1"/>
  <c r="R3118" i="1"/>
  <c r="R3166" i="1"/>
  <c r="R3111" i="1"/>
  <c r="R3096" i="1"/>
  <c r="R3128" i="1"/>
  <c r="R3219" i="1"/>
  <c r="R3069" i="1"/>
  <c r="R3070" i="1" s="1"/>
  <c r="R3142" i="1"/>
  <c r="R3146" i="1"/>
  <c r="R2972" i="1"/>
  <c r="R2896" i="1"/>
  <c r="R3051" i="1"/>
  <c r="R3053" i="1"/>
  <c r="R3008" i="1"/>
  <c r="R2914" i="1"/>
  <c r="R2925" i="1"/>
  <c r="R2927" i="1" s="1"/>
  <c r="R3025" i="1"/>
  <c r="R2988" i="1"/>
  <c r="R2895" i="1"/>
  <c r="R3037" i="1"/>
  <c r="R2996" i="1"/>
  <c r="R3014" i="1"/>
  <c r="R3048" i="1"/>
  <c r="R3010" i="1"/>
  <c r="R3022" i="1"/>
  <c r="R2987" i="1"/>
  <c r="R2970" i="1"/>
  <c r="R3050" i="1"/>
  <c r="R2990" i="1"/>
  <c r="R3047" i="1"/>
  <c r="R3032" i="1"/>
  <c r="R3033" i="1" s="1"/>
  <c r="R3034" i="1" s="1"/>
  <c r="R2965" i="1"/>
  <c r="R2978" i="1"/>
  <c r="R3013" i="1"/>
  <c r="R2983" i="1"/>
  <c r="R2943" i="1"/>
  <c r="R3007" i="1"/>
  <c r="R2929" i="1"/>
  <c r="R2967" i="1"/>
  <c r="R3012" i="1"/>
  <c r="R2912" i="1"/>
  <c r="R3035" i="1"/>
  <c r="R3055" i="1"/>
  <c r="R2930" i="1"/>
  <c r="R3005" i="1"/>
  <c r="R2897" i="1"/>
  <c r="R2956" i="1"/>
  <c r="R3001" i="1"/>
  <c r="R2907" i="1"/>
  <c r="R2908" i="1" s="1"/>
  <c r="R2915" i="1"/>
  <c r="R3019" i="1"/>
  <c r="R2971" i="1"/>
  <c r="R2979" i="1"/>
  <c r="R2999" i="1"/>
  <c r="R2950" i="1"/>
  <c r="R3023" i="1"/>
  <c r="R2901" i="1"/>
  <c r="R2905" i="1"/>
  <c r="R2906" i="1" s="1"/>
  <c r="R2904" i="1"/>
  <c r="R3002" i="1"/>
  <c r="R2973" i="1"/>
  <c r="R2977" i="1"/>
  <c r="R2894" i="1"/>
  <c r="R3006" i="1"/>
  <c r="R2939" i="1"/>
  <c r="R2940" i="1" s="1"/>
  <c r="R2941" i="1" s="1"/>
  <c r="R3052" i="1"/>
  <c r="R3054" i="1"/>
  <c r="R3020" i="1"/>
  <c r="R3016" i="1"/>
  <c r="R2984" i="1"/>
  <c r="R3004" i="1"/>
  <c r="R2985" i="1"/>
  <c r="R2961" i="1"/>
  <c r="R2974" i="1"/>
  <c r="R2994" i="1"/>
  <c r="R3009" i="1"/>
  <c r="R2917" i="1"/>
  <c r="R3030" i="1"/>
  <c r="R2980" i="1"/>
  <c r="R2902" i="1"/>
  <c r="R2955" i="1"/>
  <c r="R2963" i="1"/>
  <c r="R3003" i="1"/>
  <c r="R3028" i="1"/>
  <c r="R3018" i="1"/>
  <c r="R3017" i="1"/>
  <c r="R3024" i="1"/>
  <c r="R2944" i="1"/>
  <c r="R2946" i="1"/>
  <c r="R2931" i="1"/>
  <c r="R2976" i="1"/>
  <c r="R2989" i="1"/>
  <c r="R2954" i="1"/>
  <c r="R2962" i="1"/>
  <c r="R2982" i="1"/>
  <c r="R3015" i="1"/>
  <c r="R2920" i="1"/>
  <c r="R2959" i="1"/>
  <c r="R2942" i="1"/>
  <c r="R2998" i="1"/>
  <c r="R2913" i="1"/>
  <c r="R2966" i="1"/>
  <c r="R2948" i="1"/>
  <c r="R2928" i="1"/>
  <c r="R2903" i="1"/>
  <c r="R2945" i="1"/>
  <c r="R3029" i="1"/>
  <c r="R2997" i="1"/>
  <c r="R2991" i="1"/>
  <c r="R2992" i="1" s="1"/>
  <c r="R2993" i="1" s="1"/>
  <c r="R2953" i="1"/>
  <c r="R3021" i="1"/>
  <c r="R2949" i="1"/>
  <c r="R3000" i="1"/>
  <c r="R3040" i="1"/>
  <c r="R2900" i="1"/>
  <c r="R2919" i="1"/>
  <c r="R2981" i="1"/>
  <c r="R2960" i="1"/>
  <c r="R2952" i="1"/>
  <c r="R2932" i="1"/>
  <c r="R2986" i="1"/>
  <c r="R2968" i="1"/>
  <c r="R2964" i="1"/>
  <c r="R3056" i="1"/>
  <c r="R3039" i="1"/>
  <c r="R2899" i="1"/>
  <c r="R3036" i="1"/>
  <c r="R3038" i="1"/>
  <c r="R2957" i="1"/>
  <c r="R3049" i="1"/>
  <c r="R2898" i="1"/>
  <c r="R2918" i="1"/>
  <c r="R2958" i="1"/>
  <c r="R3031" i="1"/>
  <c r="R2916" i="1"/>
  <c r="R2951" i="1"/>
  <c r="E172" i="231"/>
  <c r="F172" i="231" s="1"/>
  <c r="G172" i="231" s="1"/>
  <c r="R2969" i="1" l="1"/>
  <c r="R3042" i="1"/>
  <c r="R3043" i="1" s="1"/>
  <c r="R3044" i="1" s="1"/>
  <c r="R3045" i="1" s="1"/>
  <c r="R3046" i="1" s="1"/>
  <c r="R2872" i="246"/>
  <c r="R2873" i="246" s="1"/>
  <c r="R2959" i="246"/>
  <c r="R2842" i="246"/>
  <c r="R2843" i="246" s="1"/>
  <c r="R2853" i="246"/>
  <c r="R2854" i="246" s="1"/>
  <c r="R2855" i="246" s="1"/>
  <c r="R2856" i="246" s="1"/>
  <c r="R2974" i="246"/>
  <c r="R2975" i="246" s="1"/>
  <c r="R2976" i="246" s="1"/>
  <c r="R2977" i="246" s="1"/>
  <c r="R2978" i="246" s="1"/>
  <c r="R2859" i="246"/>
  <c r="R2858" i="246"/>
  <c r="R2869" i="246"/>
  <c r="R2870" i="246" s="1"/>
  <c r="R3090" i="1"/>
  <c r="R3101" i="1"/>
  <c r="R3102" i="1" s="1"/>
  <c r="R3091" i="1"/>
  <c r="R3098" i="1"/>
  <c r="R3099" i="1" s="1"/>
  <c r="R3100" i="1" s="1"/>
  <c r="R3156" i="1"/>
  <c r="R3157" i="1" s="1"/>
  <c r="R3191" i="1"/>
  <c r="R3197" i="1"/>
  <c r="R3198" i="1" s="1"/>
  <c r="R3206" i="1"/>
  <c r="R3207" i="1" s="1"/>
  <c r="R3208" i="1" s="1"/>
  <c r="R3209" i="1" s="1"/>
  <c r="R3210" i="1" s="1"/>
  <c r="R3133" i="1"/>
  <c r="R3104" i="1"/>
  <c r="R3105" i="1" s="1"/>
  <c r="R3074" i="1"/>
  <c r="R3075" i="1" s="1"/>
  <c r="R3084" i="1"/>
  <c r="R3085" i="1"/>
  <c r="R3086" i="1" s="1"/>
  <c r="R3087" i="1" s="1"/>
  <c r="R3088" i="1" s="1"/>
  <c r="R2937" i="1"/>
  <c r="R2938" i="1" s="1"/>
  <c r="R2926" i="1"/>
  <c r="R2910" i="1"/>
  <c r="R2911" i="1" s="1"/>
  <c r="R2934" i="1" s="1"/>
  <c r="R2935" i="1" s="1"/>
  <c r="R2936" i="1" s="1"/>
  <c r="R3027" i="1"/>
  <c r="R2921" i="1"/>
  <c r="R2922" i="1" s="1"/>
  <c r="R2923" i="1" s="1"/>
  <c r="R2924" i="1" s="1"/>
  <c r="E173" i="231"/>
  <c r="F173" i="231" s="1"/>
  <c r="G173" i="231" s="1"/>
  <c r="E174" i="231" l="1"/>
  <c r="F174" i="231" s="1"/>
  <c r="G174" i="231" s="1"/>
  <c r="E175" i="231" l="1"/>
  <c r="F175" i="231" s="1"/>
  <c r="G175" i="231" s="1"/>
  <c r="N360" i="5"/>
  <c r="H24" i="187" s="1"/>
  <c r="H26" i="187" s="1"/>
  <c r="O2018" i="1" l="1"/>
  <c r="U2018" i="1" s="1"/>
  <c r="E176" i="231"/>
  <c r="F176" i="231" s="1"/>
  <c r="G176" i="231" s="1"/>
  <c r="I360" i="5"/>
  <c r="L360" i="5" s="1"/>
  <c r="O1951" i="246" l="1"/>
  <c r="R1951" i="246" s="1"/>
  <c r="R1952" i="246" s="1"/>
  <c r="R1953" i="246" s="1"/>
  <c r="R1954" i="246" s="1"/>
  <c r="G24" i="187"/>
  <c r="G26" i="187" s="1"/>
  <c r="E177" i="231"/>
  <c r="F177" i="231" s="1"/>
  <c r="G177" i="231" s="1"/>
  <c r="M2018" i="1"/>
  <c r="S2018" i="1" s="1"/>
  <c r="N34" i="5"/>
  <c r="S1951" i="246" l="1"/>
  <c r="E178" i="231"/>
  <c r="F178" i="231" s="1"/>
  <c r="G178" i="231" s="1"/>
  <c r="R2018" i="1"/>
  <c r="R2019" i="1" s="1"/>
  <c r="R2020" i="1" s="1"/>
  <c r="R2021" i="1" s="1"/>
  <c r="N38" i="5"/>
  <c r="E179" i="231" l="1"/>
  <c r="F179" i="231" s="1"/>
  <c r="G179" i="231" s="1"/>
  <c r="N37" i="5"/>
  <c r="N36" i="5"/>
  <c r="O2738" i="1" l="1"/>
  <c r="R2738" i="1" s="1"/>
  <c r="O2739" i="1"/>
  <c r="R2739" i="1" s="1"/>
  <c r="E180" i="231"/>
  <c r="F180" i="231" s="1"/>
  <c r="G180" i="231" s="1"/>
  <c r="Y2739" i="1" l="1"/>
  <c r="U2739" i="1"/>
  <c r="Z2739" i="1"/>
  <c r="X3706" i="1"/>
  <c r="X3378" i="1"/>
  <c r="E181" i="231"/>
  <c r="F181" i="231" s="1"/>
  <c r="G181" i="231" s="1"/>
  <c r="Y2738" i="1"/>
  <c r="Z2738" i="1"/>
  <c r="U2738" i="1"/>
  <c r="D2738" i="1" l="1"/>
  <c r="D2739" i="1"/>
  <c r="E182" i="231"/>
  <c r="F182" i="231" s="1"/>
  <c r="G182" i="231" s="1"/>
  <c r="N227" i="5"/>
  <c r="H15" i="170" s="1"/>
  <c r="E183" i="231" l="1"/>
  <c r="F183" i="231" s="1"/>
  <c r="G183" i="231" s="1"/>
  <c r="N138" i="5"/>
  <c r="O2509" i="1" s="1"/>
  <c r="N137" i="5"/>
  <c r="O2708" i="1" s="1"/>
  <c r="R2708" i="1" s="1"/>
  <c r="N136" i="5"/>
  <c r="O2707" i="1" s="1"/>
  <c r="R2707" i="1" s="1"/>
  <c r="N135" i="5"/>
  <c r="O2706" i="1" s="1"/>
  <c r="R2706" i="1" s="1"/>
  <c r="N134" i="5"/>
  <c r="O2705" i="1" s="1"/>
  <c r="R2705" i="1" s="1"/>
  <c r="E184" i="231" l="1"/>
  <c r="F184" i="231" s="1"/>
  <c r="G184" i="231" s="1"/>
  <c r="O2709" i="1"/>
  <c r="N190" i="5"/>
  <c r="O2188" i="1" s="1"/>
  <c r="N198" i="5"/>
  <c r="O2196" i="1" s="1"/>
  <c r="N191" i="5"/>
  <c r="O2189" i="1" s="1"/>
  <c r="N195" i="5"/>
  <c r="O2193" i="1" s="1"/>
  <c r="E185" i="231" l="1"/>
  <c r="F185" i="231" s="1"/>
  <c r="G185" i="231" s="1"/>
  <c r="H14" i="168"/>
  <c r="H21" i="168"/>
  <c r="H13" i="168"/>
  <c r="H18" i="168"/>
  <c r="I195" i="5"/>
  <c r="N201" i="5"/>
  <c r="N192" i="5"/>
  <c r="O2190" i="1" s="1"/>
  <c r="I191" i="5"/>
  <c r="I198" i="5"/>
  <c r="I190" i="5"/>
  <c r="L190" i="5" s="1"/>
  <c r="O2121" i="246" s="1"/>
  <c r="R2121" i="246" s="1"/>
  <c r="N200" i="5"/>
  <c r="H26" i="168" s="1"/>
  <c r="N210" i="5"/>
  <c r="N208" i="5"/>
  <c r="N207" i="5"/>
  <c r="O2201" i="1" l="1"/>
  <c r="U2201" i="1" s="1"/>
  <c r="I200" i="5"/>
  <c r="L200" i="5" s="1"/>
  <c r="M2188" i="1"/>
  <c r="R2188" i="1" s="1"/>
  <c r="E186" i="231"/>
  <c r="F186" i="231" s="1"/>
  <c r="G186" i="231" s="1"/>
  <c r="H15" i="168"/>
  <c r="G13" i="168"/>
  <c r="O2230" i="1"/>
  <c r="H16" i="169"/>
  <c r="O2227" i="1"/>
  <c r="H13" i="169"/>
  <c r="O2228" i="1"/>
  <c r="H14" i="169"/>
  <c r="I210" i="5"/>
  <c r="L210" i="5" s="1"/>
  <c r="O2163" i="246" s="1"/>
  <c r="R2163" i="246" s="1"/>
  <c r="N193" i="5"/>
  <c r="O2191" i="1" s="1"/>
  <c r="I208" i="5"/>
  <c r="L208" i="5" s="1"/>
  <c r="O2161" i="246" s="1"/>
  <c r="R2161" i="246" s="1"/>
  <c r="I201" i="5"/>
  <c r="L201" i="5" s="1"/>
  <c r="N199" i="5"/>
  <c r="O2197" i="1" s="1"/>
  <c r="E332" i="4"/>
  <c r="I192" i="5"/>
  <c r="L192" i="5" s="1"/>
  <c r="O2123" i="246" s="1"/>
  <c r="R2123" i="246" s="1"/>
  <c r="I207" i="5"/>
  <c r="L207" i="5" s="1"/>
  <c r="O2160" i="246" s="1"/>
  <c r="R2160" i="246" s="1"/>
  <c r="N194" i="5"/>
  <c r="O2192" i="1" s="1"/>
  <c r="O2134" i="246" l="1"/>
  <c r="S2134" i="246" s="1"/>
  <c r="G26" i="168"/>
  <c r="M2190" i="1"/>
  <c r="R2190" i="1" s="1"/>
  <c r="M2201" i="1"/>
  <c r="R2201" i="1" s="1"/>
  <c r="H22" i="168"/>
  <c r="E187" i="231"/>
  <c r="F187" i="231" s="1"/>
  <c r="G187" i="231" s="1"/>
  <c r="H17" i="168"/>
  <c r="G15" i="168"/>
  <c r="H16" i="168"/>
  <c r="M2227" i="1"/>
  <c r="R2227" i="1" s="1"/>
  <c r="G13" i="169"/>
  <c r="M2228" i="1"/>
  <c r="R2228" i="1" s="1"/>
  <c r="G14" i="169"/>
  <c r="M2230" i="1"/>
  <c r="R2230" i="1" s="1"/>
  <c r="G16" i="169"/>
  <c r="I199" i="5"/>
  <c r="L199" i="5" s="1"/>
  <c r="I194" i="5"/>
  <c r="I193" i="5"/>
  <c r="E342" i="4"/>
  <c r="R2134" i="246" l="1"/>
  <c r="R2131" i="246" s="1"/>
  <c r="M2197" i="1"/>
  <c r="R2197" i="1" s="1"/>
  <c r="O2130" i="246"/>
  <c r="R2130" i="246" s="1"/>
  <c r="R2198" i="1"/>
  <c r="R2199" i="1"/>
  <c r="R2200" i="1"/>
  <c r="E188" i="231"/>
  <c r="F188" i="231" s="1"/>
  <c r="G188" i="231" s="1"/>
  <c r="G22" i="168"/>
  <c r="S2201" i="1"/>
  <c r="E377" i="4"/>
  <c r="N174" i="5"/>
  <c r="N173" i="5"/>
  <c r="N171" i="5"/>
  <c r="N81" i="5"/>
  <c r="N80" i="5"/>
  <c r="N79" i="5"/>
  <c r="N78" i="5"/>
  <c r="N111" i="5"/>
  <c r="N112" i="5"/>
  <c r="N18" i="5"/>
  <c r="H45" i="248" s="1"/>
  <c r="N29" i="5"/>
  <c r="N30" i="5"/>
  <c r="N75" i="5"/>
  <c r="N76" i="5"/>
  <c r="N77" i="5"/>
  <c r="N130" i="5"/>
  <c r="N131" i="5"/>
  <c r="O2702" i="1" s="1"/>
  <c r="R2702" i="1" s="1"/>
  <c r="N132" i="5"/>
  <c r="O2703" i="1" s="1"/>
  <c r="R2703" i="1" s="1"/>
  <c r="N113" i="5"/>
  <c r="N114" i="5"/>
  <c r="N19" i="5"/>
  <c r="H46" i="248" s="1"/>
  <c r="N20" i="5"/>
  <c r="H47" i="248" s="1"/>
  <c r="N399" i="5"/>
  <c r="N397" i="5"/>
  <c r="N392" i="5"/>
  <c r="N388" i="5"/>
  <c r="O2427" i="1" s="1"/>
  <c r="R2427" i="1" s="1"/>
  <c r="N387" i="5"/>
  <c r="O2426" i="1" s="1"/>
  <c r="N384" i="5"/>
  <c r="N377" i="5"/>
  <c r="N365" i="5"/>
  <c r="N312" i="5"/>
  <c r="N306" i="5"/>
  <c r="N301" i="5"/>
  <c r="N282" i="5"/>
  <c r="N278" i="5"/>
  <c r="N274" i="5"/>
  <c r="N270" i="5"/>
  <c r="N266" i="5"/>
  <c r="N262" i="5"/>
  <c r="N258" i="5"/>
  <c r="N254" i="5"/>
  <c r="N237" i="5"/>
  <c r="O1470" i="1" s="1"/>
  <c r="N234" i="5"/>
  <c r="N219" i="5"/>
  <c r="N182" i="5"/>
  <c r="N181" i="5"/>
  <c r="N179" i="5"/>
  <c r="N178" i="5"/>
  <c r="O2153" i="1" s="1"/>
  <c r="R2153" i="1" s="1"/>
  <c r="N177" i="5"/>
  <c r="O2152" i="1" s="1"/>
  <c r="R2152" i="1" s="1"/>
  <c r="N175" i="5"/>
  <c r="N167" i="5"/>
  <c r="N166" i="5"/>
  <c r="N165" i="5"/>
  <c r="N164" i="5"/>
  <c r="N163" i="5"/>
  <c r="N159" i="5"/>
  <c r="N158" i="5"/>
  <c r="N153" i="5"/>
  <c r="N133" i="5"/>
  <c r="O2704" i="1" s="1"/>
  <c r="R2704" i="1" s="1"/>
  <c r="N128" i="5"/>
  <c r="O2699" i="1" s="1"/>
  <c r="R2699" i="1" s="1"/>
  <c r="N125" i="5"/>
  <c r="N124" i="5"/>
  <c r="N123" i="5"/>
  <c r="O2694" i="1" s="1"/>
  <c r="R2694" i="1" s="1"/>
  <c r="N121" i="5"/>
  <c r="N119" i="5"/>
  <c r="O2689" i="1" s="1"/>
  <c r="R2689" i="1" s="1"/>
  <c r="N118" i="5"/>
  <c r="O2688" i="1" s="1"/>
  <c r="R2688" i="1" s="1"/>
  <c r="N117" i="5"/>
  <c r="N116" i="5"/>
  <c r="O2686" i="1" s="1"/>
  <c r="R2686" i="1" s="1"/>
  <c r="N115" i="5"/>
  <c r="N107" i="5"/>
  <c r="N103" i="5"/>
  <c r="O2679" i="1" s="1"/>
  <c r="R2679" i="1" s="1"/>
  <c r="N101" i="5"/>
  <c r="N100" i="5"/>
  <c r="N99" i="5"/>
  <c r="N95" i="5"/>
  <c r="N94" i="5"/>
  <c r="N89" i="5"/>
  <c r="N88" i="5"/>
  <c r="O1244" i="1" s="1"/>
  <c r="R1244" i="1" s="1"/>
  <c r="N87" i="5"/>
  <c r="O1243" i="1" s="1"/>
  <c r="R1243" i="1" s="1"/>
  <c r="N83" i="5"/>
  <c r="N71" i="5"/>
  <c r="N69" i="5"/>
  <c r="N67" i="5"/>
  <c r="N66" i="5"/>
  <c r="N63" i="5"/>
  <c r="O1174" i="1" s="1"/>
  <c r="R1174" i="1" s="1"/>
  <c r="N60" i="5"/>
  <c r="N59" i="5"/>
  <c r="N58" i="5"/>
  <c r="N57" i="5"/>
  <c r="N56" i="5"/>
  <c r="N54" i="5"/>
  <c r="N53" i="5"/>
  <c r="O2634" i="1" s="1"/>
  <c r="R2634" i="1" s="1"/>
  <c r="N52" i="5"/>
  <c r="N51" i="5"/>
  <c r="N47" i="5"/>
  <c r="O2629" i="1" s="1"/>
  <c r="R2629" i="1" s="1"/>
  <c r="N42" i="5"/>
  <c r="O2627" i="1" s="1"/>
  <c r="R2627" i="1" s="1"/>
  <c r="N40" i="5"/>
  <c r="H51" i="248" s="1"/>
  <c r="N32" i="5"/>
  <c r="N31" i="5"/>
  <c r="N25" i="5"/>
  <c r="N24" i="5"/>
  <c r="N23" i="5"/>
  <c r="N22" i="5"/>
  <c r="H49" i="248" s="1"/>
  <c r="N21" i="5"/>
  <c r="H48" i="248" s="1"/>
  <c r="N15" i="5"/>
  <c r="N14" i="5"/>
  <c r="N13" i="5"/>
  <c r="N10" i="5"/>
  <c r="O1076" i="1" s="1"/>
  <c r="R1076" i="1" s="1"/>
  <c r="E47" i="248" l="1"/>
  <c r="C47" i="248"/>
  <c r="C45" i="248"/>
  <c r="E45" i="248"/>
  <c r="E46" i="248"/>
  <c r="C46" i="248"/>
  <c r="C48" i="248"/>
  <c r="E48" i="248"/>
  <c r="C49" i="248"/>
  <c r="E49" i="248"/>
  <c r="E51" i="248"/>
  <c r="C51" i="248" s="1"/>
  <c r="R2426" i="1"/>
  <c r="U1470" i="1"/>
  <c r="R1470" i="1"/>
  <c r="O2677" i="1"/>
  <c r="H19" i="240"/>
  <c r="O1357" i="1"/>
  <c r="R1357" i="1" s="1"/>
  <c r="O1423" i="1"/>
  <c r="R1423" i="1" s="1"/>
  <c r="O2599" i="1"/>
  <c r="R2599" i="1" s="1"/>
  <c r="O2597" i="1"/>
  <c r="R2597" i="1" s="1"/>
  <c r="O2649" i="1"/>
  <c r="R2649" i="1" s="1"/>
  <c r="O2600" i="1"/>
  <c r="R2600" i="1" s="1"/>
  <c r="O2598" i="1"/>
  <c r="R2598" i="1" s="1"/>
  <c r="O2650" i="1"/>
  <c r="R2650" i="1" s="1"/>
  <c r="O2601" i="1"/>
  <c r="R2601" i="1" s="1"/>
  <c r="O2651" i="1"/>
  <c r="R2651" i="1" s="1"/>
  <c r="O2647" i="1"/>
  <c r="R2647" i="1" s="1"/>
  <c r="O2648" i="1"/>
  <c r="R2648" i="1" s="1"/>
  <c r="D1117" i="246"/>
  <c r="O1145" i="1"/>
  <c r="D1156" i="1"/>
  <c r="O693" i="1"/>
  <c r="R693" i="1" s="1"/>
  <c r="O2160" i="1"/>
  <c r="R2160" i="1" s="1"/>
  <c r="O2161" i="1"/>
  <c r="R2161" i="1" s="1"/>
  <c r="O694" i="1"/>
  <c r="R694" i="1" s="1"/>
  <c r="O2127" i="1"/>
  <c r="R2127" i="1" s="1"/>
  <c r="O683" i="1"/>
  <c r="R683" i="1" s="1"/>
  <c r="O2126" i="1"/>
  <c r="R2126" i="1" s="1"/>
  <c r="O682" i="1"/>
  <c r="R682" i="1" s="1"/>
  <c r="R2133" i="246"/>
  <c r="R2132" i="246"/>
  <c r="O1146" i="1"/>
  <c r="R1146" i="1" s="1"/>
  <c r="O1148" i="1"/>
  <c r="R1148" i="1" s="1"/>
  <c r="O1149" i="1"/>
  <c r="R1149" i="1" s="1"/>
  <c r="O1147" i="1"/>
  <c r="R1147" i="1" s="1"/>
  <c r="O645" i="1"/>
  <c r="X645" i="1" s="1"/>
  <c r="I377" i="5"/>
  <c r="L377" i="5" s="1"/>
  <c r="O647" i="246" s="1"/>
  <c r="I392" i="5"/>
  <c r="L392" i="5" s="1"/>
  <c r="O2399" i="1"/>
  <c r="E189" i="231"/>
  <c r="F189" i="231" s="1"/>
  <c r="G189" i="231" s="1"/>
  <c r="O2687" i="1"/>
  <c r="R2687" i="1" s="1"/>
  <c r="O2641" i="1"/>
  <c r="R2641" i="1" s="1"/>
  <c r="O2701" i="1"/>
  <c r="R2701" i="1" s="1"/>
  <c r="O2625" i="1"/>
  <c r="R2625" i="1" s="1"/>
  <c r="O2646" i="1"/>
  <c r="R2646" i="1" s="1"/>
  <c r="O2645" i="1"/>
  <c r="R2645" i="1" s="1"/>
  <c r="O705" i="1"/>
  <c r="R705" i="1" s="1"/>
  <c r="N12" i="5"/>
  <c r="N27" i="5"/>
  <c r="N252" i="5"/>
  <c r="H1567" i="1" s="1"/>
  <c r="N260" i="5"/>
  <c r="J1567" i="1" s="1"/>
  <c r="N268" i="5"/>
  <c r="K1567" i="1" s="1"/>
  <c r="N61" i="5"/>
  <c r="O1101" i="1"/>
  <c r="R1101" i="1" s="1"/>
  <c r="O2614" i="1"/>
  <c r="R2614" i="1" s="1"/>
  <c r="N98" i="5"/>
  <c r="N156" i="5"/>
  <c r="N253" i="5"/>
  <c r="H1574" i="1" s="1"/>
  <c r="N261" i="5"/>
  <c r="J1574" i="1" s="1"/>
  <c r="N269" i="5"/>
  <c r="K1574" i="1" s="1"/>
  <c r="N353" i="5"/>
  <c r="O1100" i="1"/>
  <c r="R1100" i="1" s="1"/>
  <c r="O2613" i="1"/>
  <c r="R2613" i="1" s="1"/>
  <c r="O2685" i="1"/>
  <c r="R2685" i="1" s="1"/>
  <c r="O1102" i="1"/>
  <c r="R1102" i="1" s="1"/>
  <c r="O2615" i="1"/>
  <c r="R2615" i="1" s="1"/>
  <c r="N84" i="5"/>
  <c r="N90" i="5"/>
  <c r="O1265" i="1"/>
  <c r="R1265" i="1" s="1"/>
  <c r="O2722" i="1"/>
  <c r="R2722" i="1" s="1"/>
  <c r="N120" i="5"/>
  <c r="O2696" i="1"/>
  <c r="R2696" i="1" s="1"/>
  <c r="N140" i="5"/>
  <c r="N152" i="5"/>
  <c r="O1298" i="1" s="1"/>
  <c r="R1298" i="1" s="1"/>
  <c r="N228" i="5"/>
  <c r="N250" i="5"/>
  <c r="N273" i="5"/>
  <c r="K1575" i="1" s="1"/>
  <c r="N341" i="5"/>
  <c r="N358" i="5"/>
  <c r="N373" i="5"/>
  <c r="N378" i="5"/>
  <c r="N74" i="5"/>
  <c r="O2612" i="1"/>
  <c r="R2612" i="1" s="1"/>
  <c r="O1099" i="1"/>
  <c r="R1099" i="1" s="1"/>
  <c r="N85" i="5"/>
  <c r="N55" i="5"/>
  <c r="N65" i="5"/>
  <c r="N93" i="5"/>
  <c r="N110" i="5"/>
  <c r="N184" i="5"/>
  <c r="N318" i="5"/>
  <c r="O1263" i="1"/>
  <c r="R1263" i="1" s="1"/>
  <c r="O2724" i="1"/>
  <c r="R2724" i="1" s="1"/>
  <c r="O1264" i="1"/>
  <c r="R1264" i="1" s="1"/>
  <c r="O2719" i="1"/>
  <c r="N257" i="5"/>
  <c r="H1575" i="1" s="1"/>
  <c r="N265" i="5"/>
  <c r="J1575" i="1" s="1"/>
  <c r="N39" i="5"/>
  <c r="N43" i="5"/>
  <c r="N68" i="5"/>
  <c r="N82" i="5"/>
  <c r="N92" i="5"/>
  <c r="O1235" i="1" s="1"/>
  <c r="R1235" i="1" s="1"/>
  <c r="N97" i="5"/>
  <c r="N141" i="5"/>
  <c r="N277" i="5"/>
  <c r="M1574" i="1" s="1"/>
  <c r="N281" i="5"/>
  <c r="M1575" i="1" s="1"/>
  <c r="N73" i="5"/>
  <c r="N28" i="5"/>
  <c r="N371" i="5"/>
  <c r="N394" i="5"/>
  <c r="N390" i="5"/>
  <c r="O2429" i="1" s="1"/>
  <c r="R2429" i="1" s="1"/>
  <c r="N151" i="5"/>
  <c r="O1297" i="1" s="1"/>
  <c r="R1297" i="1" s="1"/>
  <c r="N389" i="5"/>
  <c r="O2428" i="1" s="1"/>
  <c r="R2428" i="1" s="1"/>
  <c r="N162" i="5"/>
  <c r="O1365" i="1" s="1"/>
  <c r="N370" i="5"/>
  <c r="N391" i="5"/>
  <c r="O2430" i="1" s="1"/>
  <c r="R2430" i="1" s="1"/>
  <c r="N364" i="5"/>
  <c r="N375" i="5"/>
  <c r="N383" i="5"/>
  <c r="N400" i="5"/>
  <c r="N206" i="5"/>
  <c r="N352" i="5"/>
  <c r="H30" i="229" s="1"/>
  <c r="N329" i="5"/>
  <c r="N331" i="5"/>
  <c r="H15" i="229" s="1"/>
  <c r="N205" i="5"/>
  <c r="N348" i="5"/>
  <c r="H26" i="229" s="1"/>
  <c r="N212" i="5"/>
  <c r="N168" i="5"/>
  <c r="N214" i="5"/>
  <c r="N204" i="5"/>
  <c r="N356" i="5"/>
  <c r="N340" i="5"/>
  <c r="N355" i="5"/>
  <c r="N311" i="5"/>
  <c r="N351" i="5"/>
  <c r="H29" i="229" s="1"/>
  <c r="N380" i="5"/>
  <c r="N279" i="5"/>
  <c r="M1564" i="1" s="1"/>
  <c r="N218" i="5"/>
  <c r="N369" i="5"/>
  <c r="N217" i="5"/>
  <c r="N213" i="5"/>
  <c r="N251" i="5"/>
  <c r="H1563" i="1" s="1"/>
  <c r="N259" i="5"/>
  <c r="J1563" i="1" s="1"/>
  <c r="N309" i="5"/>
  <c r="N349" i="5"/>
  <c r="H27" i="229" s="1"/>
  <c r="N376" i="5"/>
  <c r="N215" i="5"/>
  <c r="N180" i="5"/>
  <c r="O2159" i="1" s="1"/>
  <c r="N216" i="5"/>
  <c r="N314" i="5"/>
  <c r="N307" i="5"/>
  <c r="N315" i="5"/>
  <c r="N316" i="5"/>
  <c r="N263" i="5"/>
  <c r="J1564" i="1" s="1"/>
  <c r="N255" i="5"/>
  <c r="H1564" i="1" s="1"/>
  <c r="N172" i="5"/>
  <c r="O681" i="1" s="1"/>
  <c r="N271" i="5"/>
  <c r="K1564" i="1" s="1"/>
  <c r="N310" i="5"/>
  <c r="N176" i="5"/>
  <c r="N267" i="5"/>
  <c r="K1563" i="1" s="1"/>
  <c r="N320" i="5"/>
  <c r="H10" i="229" s="1"/>
  <c r="N333" i="5"/>
  <c r="N188" i="5"/>
  <c r="N393" i="5"/>
  <c r="N308" i="5"/>
  <c r="N275" i="5"/>
  <c r="M1563" i="1" s="1"/>
  <c r="N368" i="5"/>
  <c r="N379" i="5"/>
  <c r="N395" i="5"/>
  <c r="X2426" i="1" l="1"/>
  <c r="O532" i="1"/>
  <c r="U532" i="1" s="1"/>
  <c r="O2678" i="1"/>
  <c r="R2678" i="1" s="1"/>
  <c r="K1560" i="1"/>
  <c r="K1585" i="1"/>
  <c r="K1607" i="1" s="1"/>
  <c r="O1574" i="1"/>
  <c r="H1571" i="1"/>
  <c r="O1564" i="1"/>
  <c r="J1560" i="1"/>
  <c r="J1585" i="1"/>
  <c r="J1607" i="1" s="1"/>
  <c r="O1965" i="1"/>
  <c r="H18" i="229"/>
  <c r="M1571" i="1"/>
  <c r="M1560" i="1"/>
  <c r="O1958" i="1"/>
  <c r="H17" i="229"/>
  <c r="H1585" i="1"/>
  <c r="H1607" i="1" s="1"/>
  <c r="H1560" i="1"/>
  <c r="O1563" i="1"/>
  <c r="O1946" i="1"/>
  <c r="H13" i="229"/>
  <c r="O1575" i="1"/>
  <c r="K1571" i="1"/>
  <c r="J1571" i="1"/>
  <c r="R1117" i="246"/>
  <c r="O1969" i="1"/>
  <c r="O2692" i="1"/>
  <c r="R2692" i="1" s="1"/>
  <c r="O2512" i="1"/>
  <c r="R2512" i="1" s="1"/>
  <c r="H17" i="178"/>
  <c r="O2053" i="1"/>
  <c r="O1967" i="1"/>
  <c r="O1966" i="1"/>
  <c r="O1970" i="1"/>
  <c r="H16" i="178"/>
  <c r="O2052" i="1"/>
  <c r="H15" i="178"/>
  <c r="O2051" i="1"/>
  <c r="O2156" i="1"/>
  <c r="U2156" i="1" s="1"/>
  <c r="O2151" i="1"/>
  <c r="O2148" i="1" s="1"/>
  <c r="O692" i="1"/>
  <c r="O697" i="1" s="1"/>
  <c r="H14" i="178"/>
  <c r="O2050" i="1"/>
  <c r="O2332" i="246"/>
  <c r="R647" i="246"/>
  <c r="U647" i="246"/>
  <c r="O1937" i="1"/>
  <c r="O2186" i="1"/>
  <c r="M645" i="1"/>
  <c r="O1956" i="1"/>
  <c r="M2399" i="1"/>
  <c r="R2399" i="1" s="1"/>
  <c r="E190" i="231"/>
  <c r="F190" i="231" s="1"/>
  <c r="G190" i="231" s="1"/>
  <c r="H11" i="168"/>
  <c r="O2235" i="1"/>
  <c r="H21" i="169"/>
  <c r="O2232" i="1"/>
  <c r="H18" i="169"/>
  <c r="O2233" i="1"/>
  <c r="H19" i="169"/>
  <c r="O2238" i="1"/>
  <c r="H24" i="169"/>
  <c r="O2236" i="1"/>
  <c r="H22" i="169"/>
  <c r="O2224" i="1"/>
  <c r="H10" i="169"/>
  <c r="O2237" i="1"/>
  <c r="H23" i="169"/>
  <c r="O2234" i="1"/>
  <c r="H20" i="169"/>
  <c r="O2225" i="1"/>
  <c r="H11" i="169"/>
  <c r="O2226" i="1"/>
  <c r="H12" i="169"/>
  <c r="O2633" i="1"/>
  <c r="R2633" i="1" s="1"/>
  <c r="I371" i="5"/>
  <c r="L371" i="5" s="1"/>
  <c r="O2355" i="1"/>
  <c r="I370" i="5"/>
  <c r="L370" i="5" s="1"/>
  <c r="O2354" i="1"/>
  <c r="O2638" i="1"/>
  <c r="R2638" i="1" s="1"/>
  <c r="O2644" i="1"/>
  <c r="R2644" i="1" s="1"/>
  <c r="O2691" i="1"/>
  <c r="R2691" i="1" s="1"/>
  <c r="O2635" i="1"/>
  <c r="R2635" i="1" s="1"/>
  <c r="R2677" i="1"/>
  <c r="O2643" i="1"/>
  <c r="R2643" i="1" s="1"/>
  <c r="O2639" i="1"/>
  <c r="R2639" i="1" s="1"/>
  <c r="R1156" i="1"/>
  <c r="I393" i="5"/>
  <c r="L393" i="5" s="1"/>
  <c r="M751" i="1" s="1"/>
  <c r="O2400" i="1"/>
  <c r="O1905" i="1"/>
  <c r="I315" i="5"/>
  <c r="L315" i="5" s="1"/>
  <c r="O1839" i="246" s="1"/>
  <c r="R1839" i="246" s="1"/>
  <c r="I311" i="5"/>
  <c r="L311" i="5" s="1"/>
  <c r="O1810" i="246" s="1"/>
  <c r="R1810" i="246" s="1"/>
  <c r="O1876" i="1"/>
  <c r="I214" i="5"/>
  <c r="L214" i="5" s="1"/>
  <c r="O2167" i="246" s="1"/>
  <c r="R2167" i="246" s="1"/>
  <c r="I212" i="5"/>
  <c r="L212" i="5" s="1"/>
  <c r="O2165" i="246" s="1"/>
  <c r="R2165" i="246" s="1"/>
  <c r="N221" i="5"/>
  <c r="N276" i="5"/>
  <c r="M1567" i="1" s="1"/>
  <c r="O1567" i="1" s="1"/>
  <c r="N230" i="5"/>
  <c r="O1454" i="1" s="1"/>
  <c r="U1454" i="1" s="1"/>
  <c r="N50" i="5"/>
  <c r="N127" i="5"/>
  <c r="H113" i="248" s="1"/>
  <c r="N226" i="5"/>
  <c r="N154" i="5"/>
  <c r="N126" i="5"/>
  <c r="N317" i="5"/>
  <c r="O1906" i="1"/>
  <c r="I316" i="5"/>
  <c r="L316" i="5" s="1"/>
  <c r="N169" i="5"/>
  <c r="I309" i="5"/>
  <c r="L309" i="5" s="1"/>
  <c r="O1808" i="246" s="1"/>
  <c r="R1808" i="246" s="1"/>
  <c r="O1874" i="1"/>
  <c r="O2353" i="1"/>
  <c r="I369" i="5"/>
  <c r="L369" i="5" s="1"/>
  <c r="I340" i="5"/>
  <c r="I348" i="5"/>
  <c r="L348" i="5" s="1"/>
  <c r="I205" i="5"/>
  <c r="L205" i="5" s="1"/>
  <c r="O2158" i="246" s="1"/>
  <c r="R2158" i="246" s="1"/>
  <c r="N231" i="5"/>
  <c r="N41" i="5"/>
  <c r="N122" i="5"/>
  <c r="I394" i="5"/>
  <c r="L394" i="5" s="1"/>
  <c r="O2401" i="1"/>
  <c r="H20" i="167"/>
  <c r="I379" i="5"/>
  <c r="L379" i="5" s="1"/>
  <c r="O2324" i="1"/>
  <c r="I188" i="5"/>
  <c r="L188" i="5" s="1"/>
  <c r="O2119" i="246" s="1"/>
  <c r="R2119" i="246" s="1"/>
  <c r="I267" i="5"/>
  <c r="L267" i="5" s="1"/>
  <c r="K1525" i="246" s="1"/>
  <c r="I172" i="5"/>
  <c r="L172" i="5" s="1"/>
  <c r="O683" i="246" s="1"/>
  <c r="O686" i="1"/>
  <c r="O624" i="1"/>
  <c r="O2125" i="1"/>
  <c r="I215" i="5"/>
  <c r="L215" i="5" s="1"/>
  <c r="O2168" i="246" s="1"/>
  <c r="R2168" i="246" s="1"/>
  <c r="I213" i="5"/>
  <c r="L213" i="5" s="1"/>
  <c r="O2166" i="246" s="1"/>
  <c r="R2166" i="246" s="1"/>
  <c r="I352" i="5"/>
  <c r="L352" i="5" s="1"/>
  <c r="I206" i="5"/>
  <c r="L206" i="5" s="1"/>
  <c r="O2159" i="246" s="1"/>
  <c r="R2159" i="246" s="1"/>
  <c r="N374" i="5"/>
  <c r="O1873" i="1"/>
  <c r="I308" i="5"/>
  <c r="L308" i="5" s="1"/>
  <c r="O1807" i="246" s="1"/>
  <c r="R1807" i="246" s="1"/>
  <c r="I314" i="5"/>
  <c r="L314" i="5" s="1"/>
  <c r="O1838" i="246" s="1"/>
  <c r="R1838" i="246" s="1"/>
  <c r="O1904" i="1"/>
  <c r="I216" i="5"/>
  <c r="L216" i="5" s="1"/>
  <c r="O2169" i="246" s="1"/>
  <c r="R2169" i="246" s="1"/>
  <c r="I180" i="5"/>
  <c r="L180" i="5" s="1"/>
  <c r="I349" i="5"/>
  <c r="L349" i="5" s="1"/>
  <c r="I351" i="5"/>
  <c r="L351" i="5" s="1"/>
  <c r="N366" i="5"/>
  <c r="I204" i="5"/>
  <c r="L204" i="5" s="1"/>
  <c r="O2157" i="246" s="1"/>
  <c r="R2157" i="246" s="1"/>
  <c r="I331" i="5"/>
  <c r="I329" i="5"/>
  <c r="N144" i="5"/>
  <c r="N62" i="5"/>
  <c r="N143" i="5"/>
  <c r="N48" i="5"/>
  <c r="N149" i="5"/>
  <c r="N64" i="5"/>
  <c r="N70" i="5"/>
  <c r="O2640" i="1" s="1"/>
  <c r="R2640" i="1" s="1"/>
  <c r="N129" i="5"/>
  <c r="O2611" i="1"/>
  <c r="O2608" i="1" s="1"/>
  <c r="O1098" i="1"/>
  <c r="O1124" i="1" s="1"/>
  <c r="I368" i="5"/>
  <c r="L368" i="5" s="1"/>
  <c r="O2352" i="1"/>
  <c r="I217" i="5"/>
  <c r="L217" i="5" s="1"/>
  <c r="O2170" i="246" s="1"/>
  <c r="R2170" i="246" s="1"/>
  <c r="N49" i="5"/>
  <c r="R2719" i="1"/>
  <c r="I320" i="5"/>
  <c r="L320" i="5" s="1"/>
  <c r="I310" i="5"/>
  <c r="L310" i="5" s="1"/>
  <c r="O1809" i="246" s="1"/>
  <c r="R1809" i="246" s="1"/>
  <c r="O1875" i="1"/>
  <c r="O595" i="1"/>
  <c r="O1872" i="1"/>
  <c r="I307" i="5"/>
  <c r="L307" i="5" s="1"/>
  <c r="N354" i="5"/>
  <c r="I251" i="5"/>
  <c r="L251" i="5" s="1"/>
  <c r="H1525" i="246" s="1"/>
  <c r="N372" i="5"/>
  <c r="O2325" i="1"/>
  <c r="I380" i="5"/>
  <c r="L380" i="5" s="1"/>
  <c r="O2258" i="246" s="1"/>
  <c r="R2258" i="246" s="1"/>
  <c r="H37" i="167"/>
  <c r="N220" i="5"/>
  <c r="H91" i="167"/>
  <c r="O2328" i="1"/>
  <c r="I383" i="5"/>
  <c r="L383" i="5" s="1"/>
  <c r="O2261" i="246" s="1"/>
  <c r="R2261" i="246" s="1"/>
  <c r="H93" i="187"/>
  <c r="I364" i="5"/>
  <c r="L364" i="5" s="1"/>
  <c r="O1958" i="246" s="1"/>
  <c r="O2025" i="1"/>
  <c r="U2025" i="1" s="1"/>
  <c r="N150" i="5"/>
  <c r="N148" i="5"/>
  <c r="N396" i="5"/>
  <c r="N17" i="5"/>
  <c r="R1145" i="1"/>
  <c r="O1152" i="1"/>
  <c r="X1152" i="1" s="1"/>
  <c r="O2402" i="1"/>
  <c r="I395" i="5"/>
  <c r="L395" i="5" s="1"/>
  <c r="O2335" i="246" s="1"/>
  <c r="R2335" i="246" s="1"/>
  <c r="I333" i="5"/>
  <c r="L333" i="5" s="1"/>
  <c r="O625" i="1"/>
  <c r="I176" i="5"/>
  <c r="L176" i="5" s="1"/>
  <c r="I376" i="5"/>
  <c r="L376" i="5" s="1"/>
  <c r="O2311" i="246" s="1"/>
  <c r="R2311" i="246" s="1"/>
  <c r="O2378" i="1"/>
  <c r="I259" i="5"/>
  <c r="L259" i="5" s="1"/>
  <c r="J1525" i="246" s="1"/>
  <c r="I218" i="5"/>
  <c r="L218" i="5" s="1"/>
  <c r="O2171" i="246" s="1"/>
  <c r="R2171" i="246" s="1"/>
  <c r="O1994" i="1"/>
  <c r="I355" i="5"/>
  <c r="L355" i="5" s="1"/>
  <c r="O1927" i="246" s="1"/>
  <c r="R1927" i="246" s="1"/>
  <c r="O1995" i="1"/>
  <c r="I356" i="5"/>
  <c r="L356" i="5" s="1"/>
  <c r="O1928" i="246" s="1"/>
  <c r="R1928" i="246" s="1"/>
  <c r="N11" i="5"/>
  <c r="O1077" i="1" s="1"/>
  <c r="R1077" i="1" s="1"/>
  <c r="I375" i="5"/>
  <c r="L375" i="5" s="1"/>
  <c r="O2310" i="246" s="1"/>
  <c r="R2310" i="246" s="1"/>
  <c r="O2377" i="1"/>
  <c r="N224" i="5"/>
  <c r="N72" i="5"/>
  <c r="N105" i="5"/>
  <c r="N104" i="5"/>
  <c r="N170" i="5"/>
  <c r="O2723" i="1"/>
  <c r="R2723" i="1" s="1"/>
  <c r="O1262" i="1"/>
  <c r="O1241" i="1"/>
  <c r="O1233" i="1"/>
  <c r="O1230" i="1" s="1"/>
  <c r="X739" i="1" s="1"/>
  <c r="O2720" i="1"/>
  <c r="R2720" i="1" s="1"/>
  <c r="O1172" i="1"/>
  <c r="E113" i="248" l="1"/>
  <c r="C113" i="248" s="1"/>
  <c r="O2306" i="1"/>
  <c r="U2306" i="1" s="1"/>
  <c r="O2276" i="1"/>
  <c r="U2276" i="1" s="1"/>
  <c r="O2305" i="1"/>
  <c r="U2305" i="1" s="1"/>
  <c r="O2275" i="1"/>
  <c r="U2275" i="1" s="1"/>
  <c r="M2078" i="1"/>
  <c r="R2078" i="1" s="1"/>
  <c r="O2011" i="246"/>
  <c r="R2011" i="246" s="1"/>
  <c r="M2081" i="1"/>
  <c r="R2081" i="1" s="1"/>
  <c r="O2014" i="246"/>
  <c r="R2014" i="246" s="1"/>
  <c r="M2079" i="1"/>
  <c r="R2079" i="1" s="1"/>
  <c r="O2012" i="246"/>
  <c r="R2012" i="246" s="1"/>
  <c r="M2080" i="1"/>
  <c r="R2080" i="1" s="1"/>
  <c r="O2013" i="246"/>
  <c r="R2013" i="246" s="1"/>
  <c r="O1469" i="1"/>
  <c r="R1469" i="1" s="1"/>
  <c r="D765" i="1"/>
  <c r="O2263" i="1"/>
  <c r="I220" i="5"/>
  <c r="L220" i="5" s="1"/>
  <c r="O2208" i="246" s="1"/>
  <c r="S2208" i="246" s="1"/>
  <c r="U1469" i="1"/>
  <c r="O1466" i="1" s="1"/>
  <c r="R1466" i="1" s="1"/>
  <c r="O1259" i="1"/>
  <c r="U1259" i="1" s="1"/>
  <c r="R1259" i="1"/>
  <c r="O753" i="246"/>
  <c r="S753" i="246" s="1"/>
  <c r="S751" i="1"/>
  <c r="R751" i="1"/>
  <c r="S762" i="1"/>
  <c r="Y762" i="1"/>
  <c r="R762" i="1"/>
  <c r="Z762" i="1"/>
  <c r="G10" i="229"/>
  <c r="M1585" i="1"/>
  <c r="M1607" i="1" s="1"/>
  <c r="G39" i="234"/>
  <c r="H39" i="234"/>
  <c r="M1967" i="1"/>
  <c r="R1967" i="1" s="1"/>
  <c r="G27" i="229"/>
  <c r="H44" i="248"/>
  <c r="M1970" i="1"/>
  <c r="R1970" i="1" s="1"/>
  <c r="G30" i="229"/>
  <c r="H33" i="240"/>
  <c r="M1570" i="1"/>
  <c r="O1560" i="1"/>
  <c r="O1585" i="1"/>
  <c r="J1570" i="1"/>
  <c r="M1958" i="1"/>
  <c r="R1958" i="1" s="1"/>
  <c r="G17" i="229"/>
  <c r="H8" i="170"/>
  <c r="M1969" i="1"/>
  <c r="R1969" i="1" s="1"/>
  <c r="G29" i="229"/>
  <c r="M1966" i="1"/>
  <c r="R1966" i="1" s="1"/>
  <c r="G26" i="229"/>
  <c r="H1570" i="1"/>
  <c r="O1571" i="1"/>
  <c r="K1570" i="1"/>
  <c r="O2596" i="1"/>
  <c r="R2596" i="1" s="1"/>
  <c r="Z2263" i="1"/>
  <c r="E256" i="4"/>
  <c r="H1547" i="246"/>
  <c r="K1547" i="246"/>
  <c r="J1547" i="246"/>
  <c r="H14" i="170"/>
  <c r="O1424" i="1"/>
  <c r="O694" i="246"/>
  <c r="R699" i="246" s="1"/>
  <c r="F248" i="4"/>
  <c r="O688" i="246"/>
  <c r="R688" i="246"/>
  <c r="H12" i="170"/>
  <c r="O2690" i="1"/>
  <c r="R2690" i="1" s="1"/>
  <c r="O2511" i="1"/>
  <c r="R2511" i="1" s="1"/>
  <c r="L329" i="5"/>
  <c r="G13" i="229" s="1"/>
  <c r="O2590" i="1"/>
  <c r="H9" i="170"/>
  <c r="M2052" i="1"/>
  <c r="R2052" i="1" s="1"/>
  <c r="O1985" i="246"/>
  <c r="R1985" i="246" s="1"/>
  <c r="O1986" i="246"/>
  <c r="R1986" i="246" s="1"/>
  <c r="M2053" i="1"/>
  <c r="R2053" i="1" s="1"/>
  <c r="O2333" i="246"/>
  <c r="R2333" i="246" s="1"/>
  <c r="O1984" i="246"/>
  <c r="R1984" i="246" s="1"/>
  <c r="M2051" i="1"/>
  <c r="R2051" i="1" s="1"/>
  <c r="M2159" i="1"/>
  <c r="R2156" i="1" s="1"/>
  <c r="R2157" i="1" s="1"/>
  <c r="O2092" i="246"/>
  <c r="O2089" i="246" s="1"/>
  <c r="O2084" i="246"/>
  <c r="O2081" i="246" s="1"/>
  <c r="M2151" i="1"/>
  <c r="U2148" i="1"/>
  <c r="O2130" i="1"/>
  <c r="X686" i="1" s="1"/>
  <c r="O1840" i="246"/>
  <c r="R1840" i="246" s="1"/>
  <c r="C1805" i="246"/>
  <c r="C1871" i="1"/>
  <c r="M2050" i="1"/>
  <c r="R2050" i="1" s="1"/>
  <c r="O1983" i="246"/>
  <c r="R1983" i="246" s="1"/>
  <c r="H12" i="178"/>
  <c r="O2048" i="1"/>
  <c r="D595" i="1"/>
  <c r="O1891" i="246"/>
  <c r="R1891" i="246" s="1"/>
  <c r="O2286" i="246"/>
  <c r="R2286" i="246" s="1"/>
  <c r="G15" i="178"/>
  <c r="O2288" i="246"/>
  <c r="R2288" i="246" s="1"/>
  <c r="G17" i="178"/>
  <c r="O1902" i="246"/>
  <c r="R1902" i="246" s="1"/>
  <c r="O1903" i="246"/>
  <c r="R1903" i="246" s="1"/>
  <c r="O1899" i="246"/>
  <c r="R1899" i="246" s="1"/>
  <c r="O2287" i="246"/>
  <c r="R2287" i="246" s="1"/>
  <c r="G16" i="178"/>
  <c r="O2285" i="246"/>
  <c r="R2285" i="246" s="1"/>
  <c r="G14" i="178"/>
  <c r="O1900" i="246"/>
  <c r="R1900" i="246" s="1"/>
  <c r="O627" i="246"/>
  <c r="R627" i="246" s="1"/>
  <c r="O2334" i="246"/>
  <c r="R2334" i="246" s="1"/>
  <c r="R2332" i="246"/>
  <c r="R1958" i="246"/>
  <c r="S1958" i="246"/>
  <c r="O1870" i="246"/>
  <c r="O2257" i="246"/>
  <c r="O597" i="246"/>
  <c r="O1806" i="246"/>
  <c r="D597" i="246"/>
  <c r="O626" i="246"/>
  <c r="O2058" i="246"/>
  <c r="R2063" i="246" s="1"/>
  <c r="R2058" i="246" s="1"/>
  <c r="O646" i="1"/>
  <c r="V645" i="1"/>
  <c r="R645" i="1"/>
  <c r="M2186" i="1"/>
  <c r="R2186" i="1" s="1"/>
  <c r="M1937" i="1"/>
  <c r="E191" i="231"/>
  <c r="F191" i="231" s="1"/>
  <c r="G191" i="231" s="1"/>
  <c r="M1874" i="1"/>
  <c r="R1874" i="1" s="1"/>
  <c r="M1995" i="1"/>
  <c r="R1995" i="1" s="1"/>
  <c r="M2378" i="1"/>
  <c r="R2378" i="1" s="1"/>
  <c r="M1875" i="1"/>
  <c r="R1875" i="1" s="1"/>
  <c r="M2353" i="1"/>
  <c r="R2353" i="1" s="1"/>
  <c r="M2355" i="1"/>
  <c r="R2355" i="1" s="1"/>
  <c r="M2402" i="1"/>
  <c r="R2402" i="1" s="1"/>
  <c r="M2352" i="1"/>
  <c r="R2352" i="1" s="1"/>
  <c r="M1873" i="1"/>
  <c r="R1873" i="1" s="1"/>
  <c r="M1906" i="1"/>
  <c r="R1906" i="1" s="1"/>
  <c r="M1876" i="1"/>
  <c r="R1876" i="1" s="1"/>
  <c r="M1994" i="1"/>
  <c r="R1994" i="1" s="1"/>
  <c r="M1904" i="1"/>
  <c r="R1904" i="1" s="1"/>
  <c r="M1905" i="1"/>
  <c r="R1905" i="1" s="1"/>
  <c r="M2354" i="1"/>
  <c r="R2354" i="1" s="1"/>
  <c r="M2377" i="1"/>
  <c r="R2377" i="1" s="1"/>
  <c r="O1296" i="1"/>
  <c r="R1296" i="1" s="1"/>
  <c r="G11" i="168"/>
  <c r="O1295" i="1"/>
  <c r="O1879" i="1"/>
  <c r="X595" i="1" s="1"/>
  <c r="M2232" i="1"/>
  <c r="R2232" i="1" s="1"/>
  <c r="G18" i="169"/>
  <c r="M2224" i="1"/>
  <c r="R2224" i="1" s="1"/>
  <c r="G10" i="169"/>
  <c r="M2235" i="1"/>
  <c r="R2235" i="1" s="1"/>
  <c r="G21" i="169"/>
  <c r="M2234" i="1"/>
  <c r="R2234" i="1" s="1"/>
  <c r="G20" i="169"/>
  <c r="M2237" i="1"/>
  <c r="R2237" i="1" s="1"/>
  <c r="G23" i="169"/>
  <c r="M2233" i="1"/>
  <c r="R2233" i="1" s="1"/>
  <c r="G19" i="169"/>
  <c r="M2238" i="1"/>
  <c r="R2238" i="1" s="1"/>
  <c r="G24" i="169"/>
  <c r="M2236" i="1"/>
  <c r="R2236" i="1" s="1"/>
  <c r="G22" i="169"/>
  <c r="M2226" i="1"/>
  <c r="R2226" i="1" s="1"/>
  <c r="G12" i="169"/>
  <c r="M2225" i="1"/>
  <c r="R2225" i="1" s="1"/>
  <c r="G11" i="169"/>
  <c r="R532" i="1"/>
  <c r="O2642" i="1"/>
  <c r="R2642" i="1" s="1"/>
  <c r="O1173" i="1"/>
  <c r="R1173" i="1" s="1"/>
  <c r="O1290" i="1"/>
  <c r="O2626" i="1"/>
  <c r="R2626" i="1" s="1"/>
  <c r="O2637" i="1"/>
  <c r="R2637" i="1" s="1"/>
  <c r="O2693" i="1"/>
  <c r="R2693" i="1" s="1"/>
  <c r="O2632" i="1"/>
  <c r="R2632" i="1" s="1"/>
  <c r="O2631" i="1"/>
  <c r="R2631" i="1" s="1"/>
  <c r="O2700" i="1"/>
  <c r="R2700" i="1" s="1"/>
  <c r="O2630" i="1"/>
  <c r="R2630" i="1" s="1"/>
  <c r="O2697" i="1"/>
  <c r="R2697" i="1" s="1"/>
  <c r="O672" i="1"/>
  <c r="O1294" i="1"/>
  <c r="O2681" i="1"/>
  <c r="R2681" i="1" s="1"/>
  <c r="O2682" i="1"/>
  <c r="R2682" i="1" s="1"/>
  <c r="O1289" i="1"/>
  <c r="R1289" i="1" s="1"/>
  <c r="O2698" i="1"/>
  <c r="R2698" i="1" s="1"/>
  <c r="N264" i="5"/>
  <c r="J1578" i="1" s="1"/>
  <c r="J1586" i="1" s="1"/>
  <c r="J1608" i="1" s="1"/>
  <c r="N381" i="5"/>
  <c r="I317" i="5"/>
  <c r="L317" i="5" s="1"/>
  <c r="O1841" i="246" s="1"/>
  <c r="R1841" i="246" s="1"/>
  <c r="O1907" i="1"/>
  <c r="N382" i="5"/>
  <c r="N313" i="5"/>
  <c r="R1233" i="1"/>
  <c r="R1241" i="1"/>
  <c r="M625" i="1"/>
  <c r="R1152" i="1"/>
  <c r="M2025" i="1"/>
  <c r="G93" i="187"/>
  <c r="G37" i="167"/>
  <c r="M2325" i="1"/>
  <c r="R2325" i="1" s="1"/>
  <c r="H39" i="178"/>
  <c r="O2054" i="1"/>
  <c r="I372" i="5"/>
  <c r="L372" i="5" s="1"/>
  <c r="I354" i="5"/>
  <c r="L354" i="5" s="1"/>
  <c r="O1993" i="1"/>
  <c r="R1098" i="1"/>
  <c r="T211" i="5"/>
  <c r="I366" i="5"/>
  <c r="L366" i="5" s="1"/>
  <c r="O2350" i="1"/>
  <c r="M2400" i="1"/>
  <c r="N187" i="5"/>
  <c r="N362" i="5"/>
  <c r="N363" i="5"/>
  <c r="R1172" i="1"/>
  <c r="M692" i="1"/>
  <c r="I396" i="5"/>
  <c r="L396" i="5" s="1"/>
  <c r="O2336" i="246" s="1"/>
  <c r="R2336" i="246" s="1"/>
  <c r="O2403" i="1"/>
  <c r="O2406" i="1" s="1"/>
  <c r="M595" i="1"/>
  <c r="M1872" i="1"/>
  <c r="R2611" i="1"/>
  <c r="N5" i="5"/>
  <c r="E35" i="248" s="1"/>
  <c r="M681" i="1"/>
  <c r="R686" i="1" s="1"/>
  <c r="R681" i="1" s="1"/>
  <c r="M2324" i="1"/>
  <c r="R2324" i="1" s="1"/>
  <c r="G20" i="167"/>
  <c r="O623" i="1"/>
  <c r="I169" i="5"/>
  <c r="O2108" i="1"/>
  <c r="O671" i="1"/>
  <c r="N102" i="5"/>
  <c r="N209" i="5"/>
  <c r="N189" i="5"/>
  <c r="N108" i="5"/>
  <c r="O1207" i="1" s="1"/>
  <c r="N350" i="5"/>
  <c r="H28" i="229" s="1"/>
  <c r="N16" i="5"/>
  <c r="N346" i="5"/>
  <c r="H24" i="229" s="1"/>
  <c r="N361" i="5"/>
  <c r="N142" i="5"/>
  <c r="O544" i="1" s="1"/>
  <c r="O2636" i="1"/>
  <c r="R1262" i="1"/>
  <c r="I275" i="5"/>
  <c r="L275" i="5" s="1"/>
  <c r="M1525" i="246" s="1"/>
  <c r="M2328" i="1"/>
  <c r="R2328" i="1" s="1"/>
  <c r="G91" i="167"/>
  <c r="O644" i="1"/>
  <c r="I374" i="5"/>
  <c r="L374" i="5" s="1"/>
  <c r="O2376" i="1"/>
  <c r="O2381" i="1" s="1"/>
  <c r="M624" i="1"/>
  <c r="M2125" i="1"/>
  <c r="R2130" i="1" s="1"/>
  <c r="R2125" i="1" s="1"/>
  <c r="E322" i="4"/>
  <c r="M2401" i="1"/>
  <c r="R2401" i="1" s="1"/>
  <c r="N45" i="5"/>
  <c r="E44" i="248" l="1"/>
  <c r="C44" i="248" s="1"/>
  <c r="M2275" i="1"/>
  <c r="S2275" i="1" s="1"/>
  <c r="O2301" i="1"/>
  <c r="X2301" i="1" s="1"/>
  <c r="O2272" i="1"/>
  <c r="AA776" i="1"/>
  <c r="X778" i="246"/>
  <c r="O778" i="246"/>
  <c r="M776" i="1"/>
  <c r="M2082" i="1"/>
  <c r="R2082" i="1" s="1"/>
  <c r="O2015" i="246"/>
  <c r="R2015" i="246" s="1"/>
  <c r="O2009" i="246"/>
  <c r="M2076" i="1"/>
  <c r="R2076" i="1" s="1"/>
  <c r="R1468" i="1"/>
  <c r="R1471" i="1"/>
  <c r="R1467" i="1"/>
  <c r="R1472" i="1"/>
  <c r="D762" i="1"/>
  <c r="AB763" i="1"/>
  <c r="O1071" i="1"/>
  <c r="O1080" i="1" s="1"/>
  <c r="O525" i="1"/>
  <c r="E23" i="248"/>
  <c r="X1560" i="1"/>
  <c r="O1570" i="1"/>
  <c r="J1581" i="1"/>
  <c r="X1585" i="1"/>
  <c r="O1607" i="1"/>
  <c r="M1547" i="246"/>
  <c r="O1525" i="246"/>
  <c r="O2565" i="1"/>
  <c r="R2565" i="1" s="1"/>
  <c r="O2497" i="246"/>
  <c r="R2497" i="246" s="1"/>
  <c r="O699" i="246"/>
  <c r="G8" i="170"/>
  <c r="L25" i="170" s="1"/>
  <c r="I22" i="26" s="1"/>
  <c r="M1946" i="1"/>
  <c r="R1946" i="1" s="1"/>
  <c r="E283" i="4"/>
  <c r="O1879" i="246"/>
  <c r="R1879" i="246" s="1"/>
  <c r="R698" i="246"/>
  <c r="R693" i="246"/>
  <c r="R694" i="246"/>
  <c r="R697" i="246"/>
  <c r="R700" i="246"/>
  <c r="R692" i="246"/>
  <c r="R701" i="246"/>
  <c r="R683" i="246"/>
  <c r="R681" i="246"/>
  <c r="R680" i="246" s="1"/>
  <c r="R682" i="246"/>
  <c r="R689" i="246"/>
  <c r="R687" i="246"/>
  <c r="R686" i="246"/>
  <c r="O1950" i="1"/>
  <c r="O1205" i="1"/>
  <c r="R1205" i="1" s="1"/>
  <c r="O1968" i="1"/>
  <c r="R2148" i="1"/>
  <c r="R2151" i="1" s="1"/>
  <c r="M2148" i="1"/>
  <c r="S2148" i="1" s="1"/>
  <c r="C2331" i="246"/>
  <c r="C2398" i="1"/>
  <c r="D646" i="1"/>
  <c r="X624" i="1"/>
  <c r="R2158" i="1"/>
  <c r="C2308" i="246"/>
  <c r="D644" i="1"/>
  <c r="C2375" i="1"/>
  <c r="R2162" i="1"/>
  <c r="R2159" i="1"/>
  <c r="R2089" i="246"/>
  <c r="S2089" i="246"/>
  <c r="V2159" i="1"/>
  <c r="M2156" i="1"/>
  <c r="S2156" i="1" s="1"/>
  <c r="V2151" i="1"/>
  <c r="S2081" i="246"/>
  <c r="R2081" i="246"/>
  <c r="Y765" i="246"/>
  <c r="O1981" i="246"/>
  <c r="M2048" i="1"/>
  <c r="R2048" i="1" s="1"/>
  <c r="R697" i="1"/>
  <c r="M697" i="1"/>
  <c r="M686" i="1"/>
  <c r="D646" i="246"/>
  <c r="G12" i="178"/>
  <c r="R753" i="246"/>
  <c r="O1926" i="246"/>
  <c r="R1806" i="246"/>
  <c r="O1813" i="246"/>
  <c r="R1813" i="246" s="1"/>
  <c r="R1822" i="246" s="1"/>
  <c r="R2257" i="246"/>
  <c r="O1987" i="246"/>
  <c r="R1987" i="246" s="1"/>
  <c r="D648" i="246"/>
  <c r="O2339" i="246"/>
  <c r="R2339" i="246" s="1"/>
  <c r="W764" i="246"/>
  <c r="D764" i="246" s="1"/>
  <c r="R764" i="246"/>
  <c r="S764" i="246"/>
  <c r="O2063" i="246"/>
  <c r="U626" i="246" s="1"/>
  <c r="R597" i="246"/>
  <c r="R1870" i="246"/>
  <c r="O2309" i="246"/>
  <c r="O646" i="246"/>
  <c r="O2283" i="246"/>
  <c r="O648" i="246"/>
  <c r="R626" i="246"/>
  <c r="O2187" i="1"/>
  <c r="O2185" i="1"/>
  <c r="D48" i="234"/>
  <c r="C48" i="234"/>
  <c r="M646" i="1"/>
  <c r="E192" i="231"/>
  <c r="F192" i="231" s="1"/>
  <c r="G192" i="231" s="1"/>
  <c r="M2403" i="1"/>
  <c r="M1907" i="1"/>
  <c r="R1907" i="1" s="1"/>
  <c r="R533" i="1"/>
  <c r="O2165" i="1"/>
  <c r="X625" i="1" s="1"/>
  <c r="H12" i="168"/>
  <c r="H10" i="168"/>
  <c r="O2229" i="1"/>
  <c r="H15" i="169"/>
  <c r="R2025" i="1"/>
  <c r="S2025" i="1"/>
  <c r="O1186" i="1"/>
  <c r="O675" i="1"/>
  <c r="M671" i="1" s="1"/>
  <c r="M675" i="1" s="1"/>
  <c r="X644" i="1"/>
  <c r="X646" i="1"/>
  <c r="I189" i="5"/>
  <c r="L189" i="5" s="1"/>
  <c r="O2120" i="246" s="1"/>
  <c r="R2120" i="246" s="1"/>
  <c r="R1872" i="1"/>
  <c r="M1879" i="1"/>
  <c r="R1879" i="1" s="1"/>
  <c r="R1889" i="1" s="1"/>
  <c r="I187" i="5"/>
  <c r="L187" i="5" s="1"/>
  <c r="O2118" i="246" s="1"/>
  <c r="R2118" i="246" s="1"/>
  <c r="R625" i="1"/>
  <c r="M2376" i="1"/>
  <c r="M644" i="1"/>
  <c r="O2588" i="1"/>
  <c r="R595" i="1"/>
  <c r="H62" i="187"/>
  <c r="I362" i="5"/>
  <c r="L362" i="5" s="1"/>
  <c r="O1956" i="246" s="1"/>
  <c r="O2023" i="1"/>
  <c r="U2023" i="1" s="1"/>
  <c r="R2400" i="1"/>
  <c r="M2350" i="1"/>
  <c r="R2350" i="1" s="1"/>
  <c r="X532" i="1"/>
  <c r="R1124" i="1"/>
  <c r="G39" i="178"/>
  <c r="M2054" i="1"/>
  <c r="R2054" i="1" s="1"/>
  <c r="R1230" i="1"/>
  <c r="U1230" i="1"/>
  <c r="I382" i="5"/>
  <c r="L382" i="5" s="1"/>
  <c r="O2260" i="246" s="1"/>
  <c r="R2260" i="246" s="1"/>
  <c r="H74" i="167"/>
  <c r="O2327" i="1"/>
  <c r="I263" i="5"/>
  <c r="L263" i="5" s="1"/>
  <c r="J1526" i="246" s="1"/>
  <c r="N272" i="5"/>
  <c r="K1578" i="1" s="1"/>
  <c r="N256" i="5"/>
  <c r="H1578" i="1" s="1"/>
  <c r="M2130" i="1"/>
  <c r="I209" i="5"/>
  <c r="L209" i="5" s="1"/>
  <c r="O2162" i="246" s="1"/>
  <c r="R2162" i="246" s="1"/>
  <c r="O2680" i="1"/>
  <c r="R1150" i="1"/>
  <c r="R1155" i="1"/>
  <c r="R1153" i="1"/>
  <c r="R1154" i="1" s="1"/>
  <c r="R1151" i="1"/>
  <c r="O596" i="1"/>
  <c r="O1903" i="1"/>
  <c r="O1910" i="1" s="1"/>
  <c r="I313" i="5"/>
  <c r="H54" i="167"/>
  <c r="O2326" i="1"/>
  <c r="I381" i="5"/>
  <c r="L381" i="5" s="1"/>
  <c r="N46" i="5"/>
  <c r="R2636" i="1"/>
  <c r="I346" i="5"/>
  <c r="L346" i="5" s="1"/>
  <c r="G24" i="229" s="1"/>
  <c r="I350" i="5"/>
  <c r="L350" i="5" s="1"/>
  <c r="L169" i="5"/>
  <c r="O673" i="246" s="1"/>
  <c r="O677" i="246" s="1"/>
  <c r="U2590" i="1"/>
  <c r="R2590" i="1"/>
  <c r="H76" i="187"/>
  <c r="O2024" i="1"/>
  <c r="U2024" i="1" s="1"/>
  <c r="I363" i="5"/>
  <c r="L363" i="5" s="1"/>
  <c r="O1957" i="246" s="1"/>
  <c r="R1260" i="1"/>
  <c r="R1267" i="1"/>
  <c r="R1261" i="1"/>
  <c r="O2731" i="1"/>
  <c r="U2731" i="1" s="1"/>
  <c r="O1288" i="1"/>
  <c r="U544" i="1"/>
  <c r="N343" i="5"/>
  <c r="R624" i="1"/>
  <c r="R1937" i="1"/>
  <c r="O2022" i="1"/>
  <c r="U2022" i="1" s="1"/>
  <c r="I361" i="5"/>
  <c r="L361" i="5" s="1"/>
  <c r="O1955" i="246" s="1"/>
  <c r="H45" i="187"/>
  <c r="O2595" i="1"/>
  <c r="R1207" i="1"/>
  <c r="X623" i="1"/>
  <c r="U2608" i="1"/>
  <c r="R2608" i="1"/>
  <c r="M1993" i="1"/>
  <c r="N26" i="5" l="1"/>
  <c r="R2009" i="246"/>
  <c r="R1129" i="1"/>
  <c r="R1128" i="1"/>
  <c r="R1130" i="1"/>
  <c r="R1088" i="1"/>
  <c r="R1095" i="1"/>
  <c r="R1091" i="1"/>
  <c r="R1093" i="1"/>
  <c r="R1087" i="1"/>
  <c r="R1094" i="1"/>
  <c r="R1090" i="1"/>
  <c r="R1089" i="1"/>
  <c r="R1096" i="1"/>
  <c r="R1092" i="1"/>
  <c r="X525" i="1"/>
  <c r="U525" i="1"/>
  <c r="H40" i="234"/>
  <c r="G40" i="234"/>
  <c r="J1592" i="1"/>
  <c r="J1603" i="1"/>
  <c r="M1968" i="1"/>
  <c r="G28" i="229"/>
  <c r="O1947" i="1"/>
  <c r="H21" i="229"/>
  <c r="H1586" i="1"/>
  <c r="H1608" i="1" s="1"/>
  <c r="H1581" i="1"/>
  <c r="H38" i="234"/>
  <c r="G38" i="234"/>
  <c r="R1556" i="1"/>
  <c r="V1607" i="1"/>
  <c r="K1586" i="1"/>
  <c r="K1608" i="1" s="1"/>
  <c r="K1581" i="1"/>
  <c r="R691" i="246"/>
  <c r="R690" i="246"/>
  <c r="O1547" i="246"/>
  <c r="U1547" i="246" s="1"/>
  <c r="J1548" i="246"/>
  <c r="J1521" i="246"/>
  <c r="J57" i="26"/>
  <c r="M1950" i="1"/>
  <c r="R1950" i="1" s="1"/>
  <c r="E295" i="4"/>
  <c r="R2155" i="1"/>
  <c r="O1953" i="1"/>
  <c r="U1953" i="1" s="1"/>
  <c r="O1206" i="1"/>
  <c r="R1206" i="1" s="1"/>
  <c r="R2149" i="1"/>
  <c r="R2150" i="1"/>
  <c r="R2154" i="1"/>
  <c r="R1186" i="1"/>
  <c r="R1188" i="1" s="1"/>
  <c r="X1186" i="1"/>
  <c r="R2092" i="246"/>
  <c r="R2090" i="246"/>
  <c r="R2091" i="246"/>
  <c r="R2095" i="246"/>
  <c r="R2084" i="246"/>
  <c r="R2087" i="246"/>
  <c r="R2082" i="246"/>
  <c r="R2088" i="246"/>
  <c r="R2083" i="246"/>
  <c r="U597" i="246"/>
  <c r="O1883" i="246"/>
  <c r="R1883" i="246" s="1"/>
  <c r="O1901" i="246"/>
  <c r="O2259" i="246"/>
  <c r="R2326" i="246"/>
  <c r="R2325" i="246"/>
  <c r="R2322" i="246"/>
  <c r="R2338" i="246"/>
  <c r="R2329" i="246"/>
  <c r="R2327" i="246"/>
  <c r="R2341" i="246"/>
  <c r="R2328" i="246"/>
  <c r="R2340" i="246"/>
  <c r="R2337" i="246"/>
  <c r="R2343" i="246"/>
  <c r="R2323" i="246"/>
  <c r="R2342" i="246"/>
  <c r="R2321" i="246"/>
  <c r="R2330" i="246"/>
  <c r="R2345" i="246"/>
  <c r="R2344" i="246"/>
  <c r="R2331" i="246"/>
  <c r="R2324" i="246"/>
  <c r="S1956" i="246"/>
  <c r="R1956" i="246"/>
  <c r="R2283" i="246"/>
  <c r="R2309" i="246"/>
  <c r="O2314" i="246"/>
  <c r="R2314" i="246" s="1"/>
  <c r="S1955" i="246"/>
  <c r="R1955" i="246"/>
  <c r="R648" i="246"/>
  <c r="U648" i="246"/>
  <c r="U688" i="246"/>
  <c r="R646" i="246"/>
  <c r="O625" i="246"/>
  <c r="O2041" i="246"/>
  <c r="R1804" i="246"/>
  <c r="R1816" i="246"/>
  <c r="R1803" i="246"/>
  <c r="R1795" i="246"/>
  <c r="R1824" i="246"/>
  <c r="R1802" i="246"/>
  <c r="R1805" i="246"/>
  <c r="R1823" i="246"/>
  <c r="R1811" i="246"/>
  <c r="R1814" i="246"/>
  <c r="R1815" i="246" s="1"/>
  <c r="R1799" i="246"/>
  <c r="R1800" i="246"/>
  <c r="R1801" i="246"/>
  <c r="R1825" i="246"/>
  <c r="R1812" i="246"/>
  <c r="R1796" i="246"/>
  <c r="R1797" i="246"/>
  <c r="R1798" i="246"/>
  <c r="R1957" i="246"/>
  <c r="S1957" i="246"/>
  <c r="O2098" i="246"/>
  <c r="R1926" i="246"/>
  <c r="M2187" i="1"/>
  <c r="R2187" i="1" s="1"/>
  <c r="M2185" i="1"/>
  <c r="R2185" i="1" s="1"/>
  <c r="M2406" i="1"/>
  <c r="R2406" i="1" s="1"/>
  <c r="R1126" i="1"/>
  <c r="R2116" i="1"/>
  <c r="R2132" i="1"/>
  <c r="E193" i="231"/>
  <c r="F193" i="231" s="1"/>
  <c r="G193" i="231" s="1"/>
  <c r="R1863" i="1"/>
  <c r="R1888" i="1"/>
  <c r="R1882" i="1"/>
  <c r="R2403" i="1"/>
  <c r="R2591" i="1"/>
  <c r="X697" i="1"/>
  <c r="G10" i="168"/>
  <c r="G12" i="168"/>
  <c r="M2229" i="1"/>
  <c r="R2229" i="1" s="1"/>
  <c r="G15" i="169"/>
  <c r="R696" i="1"/>
  <c r="R691" i="1"/>
  <c r="R695" i="1"/>
  <c r="R690" i="1"/>
  <c r="R699" i="1"/>
  <c r="R698" i="1"/>
  <c r="R692" i="1"/>
  <c r="L194" i="5"/>
  <c r="O2125" i="246" s="1"/>
  <c r="R2125" i="246" s="1"/>
  <c r="G403" i="5"/>
  <c r="G2" i="5" s="1"/>
  <c r="L193" i="5"/>
  <c r="O2124" i="246" s="1"/>
  <c r="R2124" i="246" s="1"/>
  <c r="X675" i="1"/>
  <c r="V624" i="1"/>
  <c r="V595" i="1"/>
  <c r="X596" i="1"/>
  <c r="V686" i="1"/>
  <c r="R646" i="1"/>
  <c r="R2609" i="1"/>
  <c r="R2610" i="1"/>
  <c r="R2620" i="1"/>
  <c r="R2617" i="1"/>
  <c r="M2024" i="1"/>
  <c r="G76" i="187"/>
  <c r="I271" i="5"/>
  <c r="L271" i="5" s="1"/>
  <c r="K1526" i="246" s="1"/>
  <c r="R644" i="1"/>
  <c r="E317" i="4"/>
  <c r="E327" i="4"/>
  <c r="R685" i="1"/>
  <c r="R687" i="1"/>
  <c r="R688" i="1" s="1"/>
  <c r="R679" i="1"/>
  <c r="R678" i="1" s="1"/>
  <c r="R680" i="1"/>
  <c r="R684" i="1"/>
  <c r="M623" i="1"/>
  <c r="M2108" i="1"/>
  <c r="V675" i="1" s="1"/>
  <c r="M2327" i="1"/>
  <c r="R2327" i="1" s="1"/>
  <c r="G74" i="167"/>
  <c r="U2588" i="1"/>
  <c r="R2376" i="1"/>
  <c r="M2381" i="1"/>
  <c r="R2381" i="1" s="1"/>
  <c r="N86" i="5"/>
  <c r="O542" i="1" s="1"/>
  <c r="R1993" i="1"/>
  <c r="I343" i="5"/>
  <c r="L343" i="5" s="1"/>
  <c r="R1232" i="1"/>
  <c r="R1231" i="1"/>
  <c r="R1236" i="1"/>
  <c r="R1237" i="1"/>
  <c r="R1122" i="1"/>
  <c r="R1097" i="1"/>
  <c r="R1125" i="1"/>
  <c r="R1127" i="1"/>
  <c r="R1123" i="1"/>
  <c r="G45" i="187"/>
  <c r="M2022" i="1"/>
  <c r="G54" i="167"/>
  <c r="M2326" i="1"/>
  <c r="R2326" i="1" s="1"/>
  <c r="N185" i="5"/>
  <c r="O1334" i="1"/>
  <c r="X752" i="1" s="1"/>
  <c r="R2119" i="1"/>
  <c r="R2134" i="1"/>
  <c r="R2135" i="1"/>
  <c r="R2136" i="1"/>
  <c r="R2115" i="1"/>
  <c r="R2128" i="1"/>
  <c r="R2122" i="1"/>
  <c r="R2131" i="1"/>
  <c r="R2129" i="1"/>
  <c r="R2114" i="1"/>
  <c r="R2133" i="1"/>
  <c r="R2124" i="1"/>
  <c r="R2121" i="1"/>
  <c r="R2120" i="1"/>
  <c r="R2123" i="1"/>
  <c r="R2118" i="1"/>
  <c r="R2117" i="1"/>
  <c r="I255" i="5"/>
  <c r="L255" i="5" s="1"/>
  <c r="H1526" i="246" s="1"/>
  <c r="G62" i="187"/>
  <c r="M2023" i="1"/>
  <c r="R1870" i="1"/>
  <c r="R1869" i="1"/>
  <c r="R1868" i="1"/>
  <c r="R1867" i="1"/>
  <c r="R1871" i="1"/>
  <c r="R1878" i="1"/>
  <c r="R1866" i="1"/>
  <c r="R1865" i="1"/>
  <c r="R1864" i="1"/>
  <c r="R1877" i="1"/>
  <c r="R1862" i="1"/>
  <c r="R1861" i="1"/>
  <c r="R1891" i="1"/>
  <c r="R1880" i="1"/>
  <c r="R1881" i="1" s="1"/>
  <c r="R1890" i="1"/>
  <c r="O2602" i="1" l="1"/>
  <c r="O2592" i="1" s="1"/>
  <c r="O527" i="1"/>
  <c r="U527" i="1" s="1"/>
  <c r="D403" i="5"/>
  <c r="L16" i="5"/>
  <c r="R1557" i="1"/>
  <c r="R1550" i="1"/>
  <c r="R1552" i="1"/>
  <c r="R1613" i="1"/>
  <c r="R1558" i="1"/>
  <c r="R1555" i="1"/>
  <c r="R1551" i="1"/>
  <c r="R1612" i="1"/>
  <c r="R1554" i="1"/>
  <c r="R1549" i="1"/>
  <c r="R1611" i="1"/>
  <c r="R1553" i="1"/>
  <c r="R1548" i="1"/>
  <c r="R1610" i="1"/>
  <c r="R1968" i="1"/>
  <c r="R1609" i="1"/>
  <c r="R1593" i="1"/>
  <c r="R1606" i="1"/>
  <c r="R1596" i="1"/>
  <c r="R1565" i="1"/>
  <c r="R1603" i="1"/>
  <c r="R1582" i="1"/>
  <c r="R1568" i="1"/>
  <c r="R1583" i="1"/>
  <c r="R1575" i="1"/>
  <c r="R1592" i="1"/>
  <c r="R1599" i="1"/>
  <c r="R1590" i="1"/>
  <c r="R1569" i="1"/>
  <c r="R1608" i="1"/>
  <c r="R1587" i="1"/>
  <c r="R1589" i="1"/>
  <c r="R1586" i="1"/>
  <c r="R1571" i="1"/>
  <c r="R1604" i="1"/>
  <c r="R1600" i="1"/>
  <c r="R1585" i="1"/>
  <c r="R1560" i="1"/>
  <c r="R1581" i="1"/>
  <c r="R1594" i="1"/>
  <c r="R1576" i="1"/>
  <c r="R1559" i="1"/>
  <c r="R1607" i="1"/>
  <c r="R1563" i="1"/>
  <c r="R1562" i="1"/>
  <c r="R1572" i="1"/>
  <c r="R1591" i="1"/>
  <c r="R1570" i="1"/>
  <c r="R1564" i="1"/>
  <c r="R1573" i="1"/>
  <c r="R1561" i="1"/>
  <c r="R1597" i="1"/>
  <c r="R1584" i="1"/>
  <c r="R1580" i="1"/>
  <c r="R1574" i="1"/>
  <c r="R1598" i="1"/>
  <c r="R1577" i="1"/>
  <c r="R1605" i="1"/>
  <c r="R1567" i="1"/>
  <c r="R1602" i="1"/>
  <c r="R1588" i="1"/>
  <c r="R1601" i="1"/>
  <c r="R1579" i="1"/>
  <c r="R1578" i="1"/>
  <c r="R1566" i="1"/>
  <c r="R1595" i="1"/>
  <c r="K1592" i="1"/>
  <c r="K1603" i="1"/>
  <c r="E286" i="4"/>
  <c r="G21" i="229"/>
  <c r="H1592" i="1"/>
  <c r="H1603" i="1"/>
  <c r="R1517" i="246"/>
  <c r="K1548" i="246"/>
  <c r="K1521" i="246"/>
  <c r="H1548" i="246"/>
  <c r="H1521" i="246"/>
  <c r="J1543" i="246"/>
  <c r="J1532" i="246"/>
  <c r="D25" i="234"/>
  <c r="R1164" i="1"/>
  <c r="R1169" i="1"/>
  <c r="R1192" i="1"/>
  <c r="R1167" i="1"/>
  <c r="R1191" i="1"/>
  <c r="R1168" i="1"/>
  <c r="R1185" i="1"/>
  <c r="R1171" i="1"/>
  <c r="R1170" i="1"/>
  <c r="R1184" i="1"/>
  <c r="R1166" i="1"/>
  <c r="R1162" i="1"/>
  <c r="R1163" i="1"/>
  <c r="R1165" i="1"/>
  <c r="R1190" i="1"/>
  <c r="R1187" i="1"/>
  <c r="R1161" i="1"/>
  <c r="R1189" i="1"/>
  <c r="M1947" i="1"/>
  <c r="R1901" i="246"/>
  <c r="U646" i="246"/>
  <c r="R2098" i="246"/>
  <c r="O1880" i="246"/>
  <c r="U627" i="246"/>
  <c r="U699" i="246"/>
  <c r="R2312" i="246"/>
  <c r="R2300" i="246"/>
  <c r="R2318" i="246"/>
  <c r="R2305" i="246"/>
  <c r="R2315" i="246"/>
  <c r="R2303" i="246"/>
  <c r="R2301" i="246"/>
  <c r="R2308" i="246"/>
  <c r="R2306" i="246"/>
  <c r="R2299" i="246"/>
  <c r="R2304" i="246"/>
  <c r="R2298" i="246"/>
  <c r="R2313" i="246"/>
  <c r="R2302" i="246"/>
  <c r="R2320" i="246"/>
  <c r="R2307" i="246"/>
  <c r="R2317" i="246"/>
  <c r="R2319" i="246"/>
  <c r="R2316" i="246"/>
  <c r="U625" i="246"/>
  <c r="U677" i="246"/>
  <c r="R2061" i="246"/>
  <c r="R2048" i="246"/>
  <c r="R2049" i="246"/>
  <c r="R2062" i="246"/>
  <c r="R2051" i="246"/>
  <c r="R2069" i="246"/>
  <c r="R2068" i="246"/>
  <c r="R2050" i="246"/>
  <c r="R2064" i="246"/>
  <c r="R2053" i="246"/>
  <c r="R2055" i="246"/>
  <c r="R2066" i="246"/>
  <c r="R2065" i="246"/>
  <c r="R2052" i="246"/>
  <c r="R2047" i="246"/>
  <c r="R2056" i="246"/>
  <c r="R2067" i="246"/>
  <c r="R2054" i="246"/>
  <c r="R2057" i="246"/>
  <c r="R2259" i="246"/>
  <c r="O2183" i="1"/>
  <c r="M2192" i="1"/>
  <c r="R2192" i="1" s="1"/>
  <c r="M2191" i="1"/>
  <c r="R2191" i="1" s="1"/>
  <c r="R2390" i="1"/>
  <c r="R2408" i="1"/>
  <c r="R2367" i="1"/>
  <c r="R2383" i="1"/>
  <c r="E194" i="231"/>
  <c r="F194" i="231" s="1"/>
  <c r="G194" i="231" s="1"/>
  <c r="R2392" i="1"/>
  <c r="R2407" i="1"/>
  <c r="R2411" i="1"/>
  <c r="R2394" i="1"/>
  <c r="R2404" i="1"/>
  <c r="R2398" i="1"/>
  <c r="V646" i="1"/>
  <c r="R2396" i="1"/>
  <c r="R2410" i="1"/>
  <c r="R2391" i="1"/>
  <c r="R2409" i="1"/>
  <c r="R2389" i="1"/>
  <c r="R2412" i="1"/>
  <c r="R2393" i="1"/>
  <c r="R2397" i="1"/>
  <c r="R2405" i="1"/>
  <c r="R2388" i="1"/>
  <c r="R2395" i="1"/>
  <c r="R2621" i="1"/>
  <c r="R2618" i="1"/>
  <c r="R689" i="1"/>
  <c r="M2165" i="1"/>
  <c r="V625" i="1" s="1"/>
  <c r="G16" i="168"/>
  <c r="G17" i="168"/>
  <c r="H8" i="168"/>
  <c r="R2023" i="1"/>
  <c r="S2023" i="1"/>
  <c r="R2022" i="1"/>
  <c r="S2022" i="1"/>
  <c r="R2024" i="1"/>
  <c r="S2024" i="1"/>
  <c r="E352" i="4"/>
  <c r="E347" i="4"/>
  <c r="U2592" i="1"/>
  <c r="V644" i="1"/>
  <c r="O1242" i="1"/>
  <c r="O2721" i="1"/>
  <c r="O2716" i="1" s="1"/>
  <c r="V623" i="1"/>
  <c r="X544" i="1"/>
  <c r="O530" i="1"/>
  <c r="I185" i="5"/>
  <c r="R2379" i="1"/>
  <c r="R2369" i="1"/>
  <c r="R2368" i="1"/>
  <c r="R2370" i="1"/>
  <c r="R2386" i="1"/>
  <c r="R2365" i="1"/>
  <c r="R2384" i="1"/>
  <c r="R2387" i="1"/>
  <c r="R2366" i="1"/>
  <c r="R2380" i="1"/>
  <c r="R2385" i="1"/>
  <c r="R2375" i="1"/>
  <c r="R2382" i="1"/>
  <c r="R2373" i="1"/>
  <c r="R2372" i="1"/>
  <c r="R2371" i="1"/>
  <c r="R2374" i="1"/>
  <c r="N186" i="5"/>
  <c r="Y776" i="246" s="1"/>
  <c r="AB774" i="1" l="1"/>
  <c r="R1515" i="246"/>
  <c r="R1510" i="246"/>
  <c r="R1552" i="246"/>
  <c r="R1514" i="246"/>
  <c r="R1509" i="246"/>
  <c r="R1519" i="246"/>
  <c r="R1511" i="246"/>
  <c r="R1513" i="246"/>
  <c r="R1554" i="246"/>
  <c r="R1516" i="246"/>
  <c r="R1512" i="246"/>
  <c r="R1553" i="246"/>
  <c r="R1538" i="246"/>
  <c r="R1518" i="246"/>
  <c r="E21" i="248"/>
  <c r="E26" i="248"/>
  <c r="R1524" i="246"/>
  <c r="R1529" i="246"/>
  <c r="R1546" i="246"/>
  <c r="R1543" i="246"/>
  <c r="R1547" i="246"/>
  <c r="R1530" i="246"/>
  <c r="R1527" i="246"/>
  <c r="R1523" i="246"/>
  <c r="R1551" i="246"/>
  <c r="R1541" i="246"/>
  <c r="R1520" i="246"/>
  <c r="R1544" i="246"/>
  <c r="R1539" i="246"/>
  <c r="R1532" i="246"/>
  <c r="R1536" i="246"/>
  <c r="R1549" i="246"/>
  <c r="R1548" i="246"/>
  <c r="R1545" i="246"/>
  <c r="R1540" i="246"/>
  <c r="R1528" i="246"/>
  <c r="R1526" i="246"/>
  <c r="R1525" i="246"/>
  <c r="R1537" i="246"/>
  <c r="R1533" i="246"/>
  <c r="R1521" i="246"/>
  <c r="R1534" i="246"/>
  <c r="R1542" i="246"/>
  <c r="R1522" i="246"/>
  <c r="R1535" i="246"/>
  <c r="R1531" i="246"/>
  <c r="R1550" i="246"/>
  <c r="K1543" i="246"/>
  <c r="K1532" i="246"/>
  <c r="H1532" i="246"/>
  <c r="H1543" i="246"/>
  <c r="R1947" i="1"/>
  <c r="R1880" i="246"/>
  <c r="R2096" i="246"/>
  <c r="R2071" i="246"/>
  <c r="R2070" i="246"/>
  <c r="R2102" i="246"/>
  <c r="R2104" i="246"/>
  <c r="R2078" i="246"/>
  <c r="R2075" i="246"/>
  <c r="R2080" i="246"/>
  <c r="R2073" i="246"/>
  <c r="R2076" i="246"/>
  <c r="R2103" i="246"/>
  <c r="R2079" i="246"/>
  <c r="R2077" i="246"/>
  <c r="R2099" i="246"/>
  <c r="R2100" i="246"/>
  <c r="R2097" i="246"/>
  <c r="R2101" i="246"/>
  <c r="R2072" i="246"/>
  <c r="R2074" i="246"/>
  <c r="O2184" i="1"/>
  <c r="O2200" i="1" s="1"/>
  <c r="E195" i="231"/>
  <c r="F195" i="231" s="1"/>
  <c r="G195" i="231" s="1"/>
  <c r="R2619" i="1"/>
  <c r="V697" i="1"/>
  <c r="H9" i="168"/>
  <c r="H24" i="168" s="1"/>
  <c r="H28" i="168" s="1"/>
  <c r="H30" i="168" s="1"/>
  <c r="R2165" i="1"/>
  <c r="U542" i="1"/>
  <c r="R542" i="1"/>
  <c r="O633" i="1"/>
  <c r="O2620" i="1"/>
  <c r="R1242" i="1"/>
  <c r="O1238" i="1"/>
  <c r="X740" i="1" s="1"/>
  <c r="I186" i="5"/>
  <c r="R2721" i="1"/>
  <c r="O2606" i="1"/>
  <c r="J232" i="5" l="1"/>
  <c r="L232" i="5" s="1"/>
  <c r="J13" i="5"/>
  <c r="L13" i="5" s="1"/>
  <c r="J5" i="5"/>
  <c r="L5" i="5" s="1"/>
  <c r="U2182" i="1"/>
  <c r="O2204" i="1" s="1"/>
  <c r="X633" i="1" s="1"/>
  <c r="E196" i="231"/>
  <c r="F196" i="231" s="1"/>
  <c r="G196" i="231" s="1"/>
  <c r="R543" i="1"/>
  <c r="R2147" i="1"/>
  <c r="R2139" i="1"/>
  <c r="R2145" i="1"/>
  <c r="R2164" i="1"/>
  <c r="R2141" i="1"/>
  <c r="R2170" i="1"/>
  <c r="R2169" i="1"/>
  <c r="R2138" i="1"/>
  <c r="R2143" i="1"/>
  <c r="R2144" i="1"/>
  <c r="R2167" i="1"/>
  <c r="R2168" i="1"/>
  <c r="R2171" i="1"/>
  <c r="R2140" i="1"/>
  <c r="R2166" i="1"/>
  <c r="R2142" i="1"/>
  <c r="R2137" i="1"/>
  <c r="R2163" i="1"/>
  <c r="R2146" i="1"/>
  <c r="U1238" i="1"/>
  <c r="O1270" i="1" s="1"/>
  <c r="R1238" i="1"/>
  <c r="U2716" i="1"/>
  <c r="R2716" i="1"/>
  <c r="F27" i="80" l="1"/>
  <c r="F33" i="80" s="1"/>
  <c r="C35" i="248"/>
  <c r="M1462" i="1"/>
  <c r="S1462" i="1" s="1"/>
  <c r="M1459" i="1" s="1"/>
  <c r="R1459" i="1" s="1"/>
  <c r="O1423" i="246"/>
  <c r="O2527" i="246"/>
  <c r="R2527" i="246" s="1"/>
  <c r="O1032" i="246"/>
  <c r="M1071" i="1"/>
  <c r="O526" i="246"/>
  <c r="M525" i="1"/>
  <c r="C23" i="248"/>
  <c r="E403" i="5" s="1"/>
  <c r="D2" i="5" s="1"/>
  <c r="M2595" i="1"/>
  <c r="M2588" i="1"/>
  <c r="O2520" i="246"/>
  <c r="E197" i="231"/>
  <c r="F197" i="231" s="1"/>
  <c r="G197" i="231" s="1"/>
  <c r="R2717" i="1"/>
  <c r="R2726" i="1"/>
  <c r="X542" i="1"/>
  <c r="R1270" i="1"/>
  <c r="R1258" i="1"/>
  <c r="R1257" i="1"/>
  <c r="R1240" i="1"/>
  <c r="R1239" i="1"/>
  <c r="C8" i="234" l="1"/>
  <c r="C9" i="248"/>
  <c r="C10" i="248" s="1"/>
  <c r="R2595" i="1"/>
  <c r="R1462" i="1"/>
  <c r="R1423" i="246"/>
  <c r="S1423" i="246"/>
  <c r="O1420" i="246" s="1"/>
  <c r="R1420" i="246" s="1"/>
  <c r="R1461" i="1"/>
  <c r="R1465" i="1"/>
  <c r="R1460" i="1"/>
  <c r="R1464" i="1"/>
  <c r="O1041" i="246"/>
  <c r="U526" i="246" s="1"/>
  <c r="R1032" i="246"/>
  <c r="M1080" i="1"/>
  <c r="V525" i="1" s="1"/>
  <c r="R1071" i="1"/>
  <c r="S2520" i="246"/>
  <c r="R2520" i="246"/>
  <c r="R2521" i="246" s="1"/>
  <c r="S525" i="1"/>
  <c r="O431" i="1"/>
  <c r="M431" i="1" s="1"/>
  <c r="D64" i="234"/>
  <c r="O429" i="246"/>
  <c r="S526" i="246"/>
  <c r="S2588" i="1"/>
  <c r="R2588" i="1"/>
  <c r="R2589" i="1" s="1"/>
  <c r="R1220" i="1"/>
  <c r="R1272" i="1"/>
  <c r="E198" i="231"/>
  <c r="F198" i="231" s="1"/>
  <c r="G198" i="231" s="1"/>
  <c r="R2718" i="1"/>
  <c r="R2727" i="1"/>
  <c r="R1271" i="1"/>
  <c r="R1225" i="1"/>
  <c r="R1227" i="1"/>
  <c r="R1221" i="1"/>
  <c r="R1268" i="1"/>
  <c r="R1222" i="1"/>
  <c r="R1219" i="1"/>
  <c r="R1276" i="1"/>
  <c r="R1273" i="1"/>
  <c r="R1275" i="1"/>
  <c r="R1226" i="1"/>
  <c r="R1274" i="1"/>
  <c r="R1223" i="1"/>
  <c r="R1228" i="1"/>
  <c r="R1229" i="1" s="1"/>
  <c r="R1224" i="1"/>
  <c r="R1218" i="1"/>
  <c r="R1269" i="1"/>
  <c r="R1421" i="246" l="1"/>
  <c r="R1425" i="246"/>
  <c r="R1422" i="246"/>
  <c r="R1426" i="246"/>
  <c r="H78" i="234"/>
  <c r="E199" i="231"/>
  <c r="F199" i="231" s="1"/>
  <c r="G199" i="231" s="1"/>
  <c r="R2728" i="1"/>
  <c r="R2729" i="1" s="1"/>
  <c r="R2730" i="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49" i="5"/>
  <c r="L149" i="5" s="1"/>
  <c r="O1256" i="246" s="1"/>
  <c r="R1256" i="246" s="1"/>
  <c r="J142" i="5"/>
  <c r="L142" i="5" s="1"/>
  <c r="L185" i="5"/>
  <c r="J148" i="5"/>
  <c r="L148" i="5" s="1"/>
  <c r="O1255" i="246" s="1"/>
  <c r="R1255" i="246" s="1"/>
  <c r="J144" i="5"/>
  <c r="L144" i="5" s="1"/>
  <c r="O1251" i="246" s="1"/>
  <c r="R1251" i="246" s="1"/>
  <c r="M752" i="1" l="1"/>
  <c r="R752" i="1" s="1"/>
  <c r="M544" i="1"/>
  <c r="O2496" i="246"/>
  <c r="G521" i="4"/>
  <c r="O2564" i="1"/>
  <c r="M2496" i="246"/>
  <c r="H521" i="4"/>
  <c r="M2564" i="1"/>
  <c r="O2663" i="246"/>
  <c r="O1249" i="246"/>
  <c r="O754" i="246"/>
  <c r="O545" i="246"/>
  <c r="O2116" i="246"/>
  <c r="M2183" i="1"/>
  <c r="R2183" i="1" s="1"/>
  <c r="J186" i="5"/>
  <c r="L186" i="5" s="1"/>
  <c r="O2117" i="246" s="1"/>
  <c r="R2117" i="246" s="1"/>
  <c r="J24" i="5"/>
  <c r="L24" i="5" s="1"/>
  <c r="E207" i="231"/>
  <c r="F207" i="231" s="1"/>
  <c r="G207" i="231" s="1"/>
  <c r="M1295" i="1"/>
  <c r="R1295" i="1" s="1"/>
  <c r="M1288" i="1"/>
  <c r="R1288" i="1" s="1"/>
  <c r="J196" i="5"/>
  <c r="L196" i="5" s="1"/>
  <c r="O2127" i="246" s="1"/>
  <c r="R2127" i="246" s="1"/>
  <c r="M1294" i="1"/>
  <c r="R1294" i="1" s="1"/>
  <c r="G8" i="168"/>
  <c r="J102" i="5"/>
  <c r="L102" i="5" s="1"/>
  <c r="L198" i="5"/>
  <c r="O2129" i="246" s="1"/>
  <c r="R2129" i="246" s="1"/>
  <c r="E307" i="4"/>
  <c r="J203" i="5"/>
  <c r="M1290" i="1"/>
  <c r="M2731" i="1"/>
  <c r="E91" i="248" l="1"/>
  <c r="C91" i="248"/>
  <c r="M748" i="1"/>
  <c r="S752" i="1"/>
  <c r="C2491" i="246"/>
  <c r="C2492" i="246"/>
  <c r="C2559" i="1"/>
  <c r="C2560" i="1"/>
  <c r="R2496" i="246"/>
  <c r="R2564" i="1"/>
  <c r="R2493" i="246"/>
  <c r="R2494" i="246" s="1"/>
  <c r="R2561" i="1"/>
  <c r="R2562" i="1" s="1"/>
  <c r="O2611" i="246"/>
  <c r="S754" i="246"/>
  <c r="R754" i="246"/>
  <c r="O750" i="246"/>
  <c r="R1249" i="246"/>
  <c r="O1295" i="246"/>
  <c r="R1295" i="246" s="1"/>
  <c r="R545" i="246"/>
  <c r="S545" i="246"/>
  <c r="S2663" i="246"/>
  <c r="R2663" i="246"/>
  <c r="R2116" i="246"/>
  <c r="M2194" i="1"/>
  <c r="R2194" i="1" s="1"/>
  <c r="M2196" i="1"/>
  <c r="R2196" i="1" s="1"/>
  <c r="M2184" i="1"/>
  <c r="R2184" i="1" s="1"/>
  <c r="E208" i="231"/>
  <c r="F208" i="231" s="1"/>
  <c r="G208" i="231" s="1"/>
  <c r="G19" i="168"/>
  <c r="E362" i="4"/>
  <c r="G9" i="168"/>
  <c r="M2680" i="1"/>
  <c r="G21" i="168"/>
  <c r="E372" i="4"/>
  <c r="E312" i="4"/>
  <c r="S2731" i="1"/>
  <c r="R2731" i="1"/>
  <c r="R1290" i="1"/>
  <c r="M1334" i="1"/>
  <c r="V752" i="1" s="1"/>
  <c r="S544" i="1"/>
  <c r="R544" i="1"/>
  <c r="R1299" i="246" l="1"/>
  <c r="R1245" i="246"/>
  <c r="R1296" i="246"/>
  <c r="R1246" i="246"/>
  <c r="R1244" i="246"/>
  <c r="R1239" i="246"/>
  <c r="R1241" i="246"/>
  <c r="R1297" i="246"/>
  <c r="R1293" i="246"/>
  <c r="R1240" i="246"/>
  <c r="R1238" i="246"/>
  <c r="R1248" i="246"/>
  <c r="R1247" i="246"/>
  <c r="R1300" i="246"/>
  <c r="R1243" i="246"/>
  <c r="R1294" i="246"/>
  <c r="R1242" i="246"/>
  <c r="R1298" i="246"/>
  <c r="R1301" i="246"/>
  <c r="R546" i="246"/>
  <c r="U545" i="246"/>
  <c r="U754" i="246"/>
  <c r="R2611" i="246"/>
  <c r="R1334" i="1"/>
  <c r="R1279" i="1" s="1"/>
  <c r="E209" i="231"/>
  <c r="F209" i="231" s="1"/>
  <c r="G209" i="231" s="1"/>
  <c r="R545" i="1"/>
  <c r="R2680" i="1"/>
  <c r="V544" i="1"/>
  <c r="R1281" i="1" l="1"/>
  <c r="R1339" i="1"/>
  <c r="R1335" i="1"/>
  <c r="R1336" i="1"/>
  <c r="R1277" i="1"/>
  <c r="R1333" i="1"/>
  <c r="R1278" i="1"/>
  <c r="R1283" i="1"/>
  <c r="R1280" i="1"/>
  <c r="R1285" i="1"/>
  <c r="R1340" i="1"/>
  <c r="R1287" i="1"/>
  <c r="R1337" i="1"/>
  <c r="R1282" i="1"/>
  <c r="R1332" i="1"/>
  <c r="R1286" i="1"/>
  <c r="R1284" i="1"/>
  <c r="R1338" i="1"/>
  <c r="E210" i="231"/>
  <c r="F210" i="231" s="1"/>
  <c r="G210" i="231" s="1"/>
  <c r="E211" i="231" l="1"/>
  <c r="F211" i="231" s="1"/>
  <c r="G211" i="231" s="1"/>
  <c r="E212" i="231" l="1"/>
  <c r="F212" i="231" s="1"/>
  <c r="G212" i="231" s="1"/>
  <c r="E213" i="231" l="1"/>
  <c r="F213" i="231" s="1"/>
  <c r="G213" i="231" s="1"/>
  <c r="J76" i="26"/>
  <c r="J195" i="5" s="1"/>
  <c r="L195" i="5" s="1"/>
  <c r="O2126" i="246" s="1"/>
  <c r="R2126" i="246" s="1"/>
  <c r="J77" i="26"/>
  <c r="M2193" i="1" l="1"/>
  <c r="R2193" i="1" s="1"/>
  <c r="E357" i="4"/>
  <c r="G18" i="168"/>
  <c r="E214" i="231"/>
  <c r="F214" i="231" s="1"/>
  <c r="G214" i="231" s="1"/>
  <c r="J47" i="26"/>
  <c r="J249" i="5" s="1"/>
  <c r="L249" i="5" s="1"/>
  <c r="U19" i="89" s="1"/>
  <c r="U20" i="89" s="1"/>
  <c r="J46" i="26"/>
  <c r="J155" i="5" s="1"/>
  <c r="L155" i="5" s="1"/>
  <c r="N109" i="5"/>
  <c r="O536" i="1" s="1"/>
  <c r="N280" i="5"/>
  <c r="M1578" i="1" s="1"/>
  <c r="M1678" i="1" l="1"/>
  <c r="R1678" i="1" s="1"/>
  <c r="O1612" i="246"/>
  <c r="O1622" i="246"/>
  <c r="M1688" i="1"/>
  <c r="O2447" i="246"/>
  <c r="R2447" i="246" s="1"/>
  <c r="M2514" i="1"/>
  <c r="R2514" i="1" s="1"/>
  <c r="M2774" i="1"/>
  <c r="R2774" i="1" s="1"/>
  <c r="M2706" i="246"/>
  <c r="R2706" i="246" s="1"/>
  <c r="M2695" i="1"/>
  <c r="R2695" i="1" s="1"/>
  <c r="O2627" i="246"/>
  <c r="R2627" i="246" s="1"/>
  <c r="M592" i="1"/>
  <c r="O594" i="246"/>
  <c r="Q20" i="89"/>
  <c r="M1586" i="1"/>
  <c r="M1608" i="1" s="1"/>
  <c r="M1581" i="1"/>
  <c r="O1578" i="1"/>
  <c r="O1208" i="1"/>
  <c r="E215" i="231"/>
  <c r="F215" i="231" s="1"/>
  <c r="G215" i="231" s="1"/>
  <c r="J230" i="5"/>
  <c r="L230" i="5" s="1"/>
  <c r="J191" i="5"/>
  <c r="L191" i="5" s="1"/>
  <c r="I279" i="5"/>
  <c r="L279" i="5" s="1"/>
  <c r="M1526" i="246" s="1"/>
  <c r="O591" i="1"/>
  <c r="O2684" i="1"/>
  <c r="L19" i="89" l="1"/>
  <c r="D763" i="246"/>
  <c r="D761" i="1"/>
  <c r="S1678" i="1"/>
  <c r="M1674" i="1" s="1"/>
  <c r="R1674" i="1" s="1"/>
  <c r="R1676" i="1" s="1"/>
  <c r="R594" i="246"/>
  <c r="R592" i="1"/>
  <c r="R1612" i="246"/>
  <c r="S1612" i="246"/>
  <c r="O763" i="246"/>
  <c r="M761" i="1"/>
  <c r="M1454" i="1"/>
  <c r="S1454" i="1" s="1"/>
  <c r="O1415" i="246"/>
  <c r="S1415" i="246" s="1"/>
  <c r="M774" i="1"/>
  <c r="AA774" i="1"/>
  <c r="AC774" i="1" s="1"/>
  <c r="O1586" i="1"/>
  <c r="O1581" i="1"/>
  <c r="M1592" i="1"/>
  <c r="M1603" i="1"/>
  <c r="M1548" i="246"/>
  <c r="M1521" i="246"/>
  <c r="O1526" i="246"/>
  <c r="C2182" i="1"/>
  <c r="D645" i="1"/>
  <c r="D647" i="246"/>
  <c r="D633" i="1"/>
  <c r="C2115" i="246"/>
  <c r="D635" i="246"/>
  <c r="O2122" i="246"/>
  <c r="X776" i="246"/>
  <c r="Z776" i="246" s="1"/>
  <c r="O635" i="246"/>
  <c r="O776" i="246"/>
  <c r="O593" i="246"/>
  <c r="R593" i="246" s="1"/>
  <c r="L20" i="89"/>
  <c r="M2189" i="1"/>
  <c r="E216" i="231"/>
  <c r="F216" i="231" s="1"/>
  <c r="G216" i="231" s="1"/>
  <c r="E337" i="4"/>
  <c r="G14" i="168"/>
  <c r="G24" i="168" s="1"/>
  <c r="G28" i="168" s="1"/>
  <c r="G30" i="168" s="1"/>
  <c r="M633" i="1"/>
  <c r="U536" i="1"/>
  <c r="R2684" i="1"/>
  <c r="O2674" i="1"/>
  <c r="M591" i="1"/>
  <c r="R591" i="1" s="1"/>
  <c r="R1208" i="1"/>
  <c r="R1675" i="1" l="1"/>
  <c r="R1680" i="1"/>
  <c r="R1679" i="1"/>
  <c r="M1683" i="1"/>
  <c r="O1617" i="246"/>
  <c r="U1683" i="246" s="1"/>
  <c r="O1608" i="246"/>
  <c r="R1608" i="246" s="1"/>
  <c r="S761" i="1"/>
  <c r="R761" i="1"/>
  <c r="S774" i="1"/>
  <c r="Z774" i="1"/>
  <c r="R774" i="1"/>
  <c r="Y774" i="1"/>
  <c r="X1581" i="1"/>
  <c r="X1589" i="1"/>
  <c r="O1592" i="1"/>
  <c r="O1603" i="1"/>
  <c r="V1603" i="1" s="1"/>
  <c r="X1586" i="1"/>
  <c r="O1608" i="1"/>
  <c r="V1608" i="1" s="1"/>
  <c r="M1532" i="246"/>
  <c r="M1543" i="246"/>
  <c r="O1548" i="246"/>
  <c r="U1548" i="246" s="1"/>
  <c r="O1521" i="246"/>
  <c r="X591" i="1"/>
  <c r="S763" i="246"/>
  <c r="R763" i="246"/>
  <c r="R635" i="246"/>
  <c r="S776" i="246"/>
  <c r="W776" i="246"/>
  <c r="D776" i="246" s="1"/>
  <c r="R776" i="246"/>
  <c r="R2122" i="246"/>
  <c r="O2133" i="246"/>
  <c r="R2137" i="246"/>
  <c r="S2115" i="246"/>
  <c r="O2137" i="246" s="1"/>
  <c r="U635" i="246" s="1"/>
  <c r="R2204" i="1"/>
  <c r="M2200" i="1"/>
  <c r="R2189" i="1"/>
  <c r="R633" i="1"/>
  <c r="E217" i="231"/>
  <c r="F217" i="231" s="1"/>
  <c r="G217" i="231" s="1"/>
  <c r="S2182" i="1"/>
  <c r="M2204" i="1" s="1"/>
  <c r="U2674" i="1"/>
  <c r="V1683" i="1" l="1"/>
  <c r="V1749" i="1"/>
  <c r="V592" i="1"/>
  <c r="R1614" i="246"/>
  <c r="R1613" i="246"/>
  <c r="R1610" i="246"/>
  <c r="R1609" i="246"/>
  <c r="U1617" i="246"/>
  <c r="U594" i="246"/>
  <c r="D774" i="1"/>
  <c r="O1543" i="246"/>
  <c r="U1551" i="246" s="1"/>
  <c r="U1521" i="246"/>
  <c r="O1532" i="246"/>
  <c r="R2140" i="246"/>
  <c r="R2141" i="246"/>
  <c r="R2106" i="246"/>
  <c r="R2111" i="246"/>
  <c r="R2113" i="246"/>
  <c r="R2109" i="246"/>
  <c r="R2142" i="246"/>
  <c r="R2143" i="246"/>
  <c r="R2114" i="246"/>
  <c r="R2112" i="246"/>
  <c r="R2138" i="246"/>
  <c r="R2136" i="246"/>
  <c r="R2110" i="246"/>
  <c r="R2107" i="246"/>
  <c r="R2108" i="246"/>
  <c r="R2139" i="246"/>
  <c r="R2105" i="246"/>
  <c r="R2115" i="246"/>
  <c r="R2135" i="246"/>
  <c r="R2202" i="1"/>
  <c r="R2181" i="1"/>
  <c r="R2175" i="1"/>
  <c r="R2173" i="1"/>
  <c r="R2182" i="1"/>
  <c r="R2210" i="1"/>
  <c r="R2205" i="1"/>
  <c r="R2174" i="1"/>
  <c r="R2207" i="1"/>
  <c r="R2179" i="1"/>
  <c r="R2177" i="1"/>
  <c r="R2176" i="1"/>
  <c r="R2209" i="1"/>
  <c r="R2206" i="1"/>
  <c r="R2172" i="1"/>
  <c r="R2203" i="1"/>
  <c r="R2208" i="1"/>
  <c r="R2180" i="1"/>
  <c r="R2178" i="1"/>
  <c r="E218" i="231"/>
  <c r="F218" i="231" s="1"/>
  <c r="G218" i="231" s="1"/>
  <c r="V633" i="1"/>
  <c r="U1543" i="246" l="1"/>
  <c r="V591" i="1"/>
  <c r="U593" i="246"/>
  <c r="E219" i="231"/>
  <c r="F219" i="231" s="1"/>
  <c r="G219" i="231" s="1"/>
  <c r="E220" i="231" l="1"/>
  <c r="F220" i="231" s="1"/>
  <c r="G220" i="231" s="1"/>
  <c r="N211" i="5"/>
  <c r="E221" i="231" l="1"/>
  <c r="F221" i="231" s="1"/>
  <c r="G221" i="231" s="1"/>
  <c r="O2231" i="1"/>
  <c r="H17" i="169"/>
  <c r="I211" i="5"/>
  <c r="L211" i="5" s="1"/>
  <c r="O2164" i="246" l="1"/>
  <c r="R2164" i="246" s="1"/>
  <c r="E222" i="231"/>
  <c r="F222" i="231" s="1"/>
  <c r="G222" i="231" s="1"/>
  <c r="M2231" i="1"/>
  <c r="R2231" i="1" s="1"/>
  <c r="G17" i="169"/>
  <c r="N367" i="5"/>
  <c r="N357" i="5"/>
  <c r="N183" i="5"/>
  <c r="V783" i="1" l="1"/>
  <c r="H13" i="178"/>
  <c r="H19" i="178" s="1"/>
  <c r="H21" i="178" s="1"/>
  <c r="O2049" i="1"/>
  <c r="O2057" i="1" s="1"/>
  <c r="E223" i="231"/>
  <c r="F223" i="231" s="1"/>
  <c r="G223" i="231" s="1"/>
  <c r="H19" i="206"/>
  <c r="N344" i="5"/>
  <c r="N359" i="5"/>
  <c r="N398" i="5"/>
  <c r="O703" i="1"/>
  <c r="I357" i="5"/>
  <c r="O1996" i="1"/>
  <c r="O1999" i="1" s="1"/>
  <c r="O605" i="1"/>
  <c r="O2351" i="1"/>
  <c r="O2358" i="1" s="1"/>
  <c r="I367" i="5"/>
  <c r="L367" i="5" s="1"/>
  <c r="O607" i="1"/>
  <c r="O643" i="1"/>
  <c r="O2010" i="246" l="1"/>
  <c r="C2007" i="246"/>
  <c r="M2077" i="1"/>
  <c r="C2074" i="1"/>
  <c r="R778" i="246"/>
  <c r="AC776" i="1"/>
  <c r="H22" i="229"/>
  <c r="H32" i="229" s="1"/>
  <c r="H34" i="229" s="1"/>
  <c r="AB764" i="1"/>
  <c r="O1948" i="1"/>
  <c r="O1934" i="1" s="1"/>
  <c r="U1934" i="1" s="1"/>
  <c r="O1974" i="1" s="1"/>
  <c r="Y766" i="246"/>
  <c r="C2282" i="246"/>
  <c r="Z778" i="246"/>
  <c r="C2349" i="1"/>
  <c r="D645" i="246"/>
  <c r="O1982" i="246"/>
  <c r="R1982" i="246" s="1"/>
  <c r="M2049" i="1"/>
  <c r="R2049" i="1" s="1"/>
  <c r="D643" i="1"/>
  <c r="M607" i="1"/>
  <c r="D39" i="234" s="1"/>
  <c r="O609" i="246"/>
  <c r="G13" i="178"/>
  <c r="G19" i="178" s="1"/>
  <c r="G21" i="178" s="1"/>
  <c r="O2284" i="246"/>
  <c r="O645" i="246"/>
  <c r="E224" i="231"/>
  <c r="F224" i="231" s="1"/>
  <c r="G224" i="231" s="1"/>
  <c r="X643" i="1"/>
  <c r="H28" i="187"/>
  <c r="O606" i="1"/>
  <c r="I359" i="5"/>
  <c r="L359" i="5" s="1"/>
  <c r="O2017" i="1"/>
  <c r="X605" i="1"/>
  <c r="M2351" i="1"/>
  <c r="M643" i="1"/>
  <c r="X607" i="1"/>
  <c r="O2026" i="1"/>
  <c r="U2026" i="1" s="1"/>
  <c r="I398" i="5"/>
  <c r="L398" i="5" s="1"/>
  <c r="O734" i="246" s="1"/>
  <c r="O2329" i="1"/>
  <c r="O2332" i="1" s="1"/>
  <c r="O642" i="1"/>
  <c r="I344" i="5"/>
  <c r="L344" i="5" s="1"/>
  <c r="O597" i="1"/>
  <c r="R2010" i="246" l="1"/>
  <c r="O2018" i="246"/>
  <c r="M2085" i="1"/>
  <c r="R2085" i="1" s="1"/>
  <c r="R2077" i="1"/>
  <c r="M731" i="1"/>
  <c r="S731" i="1" s="1"/>
  <c r="O733" i="246"/>
  <c r="O2457" i="246"/>
  <c r="W2457" i="246" s="1"/>
  <c r="D2457" i="246" s="1"/>
  <c r="M732" i="1"/>
  <c r="S732" i="1" s="1"/>
  <c r="S776" i="1"/>
  <c r="Y776" i="1"/>
  <c r="Z776" i="1"/>
  <c r="R776" i="1"/>
  <c r="E289" i="4"/>
  <c r="G22" i="229"/>
  <c r="H37" i="234"/>
  <c r="G37" i="234"/>
  <c r="M1948" i="1"/>
  <c r="M1934" i="1" s="1"/>
  <c r="W778" i="246"/>
  <c r="D778" i="246" s="1"/>
  <c r="S778" i="246"/>
  <c r="O2262" i="246"/>
  <c r="O1959" i="246"/>
  <c r="O644" i="246"/>
  <c r="O1950" i="246"/>
  <c r="O608" i="246"/>
  <c r="S734" i="246"/>
  <c r="O1881" i="246"/>
  <c r="D1867" i="246" s="1"/>
  <c r="R609" i="246"/>
  <c r="R2284" i="246"/>
  <c r="O2291" i="246"/>
  <c r="R2291" i="246" s="1"/>
  <c r="R1981" i="246"/>
  <c r="O1990" i="246"/>
  <c r="R1990" i="246" s="1"/>
  <c r="R645" i="246"/>
  <c r="O2456" i="246"/>
  <c r="W2456" i="246" s="1"/>
  <c r="D2456" i="246" s="1"/>
  <c r="M2524" i="1"/>
  <c r="E225" i="231"/>
  <c r="F225" i="231" s="1"/>
  <c r="G225" i="231" s="1"/>
  <c r="O2021" i="1"/>
  <c r="U2017" i="1"/>
  <c r="O2029" i="1" s="1"/>
  <c r="X606" i="1" s="1"/>
  <c r="X642" i="1"/>
  <c r="G28" i="187"/>
  <c r="M606" i="1"/>
  <c r="D36" i="234" s="1"/>
  <c r="M2017" i="1"/>
  <c r="X597" i="1"/>
  <c r="M2329" i="1"/>
  <c r="M2026" i="1"/>
  <c r="G38" i="80"/>
  <c r="G57" i="80" s="1"/>
  <c r="H57" i="80" s="1"/>
  <c r="M642" i="1"/>
  <c r="H29" i="234" s="1"/>
  <c r="R607" i="1"/>
  <c r="M2057" i="1"/>
  <c r="R2057" i="1" s="1"/>
  <c r="M2523" i="1"/>
  <c r="R643" i="1"/>
  <c r="M2358" i="1"/>
  <c r="R2358" i="1" s="1"/>
  <c r="R2360" i="1" s="1"/>
  <c r="R2351" i="1"/>
  <c r="R1999" i="246" l="1"/>
  <c r="R2002" i="246"/>
  <c r="R1997" i="246"/>
  <c r="R2004" i="246"/>
  <c r="R2003" i="246"/>
  <c r="R2005" i="246"/>
  <c r="R2001" i="246"/>
  <c r="R2000" i="246"/>
  <c r="R1998" i="246"/>
  <c r="R2018" i="246"/>
  <c r="R2072" i="1"/>
  <c r="R2068" i="1"/>
  <c r="R2064" i="1"/>
  <c r="R2071" i="1"/>
  <c r="R2067" i="1"/>
  <c r="R2065" i="1"/>
  <c r="R2070" i="1"/>
  <c r="R2066" i="1"/>
  <c r="R2069" i="1"/>
  <c r="R2087" i="1"/>
  <c r="R2086" i="1"/>
  <c r="R2084" i="1"/>
  <c r="R2083" i="1"/>
  <c r="D776" i="1"/>
  <c r="M735" i="1"/>
  <c r="M747" i="1"/>
  <c r="M728" i="1"/>
  <c r="R1948" i="1"/>
  <c r="D1934" i="1"/>
  <c r="U609" i="246"/>
  <c r="R644" i="246"/>
  <c r="R608" i="246"/>
  <c r="U645" i="246"/>
  <c r="R1995" i="246"/>
  <c r="R1988" i="246"/>
  <c r="R1992" i="246"/>
  <c r="R1991" i="246"/>
  <c r="R1989" i="246"/>
  <c r="R1993" i="246"/>
  <c r="R1996" i="246"/>
  <c r="R1994" i="246"/>
  <c r="R1881" i="246"/>
  <c r="O1867" i="246"/>
  <c r="S1950" i="246"/>
  <c r="R1950" i="246"/>
  <c r="O1954" i="246"/>
  <c r="R2294" i="246"/>
  <c r="R2293" i="246"/>
  <c r="R2275" i="246"/>
  <c r="R2272" i="246"/>
  <c r="R2292" i="246"/>
  <c r="R2276" i="246"/>
  <c r="R2289" i="246"/>
  <c r="R2280" i="246"/>
  <c r="R2281" i="246"/>
  <c r="R2273" i="246"/>
  <c r="R2296" i="246"/>
  <c r="R2279" i="246"/>
  <c r="R2290" i="246"/>
  <c r="R2277" i="246"/>
  <c r="R2297" i="246"/>
  <c r="R2278" i="246"/>
  <c r="R2274" i="246"/>
  <c r="R2282" i="246"/>
  <c r="R2295" i="246"/>
  <c r="R1959" i="246"/>
  <c r="S1959" i="246"/>
  <c r="S733" i="246"/>
  <c r="O737" i="246"/>
  <c r="R2262" i="246"/>
  <c r="O2265" i="246"/>
  <c r="R2265" i="246" s="1"/>
  <c r="S1934" i="1"/>
  <c r="R1934" i="1"/>
  <c r="R2059" i="1"/>
  <c r="E226" i="231"/>
  <c r="F226" i="231" s="1"/>
  <c r="G226" i="231" s="1"/>
  <c r="R2341" i="1"/>
  <c r="R2362" i="1"/>
  <c r="S2017" i="1"/>
  <c r="M2021" i="1"/>
  <c r="R2026" i="1"/>
  <c r="S2026" i="1"/>
  <c r="Y2523" i="1"/>
  <c r="Z2523" i="1"/>
  <c r="Y2524" i="1"/>
  <c r="Z2524" i="1"/>
  <c r="V607" i="1"/>
  <c r="R2357" i="1"/>
  <c r="R2345" i="1"/>
  <c r="R2348" i="1"/>
  <c r="R2342" i="1"/>
  <c r="R2346" i="1"/>
  <c r="R2343" i="1"/>
  <c r="R2364" i="1"/>
  <c r="R2363" i="1"/>
  <c r="R2339" i="1"/>
  <c r="R2349" i="1"/>
  <c r="R2359" i="1"/>
  <c r="R2356" i="1"/>
  <c r="R2347" i="1"/>
  <c r="R2344" i="1"/>
  <c r="R2361" i="1"/>
  <c r="R2340" i="1"/>
  <c r="V643" i="1"/>
  <c r="M2332" i="1"/>
  <c r="R2332" i="1" s="1"/>
  <c r="R2329" i="1"/>
  <c r="R2017" i="1"/>
  <c r="R2056" i="1"/>
  <c r="R2060" i="1"/>
  <c r="R2058" i="1"/>
  <c r="R2062" i="1"/>
  <c r="R2061" i="1"/>
  <c r="R2063" i="1"/>
  <c r="R2055" i="1"/>
  <c r="R642" i="1"/>
  <c r="R606" i="1"/>
  <c r="R2020" i="246" l="1"/>
  <c r="R2017" i="246"/>
  <c r="R2016" i="246"/>
  <c r="R2019" i="246"/>
  <c r="O749" i="246"/>
  <c r="O1962" i="246"/>
  <c r="R1962" i="246" s="1"/>
  <c r="R1964" i="246" s="1"/>
  <c r="U644" i="246"/>
  <c r="R2266" i="246"/>
  <c r="R2248" i="246"/>
  <c r="R2250" i="246"/>
  <c r="R2252" i="246"/>
  <c r="R2249" i="246"/>
  <c r="R2264" i="246"/>
  <c r="R2268" i="246"/>
  <c r="R2247" i="246"/>
  <c r="R2267" i="246"/>
  <c r="R2246" i="246"/>
  <c r="R2256" i="246"/>
  <c r="R2255" i="246"/>
  <c r="R2269" i="246"/>
  <c r="R2254" i="246"/>
  <c r="R2270" i="246"/>
  <c r="R2251" i="246"/>
  <c r="R2253" i="246"/>
  <c r="R2263" i="246"/>
  <c r="R2271" i="246"/>
  <c r="O730" i="246"/>
  <c r="S1867" i="246"/>
  <c r="R1867" i="246"/>
  <c r="R1935" i="1"/>
  <c r="R1936" i="1" s="1"/>
  <c r="R1951" i="1"/>
  <c r="R1952" i="1" s="1"/>
  <c r="R2315" i="1"/>
  <c r="R2334" i="1"/>
  <c r="E227" i="231"/>
  <c r="F227" i="231" s="1"/>
  <c r="G227" i="231" s="1"/>
  <c r="M2029" i="1"/>
  <c r="R2029" i="1" s="1"/>
  <c r="R2031" i="1" s="1"/>
  <c r="D2524" i="1"/>
  <c r="D2523" i="1"/>
  <c r="V642" i="1"/>
  <c r="R2331" i="1"/>
  <c r="R2330" i="1"/>
  <c r="R2314" i="1"/>
  <c r="R2335" i="1"/>
  <c r="R2321" i="1"/>
  <c r="R2337" i="1"/>
  <c r="R2323" i="1"/>
  <c r="R2317" i="1"/>
  <c r="R2313" i="1"/>
  <c r="R2319" i="1"/>
  <c r="R2318" i="1"/>
  <c r="R2336" i="1"/>
  <c r="R2322" i="1"/>
  <c r="R2338" i="1"/>
  <c r="R2320" i="1"/>
  <c r="R2333" i="1"/>
  <c r="R2316" i="1"/>
  <c r="R1942" i="246" l="1"/>
  <c r="R1943" i="246"/>
  <c r="R1961" i="246"/>
  <c r="R1941" i="246"/>
  <c r="R1945" i="246"/>
  <c r="R1944" i="246"/>
  <c r="R1948" i="246"/>
  <c r="R1969" i="246"/>
  <c r="U608" i="246"/>
  <c r="R1967" i="246"/>
  <c r="R1963" i="246"/>
  <c r="R1949" i="246"/>
  <c r="R1940" i="246"/>
  <c r="R1946" i="246"/>
  <c r="R1968" i="246"/>
  <c r="R1947" i="246"/>
  <c r="R1960" i="246"/>
  <c r="R1939" i="246"/>
  <c r="R1868" i="246"/>
  <c r="R1869" i="246" s="1"/>
  <c r="R1884" i="246"/>
  <c r="R1885" i="246" s="1"/>
  <c r="E228" i="231"/>
  <c r="F228" i="231" s="1"/>
  <c r="G228" i="231" s="1"/>
  <c r="R2036" i="1"/>
  <c r="R2008" i="1"/>
  <c r="R2014" i="1"/>
  <c r="R2015" i="1"/>
  <c r="R2010" i="1"/>
  <c r="R2012" i="1"/>
  <c r="R2007" i="1"/>
  <c r="R2030" i="1"/>
  <c r="R2035" i="1"/>
  <c r="R2011" i="1"/>
  <c r="R2016" i="1"/>
  <c r="R2009" i="1"/>
  <c r="R2027" i="1"/>
  <c r="R2034" i="1"/>
  <c r="V606" i="1"/>
  <c r="R2013" i="1"/>
  <c r="R2028" i="1"/>
  <c r="R2006" i="1"/>
  <c r="E229" i="231" l="1"/>
  <c r="F229" i="231" s="1"/>
  <c r="G229" i="231" s="1"/>
  <c r="E230" i="231" l="1"/>
  <c r="F230" i="231" s="1"/>
  <c r="G230" i="231" s="1"/>
  <c r="N35" i="5"/>
  <c r="O2737" i="1" l="1"/>
  <c r="E231" i="231"/>
  <c r="F231" i="231" s="1"/>
  <c r="G231" i="231" s="1"/>
  <c r="X3050" i="1" l="1"/>
  <c r="E232" i="231"/>
  <c r="F232" i="231" s="1"/>
  <c r="G232" i="231" s="1"/>
  <c r="U2737" i="1"/>
  <c r="E233" i="231" l="1"/>
  <c r="F233" i="231" s="1"/>
  <c r="G233" i="231" s="1"/>
  <c r="E234" i="231" l="1"/>
  <c r="F234" i="231" s="1"/>
  <c r="G234" i="231" s="1"/>
  <c r="N225" i="5"/>
  <c r="O2264" i="1" s="1"/>
  <c r="I221" i="5" l="1"/>
  <c r="L221" i="5" s="1"/>
  <c r="O2209" i="246" s="1"/>
  <c r="S2209" i="246" s="1"/>
  <c r="O2205" i="246" s="1"/>
  <c r="Z2264" i="1"/>
  <c r="H13" i="170"/>
  <c r="H17" i="170" s="1"/>
  <c r="H19" i="170" s="1"/>
  <c r="E235" i="231"/>
  <c r="F235" i="231" s="1"/>
  <c r="G235" i="231" s="1"/>
  <c r="O598" i="1"/>
  <c r="O2267" i="1"/>
  <c r="O635" i="1"/>
  <c r="M2276" i="1" l="1"/>
  <c r="S2276" i="1" s="1"/>
  <c r="G9" i="170"/>
  <c r="E236" i="231"/>
  <c r="F236" i="231" s="1"/>
  <c r="G236" i="231" s="1"/>
  <c r="M2272" i="1" l="1"/>
  <c r="V2272" i="1" s="1"/>
  <c r="L32" i="170"/>
  <c r="I23" i="26" s="1"/>
  <c r="W2205" i="246"/>
  <c r="D2205" i="246" s="1"/>
  <c r="E237" i="231"/>
  <c r="F237" i="231" s="1"/>
  <c r="G237" i="231" s="1"/>
  <c r="X635" i="1"/>
  <c r="X598" i="1"/>
  <c r="N160" i="5"/>
  <c r="O1363" i="1" s="1"/>
  <c r="X2267" i="1"/>
  <c r="L36" i="170" l="1"/>
  <c r="J58" i="26"/>
  <c r="Z2272" i="1"/>
  <c r="Y2272" i="1"/>
  <c r="E238" i="231"/>
  <c r="F238" i="231" s="1"/>
  <c r="G238" i="231" s="1"/>
  <c r="J56" i="26" l="1"/>
  <c r="F21" i="26"/>
  <c r="J21" i="26" s="1"/>
  <c r="J331" i="5"/>
  <c r="L331" i="5" s="1"/>
  <c r="D2272" i="1"/>
  <c r="E239" i="231"/>
  <c r="F239" i="231" s="1"/>
  <c r="G239" i="231" s="1"/>
  <c r="O1360" i="1"/>
  <c r="G15" i="229" l="1"/>
  <c r="O1889" i="246"/>
  <c r="R1889" i="246" s="1"/>
  <c r="M1956" i="1"/>
  <c r="E240" i="231"/>
  <c r="F240" i="231" s="1"/>
  <c r="G240" i="231" s="1"/>
  <c r="U1360" i="1"/>
  <c r="R1956" i="1" l="1"/>
  <c r="E241" i="231"/>
  <c r="F241" i="231" s="1"/>
  <c r="G241" i="231" s="1"/>
  <c r="E242" i="231" l="1"/>
  <c r="F242" i="231" s="1"/>
  <c r="G242" i="231" s="1"/>
  <c r="E243" i="231" l="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3" i="136"/>
  <c r="D2" i="136" l="1"/>
  <c r="H2" i="136" s="1"/>
  <c r="I403" i="136"/>
  <c r="I2" i="136" s="1"/>
  <c r="M534" i="1"/>
  <c r="N2" i="136"/>
  <c r="F35" i="5" s="1"/>
  <c r="F71" i="80"/>
  <c r="S534" i="1" l="1"/>
  <c r="F403" i="5"/>
  <c r="F2" i="5" s="1"/>
  <c r="K2" i="5" s="1"/>
  <c r="L35" i="5"/>
  <c r="O2669" i="246" l="1"/>
  <c r="R2668" i="246" s="1"/>
  <c r="M2737" i="1"/>
  <c r="U2982" i="246" l="1"/>
  <c r="R2669" i="246"/>
  <c r="W2669" i="246"/>
  <c r="D2669" i="246" s="1"/>
  <c r="S2669" i="246"/>
  <c r="R2737" i="1"/>
  <c r="R2736" i="1"/>
  <c r="V3214" i="1"/>
  <c r="Z2737" i="1"/>
  <c r="R2674" i="246"/>
  <c r="V3050" i="1"/>
  <c r="S2737" i="1"/>
  <c r="Y2737" i="1"/>
  <c r="D2737" i="1" l="1"/>
  <c r="R2672" i="246"/>
  <c r="R2675" i="246"/>
  <c r="R2673" i="246"/>
  <c r="R2742" i="1"/>
  <c r="R2741" i="1" l="1"/>
  <c r="R2743" i="1"/>
  <c r="R2740" i="1"/>
  <c r="J90" i="26" l="1"/>
  <c r="J91" i="26" l="1"/>
  <c r="N236" i="5" l="1"/>
  <c r="O1473" i="1" s="1"/>
  <c r="U1473" i="1" s="1"/>
  <c r="N44" i="5" l="1"/>
  <c r="O1204" i="1" l="1"/>
  <c r="O1211" i="1" s="1"/>
  <c r="X1211" i="1" s="1"/>
  <c r="O2505" i="1"/>
  <c r="O2628" i="1"/>
  <c r="O534" i="1"/>
  <c r="R2510" i="1" l="1"/>
  <c r="U534" i="1"/>
  <c r="R534" i="1"/>
  <c r="O2622" i="1"/>
  <c r="R2628" i="1"/>
  <c r="R1204" i="1"/>
  <c r="R1211" i="1"/>
  <c r="R1213" i="1" l="1"/>
  <c r="R1193" i="1"/>
  <c r="O540" i="1"/>
  <c r="O2504" i="1"/>
  <c r="U2504" i="1" s="1"/>
  <c r="O548" i="1"/>
  <c r="R535" i="1"/>
  <c r="R1195" i="1"/>
  <c r="R1215" i="1"/>
  <c r="R1196" i="1"/>
  <c r="R1201" i="1"/>
  <c r="R1197" i="1"/>
  <c r="R1203" i="1"/>
  <c r="R1216" i="1"/>
  <c r="R1209" i="1"/>
  <c r="R1198" i="1"/>
  <c r="R1212" i="1"/>
  <c r="R1214" i="1"/>
  <c r="R1199" i="1"/>
  <c r="R1210" i="1"/>
  <c r="R1200" i="1"/>
  <c r="R1194" i="1"/>
  <c r="R1202" i="1"/>
  <c r="R1217" i="1"/>
  <c r="R2622" i="1"/>
  <c r="U2622" i="1"/>
  <c r="O2714" i="1" s="1"/>
  <c r="U2505" i="1"/>
  <c r="O1414" i="1" l="1"/>
  <c r="O1419" i="1" s="1"/>
  <c r="O2518" i="1"/>
  <c r="O2655" i="1"/>
  <c r="O2671" i="1"/>
  <c r="O2734" i="1"/>
  <c r="O2729" i="1"/>
  <c r="O2742" i="1"/>
  <c r="R2652" i="1"/>
  <c r="R2623" i="1"/>
  <c r="O2529" i="1"/>
  <c r="X736" i="1" l="1"/>
  <c r="X735" i="1"/>
  <c r="O1428" i="1"/>
  <c r="X2671" i="1"/>
  <c r="R2624" i="1"/>
  <c r="N229" i="5" l="1"/>
  <c r="I229" i="5" l="1"/>
  <c r="L229" i="5" s="1"/>
  <c r="O1480" i="1"/>
  <c r="X1542" i="1" s="1"/>
  <c r="O1450" i="1"/>
  <c r="U1450" i="1" s="1"/>
  <c r="D1485" i="1" l="1"/>
  <c r="D1446" i="246"/>
  <c r="O422" i="246"/>
  <c r="O424" i="1"/>
  <c r="M424" i="1" s="1"/>
  <c r="AA19" i="89"/>
  <c r="I19" i="89"/>
  <c r="O1441" i="246"/>
  <c r="U1503" i="246" s="1"/>
  <c r="R1407" i="246"/>
  <c r="R1446" i="1"/>
  <c r="M1480" i="1"/>
  <c r="V1542" i="1" s="1"/>
  <c r="M1450" i="1"/>
  <c r="S1450" i="1" s="1"/>
  <c r="O1411" i="246"/>
  <c r="S1411" i="246" s="1"/>
  <c r="R1485" i="1" l="1"/>
  <c r="R1446" i="246"/>
  <c r="V1450" i="1"/>
  <c r="R1486" i="1"/>
  <c r="R1482" i="1"/>
  <c r="R1478" i="1"/>
  <c r="R1474" i="1"/>
  <c r="R1458" i="1"/>
  <c r="R1453" i="1"/>
  <c r="R1449" i="1"/>
  <c r="R1444" i="1"/>
  <c r="R1489" i="1"/>
  <c r="R1481" i="1"/>
  <c r="R1477" i="1"/>
  <c r="R1473" i="1"/>
  <c r="R1457" i="1"/>
  <c r="R1452" i="1"/>
  <c r="R1448" i="1"/>
  <c r="R1488" i="1"/>
  <c r="R1484" i="1"/>
  <c r="R1480" i="1"/>
  <c r="R1476" i="1"/>
  <c r="R1456" i="1"/>
  <c r="R1451" i="1"/>
  <c r="R1447" i="1"/>
  <c r="R1487" i="1"/>
  <c r="R1483" i="1"/>
  <c r="R1479" i="1"/>
  <c r="R1475" i="1"/>
  <c r="R1454" i="1"/>
  <c r="R1450" i="1"/>
  <c r="R1445" i="1"/>
  <c r="R1447" i="246"/>
  <c r="R1443" i="246"/>
  <c r="R1439" i="246"/>
  <c r="R1435" i="246"/>
  <c r="R1419" i="246"/>
  <c r="R1414" i="246"/>
  <c r="R1410" i="246"/>
  <c r="R1405" i="246"/>
  <c r="R1450" i="246"/>
  <c r="R1442" i="246"/>
  <c r="R1438" i="246"/>
  <c r="R1434" i="246"/>
  <c r="R1418" i="246"/>
  <c r="R1413" i="246"/>
  <c r="R1409" i="246"/>
  <c r="R1449" i="246"/>
  <c r="R1445" i="246"/>
  <c r="R1441" i="246"/>
  <c r="R1437" i="246"/>
  <c r="R1417" i="246"/>
  <c r="R1412" i="246"/>
  <c r="R1408" i="246"/>
  <c r="R1448" i="246"/>
  <c r="R1444" i="246"/>
  <c r="R1440" i="246"/>
  <c r="R1436" i="246"/>
  <c r="R1415" i="246"/>
  <c r="R1411" i="246"/>
  <c r="R1406" i="246"/>
  <c r="R1404" i="246"/>
  <c r="R1400" i="246"/>
  <c r="R1403" i="246"/>
  <c r="R1398" i="246"/>
  <c r="R1402" i="246"/>
  <c r="R1397" i="246"/>
  <c r="R1399" i="246"/>
  <c r="R1401" i="246"/>
  <c r="AA20" i="89"/>
  <c r="I20" i="89"/>
  <c r="N235" i="5"/>
  <c r="O1481" i="1" s="1"/>
  <c r="I235" i="5" l="1"/>
  <c r="O1451" i="1"/>
  <c r="U1451" i="1" s="1"/>
  <c r="O1476" i="1" s="1"/>
  <c r="O590" i="1"/>
  <c r="R1440" i="1"/>
  <c r="R1443" i="1"/>
  <c r="R1439" i="1"/>
  <c r="R1436" i="1"/>
  <c r="R1442" i="1"/>
  <c r="R1437" i="1"/>
  <c r="R1438" i="1"/>
  <c r="R1441" i="1"/>
  <c r="L235" i="5"/>
  <c r="AB19" i="89" l="1"/>
  <c r="AC19" i="89" s="1"/>
  <c r="M1481" i="1"/>
  <c r="O1442" i="246"/>
  <c r="X590" i="1"/>
  <c r="M1451" i="1"/>
  <c r="O1412" i="246"/>
  <c r="S1412" i="246" s="1"/>
  <c r="O1437" i="246" s="1"/>
  <c r="O1447" i="1"/>
  <c r="O1458" i="1" s="1"/>
  <c r="O592" i="246"/>
  <c r="M590" i="1"/>
  <c r="D22" i="234" s="1"/>
  <c r="O587" i="1"/>
  <c r="U587" i="1" s="1"/>
  <c r="O419" i="246"/>
  <c r="O421" i="1"/>
  <c r="M421" i="1" s="1"/>
  <c r="J19" i="89"/>
  <c r="K19" i="89" s="1"/>
  <c r="M1447" i="1" l="1"/>
  <c r="S1451" i="1"/>
  <c r="M1476" i="1" s="1"/>
  <c r="V590" i="1" s="1"/>
  <c r="V1451" i="1"/>
  <c r="O1408" i="246"/>
  <c r="O1419" i="246" s="1"/>
  <c r="R592" i="246"/>
  <c r="R590" i="1"/>
  <c r="AB20" i="89"/>
  <c r="AC20" i="89"/>
  <c r="J20" i="89"/>
  <c r="K20" i="89"/>
  <c r="V1447" i="1" l="1"/>
  <c r="M1458" i="1"/>
  <c r="V1476" i="1"/>
  <c r="X1476" i="1"/>
  <c r="N203" i="5"/>
  <c r="U1437" i="246" l="1"/>
  <c r="U592" i="246"/>
  <c r="H9" i="169"/>
  <c r="O2223" i="1"/>
  <c r="I203" i="5"/>
  <c r="L203" i="5" s="1"/>
  <c r="O2156" i="246" l="1"/>
  <c r="R2156" i="246" s="1"/>
  <c r="M2223" i="1"/>
  <c r="R2223" i="1" s="1"/>
  <c r="G9" i="169"/>
  <c r="N386" i="5" l="1"/>
  <c r="O2425" i="1" s="1"/>
  <c r="O2433" i="1" l="1"/>
  <c r="O608" i="1"/>
  <c r="I385" i="5"/>
  <c r="L385" i="5" s="1"/>
  <c r="O1392" i="1"/>
  <c r="O647" i="1"/>
  <c r="O602" i="1" l="1"/>
  <c r="U602" i="1" s="1"/>
  <c r="O614" i="1" s="1"/>
  <c r="X608" i="1"/>
  <c r="O639" i="1"/>
  <c r="U639" i="1" s="1"/>
  <c r="X647" i="1"/>
  <c r="M2424" i="1"/>
  <c r="O2357" i="246"/>
  <c r="N157" i="5"/>
  <c r="R2357" i="246" l="1"/>
  <c r="W2357" i="246"/>
  <c r="D2357" i="246" s="1"/>
  <c r="Y2424" i="1"/>
  <c r="R2424" i="1"/>
  <c r="V2424" i="1"/>
  <c r="Z2424" i="1"/>
  <c r="O1356" i="1"/>
  <c r="O1391" i="1"/>
  <c r="O1395" i="1" s="1"/>
  <c r="X753" i="1" s="1"/>
  <c r="O2744" i="1"/>
  <c r="U2744" i="1" s="1"/>
  <c r="O2747" i="1" s="1"/>
  <c r="O550" i="1"/>
  <c r="O626" i="1"/>
  <c r="I183" i="5"/>
  <c r="Q3" i="5"/>
  <c r="O1353" i="1" l="1"/>
  <c r="U1353" i="1" s="1"/>
  <c r="O1370" i="1" s="1"/>
  <c r="X1431" i="1" s="1"/>
  <c r="X2425" i="1"/>
  <c r="D2424" i="1"/>
  <c r="O553" i="1"/>
  <c r="X553" i="1" s="1"/>
  <c r="X1428" i="1"/>
  <c r="L183" i="5"/>
  <c r="O620" i="1"/>
  <c r="U620" i="1" s="1"/>
  <c r="X550" i="1"/>
  <c r="X2747" i="1"/>
  <c r="X1395" i="1"/>
  <c r="X2744" i="1" l="1"/>
  <c r="O705" i="246"/>
  <c r="O704" i="1"/>
  <c r="X556" i="1"/>
  <c r="O708" i="1" l="1"/>
  <c r="X629" i="1" l="1"/>
  <c r="M703" i="1"/>
  <c r="X626" i="1"/>
  <c r="N202" i="5" l="1"/>
  <c r="A403" i="5"/>
  <c r="AB775" i="1" l="1"/>
  <c r="Y777" i="246"/>
  <c r="I202" i="5"/>
  <c r="O2222" i="1"/>
  <c r="O2241" i="1" s="1"/>
  <c r="H8" i="169"/>
  <c r="H26" i="169" s="1"/>
  <c r="H28" i="169" s="1"/>
  <c r="O634" i="1"/>
  <c r="O630" i="1" s="1"/>
  <c r="U630" i="1" s="1"/>
  <c r="O653" i="1" s="1"/>
  <c r="N403" i="5"/>
  <c r="N2" i="5" s="1"/>
  <c r="X614" i="1" l="1"/>
  <c r="I403" i="5"/>
  <c r="X634" i="1"/>
  <c r="X2" i="1" l="1"/>
  <c r="Q395" i="1" l="1"/>
  <c r="Q460" i="1" l="1"/>
  <c r="O77" i="1" s="1"/>
  <c r="J23" i="5" l="1"/>
  <c r="C703" i="246"/>
  <c r="L23" i="5" l="1"/>
  <c r="J24" i="26" l="1"/>
  <c r="J161" i="5" s="1"/>
  <c r="L161" i="5" s="1"/>
  <c r="J25" i="26"/>
  <c r="J138" i="5" l="1"/>
  <c r="L138" i="5" s="1"/>
  <c r="J222" i="5"/>
  <c r="L222" i="5" s="1"/>
  <c r="O2215" i="246" s="1"/>
  <c r="M1364" i="1"/>
  <c r="R1364" i="1" s="1"/>
  <c r="O1325" i="246"/>
  <c r="R1325" i="246" s="1"/>
  <c r="J313" i="5"/>
  <c r="L313" i="5" s="1"/>
  <c r="J202" i="5"/>
  <c r="L202" i="5" s="1"/>
  <c r="R2215" i="246" l="1"/>
  <c r="S2215" i="246"/>
  <c r="O2212" i="246" s="1"/>
  <c r="R2212" i="246" s="1"/>
  <c r="M2282" i="1"/>
  <c r="M2766" i="1"/>
  <c r="R2766" i="1" s="1"/>
  <c r="O2641" i="246"/>
  <c r="R2641" i="246" s="1"/>
  <c r="M2709" i="1"/>
  <c r="R2709" i="1" s="1"/>
  <c r="F104" i="80"/>
  <c r="M2509" i="1"/>
  <c r="R2509" i="1" s="1"/>
  <c r="M2698" i="246"/>
  <c r="R2698" i="246" s="1"/>
  <c r="O2442" i="246"/>
  <c r="R2442" i="246" s="1"/>
  <c r="M1422" i="1"/>
  <c r="R1422" i="1" s="1"/>
  <c r="O1383" i="246"/>
  <c r="R1383" i="246" s="1"/>
  <c r="G10" i="170"/>
  <c r="M763" i="1"/>
  <c r="O765" i="246"/>
  <c r="J357" i="5"/>
  <c r="L357" i="5" s="1"/>
  <c r="AA775" i="1"/>
  <c r="AC775" i="1" s="1"/>
  <c r="M775" i="1"/>
  <c r="C1902" i="1"/>
  <c r="AA763" i="1"/>
  <c r="AC763" i="1" s="1"/>
  <c r="C1836" i="246"/>
  <c r="M596" i="1"/>
  <c r="F251" i="4"/>
  <c r="D596" i="1"/>
  <c r="M1903" i="1"/>
  <c r="D598" i="246"/>
  <c r="O1837" i="246"/>
  <c r="X765" i="246"/>
  <c r="Z765" i="246" s="1"/>
  <c r="O598" i="246"/>
  <c r="D2244" i="1"/>
  <c r="D2177" i="246"/>
  <c r="C2221" i="1"/>
  <c r="M2222" i="1"/>
  <c r="O777" i="246"/>
  <c r="D636" i="246"/>
  <c r="D634" i="1"/>
  <c r="O636" i="246"/>
  <c r="X777" i="246"/>
  <c r="Z777" i="246" s="1"/>
  <c r="M634" i="1"/>
  <c r="O2155" i="246"/>
  <c r="G8" i="169"/>
  <c r="G26" i="169" s="1"/>
  <c r="G28" i="169" s="1"/>
  <c r="C2154" i="246"/>
  <c r="J19" i="26"/>
  <c r="R2217" i="246" l="1"/>
  <c r="R2214" i="246"/>
  <c r="R2213" i="246"/>
  <c r="R2218" i="246"/>
  <c r="R2282" i="1"/>
  <c r="S2282" i="1"/>
  <c r="J26" i="5"/>
  <c r="L26" i="5" s="1"/>
  <c r="J224" i="5"/>
  <c r="L224" i="5" s="1"/>
  <c r="O1929" i="246"/>
  <c r="O2455" i="246"/>
  <c r="M1996" i="1"/>
  <c r="M2522" i="1"/>
  <c r="O607" i="246"/>
  <c r="M605" i="1"/>
  <c r="G19" i="206"/>
  <c r="S775" i="1"/>
  <c r="Y775" i="1"/>
  <c r="R775" i="1"/>
  <c r="Z775" i="1"/>
  <c r="M769" i="1"/>
  <c r="R769" i="1" s="1"/>
  <c r="Y763" i="1"/>
  <c r="Z763" i="1"/>
  <c r="R763" i="1"/>
  <c r="S763" i="1"/>
  <c r="R598" i="246"/>
  <c r="R1903" i="1"/>
  <c r="M1910" i="1"/>
  <c r="R1910" i="1" s="1"/>
  <c r="W765" i="246"/>
  <c r="D765" i="246" s="1"/>
  <c r="R765" i="246"/>
  <c r="S765" i="246"/>
  <c r="O1844" i="246"/>
  <c r="R1844" i="246" s="1"/>
  <c r="R1837" i="246"/>
  <c r="D49" i="234"/>
  <c r="R596" i="1"/>
  <c r="C49" i="234"/>
  <c r="R2155" i="246"/>
  <c r="O2174" i="246"/>
  <c r="R2174" i="246" s="1"/>
  <c r="R636" i="246"/>
  <c r="M2241" i="1"/>
  <c r="R2241" i="1" s="1"/>
  <c r="R2222" i="1"/>
  <c r="H25" i="234"/>
  <c r="R634" i="1"/>
  <c r="O771" i="246"/>
  <c r="R771" i="246" s="1"/>
  <c r="S777" i="246"/>
  <c r="W777" i="246"/>
  <c r="D777" i="246" s="1"/>
  <c r="R777" i="246"/>
  <c r="J340" i="5"/>
  <c r="M527" i="1" l="1"/>
  <c r="C12" i="248" s="1"/>
  <c r="C13" i="248" s="1"/>
  <c r="O2222" i="246"/>
  <c r="M2289" i="1"/>
  <c r="M2279" i="1"/>
  <c r="R2279" i="1" s="1"/>
  <c r="M2602" i="1"/>
  <c r="O528" i="246"/>
  <c r="R528" i="246" s="1"/>
  <c r="R529" i="246" s="1"/>
  <c r="R530" i="246" s="1"/>
  <c r="R531" i="246" s="1"/>
  <c r="R532" i="246" s="1"/>
  <c r="O2534" i="246"/>
  <c r="O2524" i="246" s="1"/>
  <c r="G12" i="170"/>
  <c r="R1996" i="1"/>
  <c r="M1999" i="1"/>
  <c r="R1999" i="1" s="1"/>
  <c r="D32" i="234"/>
  <c r="R605" i="1"/>
  <c r="W2455" i="246"/>
  <c r="D2455" i="246" s="1"/>
  <c r="O2452" i="246"/>
  <c r="S2452" i="246" s="1"/>
  <c r="R607" i="246"/>
  <c r="R1929" i="246"/>
  <c r="O1932" i="246"/>
  <c r="R1932" i="246" s="1"/>
  <c r="Z2522" i="1"/>
  <c r="Y2522" i="1"/>
  <c r="M2519" i="1"/>
  <c r="S2519" i="1" s="1"/>
  <c r="R527" i="1"/>
  <c r="R528" i="1" s="1"/>
  <c r="R529" i="1" s="1"/>
  <c r="R530" i="1" s="1"/>
  <c r="R531" i="1" s="1"/>
  <c r="S527" i="1"/>
  <c r="D66" i="234"/>
  <c r="D763" i="1"/>
  <c r="D775" i="1"/>
  <c r="R777" i="1"/>
  <c r="R768" i="1"/>
  <c r="R770" i="1"/>
  <c r="R771" i="1" s="1"/>
  <c r="L340" i="5"/>
  <c r="X766" i="246" s="1"/>
  <c r="Z766" i="246" s="1"/>
  <c r="U598" i="246"/>
  <c r="U636" i="246"/>
  <c r="R1832" i="246"/>
  <c r="R1854" i="246"/>
  <c r="R1843" i="246"/>
  <c r="R1853" i="246"/>
  <c r="R1834" i="246"/>
  <c r="R1833" i="246"/>
  <c r="R1830" i="246"/>
  <c r="R1831" i="246"/>
  <c r="R1842" i="246"/>
  <c r="R1845" i="246"/>
  <c r="R1846" i="246" s="1"/>
  <c r="R1829" i="246"/>
  <c r="R1836" i="246"/>
  <c r="R1847" i="246"/>
  <c r="R1835" i="246"/>
  <c r="R1827" i="246"/>
  <c r="R1855" i="246"/>
  <c r="R1826" i="246"/>
  <c r="R1828" i="246"/>
  <c r="R1913" i="1"/>
  <c r="R1898" i="1"/>
  <c r="R1896" i="1"/>
  <c r="R1895" i="1"/>
  <c r="R1897" i="1"/>
  <c r="R1893" i="1"/>
  <c r="R1921" i="1"/>
  <c r="R1900" i="1"/>
  <c r="R1909" i="1"/>
  <c r="R1892" i="1"/>
  <c r="R1922" i="1"/>
  <c r="R1911" i="1"/>
  <c r="R1912" i="1" s="1"/>
  <c r="R1908" i="1"/>
  <c r="R1894" i="1"/>
  <c r="R1901" i="1"/>
  <c r="R1902" i="1"/>
  <c r="R1899" i="1"/>
  <c r="R1920" i="1"/>
  <c r="R1919" i="1"/>
  <c r="V634" i="1"/>
  <c r="V596" i="1"/>
  <c r="R770" i="246"/>
  <c r="R772" i="246"/>
  <c r="R773" i="246" s="1"/>
  <c r="R779" i="246"/>
  <c r="R2175" i="246"/>
  <c r="R2148" i="246"/>
  <c r="R2145" i="246"/>
  <c r="R2151" i="246"/>
  <c r="R2180" i="246"/>
  <c r="R2149" i="246"/>
  <c r="R2179" i="246"/>
  <c r="R2154" i="246"/>
  <c r="R2153" i="246"/>
  <c r="R2146" i="246"/>
  <c r="R2147" i="246"/>
  <c r="R2178" i="246"/>
  <c r="R2144" i="246"/>
  <c r="R2150" i="246"/>
  <c r="R2173" i="246"/>
  <c r="R2181" i="246"/>
  <c r="R2176" i="246"/>
  <c r="R2152" i="246"/>
  <c r="R2172" i="246"/>
  <c r="R2177" i="246"/>
  <c r="R2243" i="1"/>
  <c r="R2215" i="1"/>
  <c r="R2244" i="1"/>
  <c r="R2247" i="1"/>
  <c r="R2248" i="1"/>
  <c r="R2213" i="1"/>
  <c r="R2217" i="1"/>
  <c r="R2218" i="1"/>
  <c r="R2221" i="1"/>
  <c r="R2246" i="1"/>
  <c r="R2239" i="1"/>
  <c r="R2220" i="1"/>
  <c r="R2245" i="1"/>
  <c r="R2211" i="1"/>
  <c r="R2219" i="1"/>
  <c r="R2214" i="1"/>
  <c r="R2240" i="1"/>
  <c r="R2242" i="1"/>
  <c r="R2216" i="1"/>
  <c r="R2212" i="1"/>
  <c r="D71" i="234" l="1"/>
  <c r="D69" i="234"/>
  <c r="S2222" i="246"/>
  <c r="R2222" i="246"/>
  <c r="R2284" i="1"/>
  <c r="R2281" i="1"/>
  <c r="R2280" i="1"/>
  <c r="R2285" i="1"/>
  <c r="R2289" i="1"/>
  <c r="S2289" i="1"/>
  <c r="R2602" i="1"/>
  <c r="M2592" i="1"/>
  <c r="R2592" i="1" s="1"/>
  <c r="S528" i="246"/>
  <c r="O531" i="246" s="1"/>
  <c r="W531" i="246" s="1"/>
  <c r="D531" i="246" s="1"/>
  <c r="R2534" i="246"/>
  <c r="M597" i="1"/>
  <c r="V605" i="1"/>
  <c r="R1938" i="246"/>
  <c r="R1914" i="246"/>
  <c r="R1922" i="246"/>
  <c r="R1930" i="246"/>
  <c r="R1934" i="246"/>
  <c r="R1925" i="246"/>
  <c r="R1919" i="246"/>
  <c r="R1935" i="246"/>
  <c r="R1924" i="246"/>
  <c r="R1916" i="246"/>
  <c r="R1918" i="246"/>
  <c r="R1933" i="246"/>
  <c r="R1936" i="246"/>
  <c r="R1931" i="246"/>
  <c r="R1920" i="246"/>
  <c r="R1917" i="246"/>
  <c r="R1937" i="246"/>
  <c r="R1921" i="246"/>
  <c r="R1923" i="246"/>
  <c r="R1915" i="246"/>
  <c r="R1986" i="1"/>
  <c r="R2000" i="1"/>
  <c r="R1989" i="1"/>
  <c r="R1990" i="1"/>
  <c r="R2004" i="1"/>
  <c r="R2002" i="1"/>
  <c r="R1988" i="1"/>
  <c r="R1983" i="1"/>
  <c r="R1997" i="1"/>
  <c r="R1982" i="1"/>
  <c r="R2005" i="1"/>
  <c r="R1998" i="1"/>
  <c r="R2001" i="1"/>
  <c r="R2003" i="1"/>
  <c r="R1987" i="1"/>
  <c r="R1985" i="1"/>
  <c r="R1981" i="1"/>
  <c r="R1991" i="1"/>
  <c r="R1984" i="1"/>
  <c r="R1992" i="1"/>
  <c r="D2522" i="1"/>
  <c r="U607" i="246"/>
  <c r="M530" i="1"/>
  <c r="S2524" i="246"/>
  <c r="R2524" i="246"/>
  <c r="C1933" i="1"/>
  <c r="AA764" i="1"/>
  <c r="AC764" i="1" s="1"/>
  <c r="M764" i="1"/>
  <c r="O766" i="246"/>
  <c r="S766" i="246" s="1"/>
  <c r="O599" i="246"/>
  <c r="M1965" i="1"/>
  <c r="D1953" i="1" s="1"/>
  <c r="C1866" i="246"/>
  <c r="O1898" i="246"/>
  <c r="O1886" i="246" s="1"/>
  <c r="D597" i="1"/>
  <c r="D599" i="246"/>
  <c r="G18" i="229"/>
  <c r="G32" i="229" s="1"/>
  <c r="G34" i="229" s="1"/>
  <c r="Z530" i="1" l="1"/>
  <c r="C15" i="248"/>
  <c r="C16" i="248" s="1"/>
  <c r="S2592" i="1"/>
  <c r="M2671" i="1" s="1"/>
  <c r="R597" i="1"/>
  <c r="D28" i="234"/>
  <c r="R2535" i="246"/>
  <c r="R2536" i="246"/>
  <c r="R2537" i="246" s="1"/>
  <c r="R2538" i="246" s="1"/>
  <c r="R2539" i="246" s="1"/>
  <c r="R2525" i="246"/>
  <c r="R2526" i="246" s="1"/>
  <c r="O2587" i="246"/>
  <c r="W2587" i="246" s="1"/>
  <c r="C2587" i="246" s="1"/>
  <c r="O2552" i="246"/>
  <c r="O2603" i="246"/>
  <c r="O2538" i="246"/>
  <c r="W2538" i="246" s="1"/>
  <c r="C2538" i="246" s="1"/>
  <c r="C21" i="248"/>
  <c r="C26" i="248"/>
  <c r="Y530" i="1"/>
  <c r="D530" i="1" s="1"/>
  <c r="R2603" i="1"/>
  <c r="R2604" i="1"/>
  <c r="R2605" i="1" s="1"/>
  <c r="R2606" i="1" s="1"/>
  <c r="R2607" i="1" s="1"/>
  <c r="R2593" i="1"/>
  <c r="R2594" i="1" s="1"/>
  <c r="S764" i="1"/>
  <c r="Y764" i="1"/>
  <c r="Z764" i="1"/>
  <c r="R764" i="1"/>
  <c r="R766" i="246"/>
  <c r="W766" i="246"/>
  <c r="D766" i="246" s="1"/>
  <c r="R1898" i="246"/>
  <c r="R599" i="246"/>
  <c r="R1965" i="1"/>
  <c r="M1953" i="1"/>
  <c r="R1953" i="1" s="1"/>
  <c r="D1886" i="246"/>
  <c r="R1886" i="246"/>
  <c r="S1886" i="246"/>
  <c r="O1907" i="246" s="1"/>
  <c r="O760" i="246"/>
  <c r="R760" i="246" s="1"/>
  <c r="O783" i="246"/>
  <c r="M2606" i="1" l="1"/>
  <c r="Y2606" i="1" s="1"/>
  <c r="M2620" i="1"/>
  <c r="M2655" i="1"/>
  <c r="Y2655" i="1" s="1"/>
  <c r="W2603" i="246"/>
  <c r="C2603" i="246" s="1"/>
  <c r="U2603" i="246"/>
  <c r="Z2671" i="1"/>
  <c r="Y2671" i="1"/>
  <c r="D764" i="1"/>
  <c r="M758" i="1"/>
  <c r="R758" i="1" s="1"/>
  <c r="M781" i="1"/>
  <c r="S1953" i="1"/>
  <c r="M1974" i="1" s="1"/>
  <c r="R1974" i="1" s="1"/>
  <c r="R759" i="246"/>
  <c r="R761" i="246"/>
  <c r="R762" i="246" s="1"/>
  <c r="R768" i="246"/>
  <c r="R769" i="246" s="1"/>
  <c r="W782" i="246"/>
  <c r="C782" i="246" s="1"/>
  <c r="O790" i="246"/>
  <c r="U2018" i="246" s="1"/>
  <c r="R1907" i="246"/>
  <c r="U599" i="246"/>
  <c r="R1887" i="246"/>
  <c r="R1888" i="246" s="1"/>
  <c r="R1904" i="246"/>
  <c r="R1971" i="1"/>
  <c r="R1954" i="1"/>
  <c r="R1955" i="1" s="1"/>
  <c r="Z2606" i="1" l="1"/>
  <c r="C2606" i="1" s="1"/>
  <c r="V2671" i="1"/>
  <c r="Z2655" i="1"/>
  <c r="C2655" i="1" s="1"/>
  <c r="U790" i="246"/>
  <c r="C2671" i="1"/>
  <c r="M788" i="1"/>
  <c r="V2085" i="1" s="1"/>
  <c r="Y780" i="1"/>
  <c r="Z780" i="1"/>
  <c r="R766" i="1"/>
  <c r="R767" i="1" s="1"/>
  <c r="R757" i="1"/>
  <c r="R759" i="1"/>
  <c r="R760" i="1" s="1"/>
  <c r="V597" i="1"/>
  <c r="R1972" i="1"/>
  <c r="R1976" i="1"/>
  <c r="R1928" i="1"/>
  <c r="R1933" i="1"/>
  <c r="R1923" i="1"/>
  <c r="R1926" i="1"/>
  <c r="R1929" i="1"/>
  <c r="R1973" i="1"/>
  <c r="R1932" i="1"/>
  <c r="R1978" i="1"/>
  <c r="R1979" i="1"/>
  <c r="R1930" i="1"/>
  <c r="R1925" i="1"/>
  <c r="R1924" i="1"/>
  <c r="R1927" i="1"/>
  <c r="R1980" i="1"/>
  <c r="R1931" i="1"/>
  <c r="R1977" i="1"/>
  <c r="R1975" i="1"/>
  <c r="R1859" i="246"/>
  <c r="R1860" i="246"/>
  <c r="R1862" i="246"/>
  <c r="R1861" i="246"/>
  <c r="R1913" i="246"/>
  <c r="R1857" i="246"/>
  <c r="R1865" i="246"/>
  <c r="R1858" i="246"/>
  <c r="R1906" i="246"/>
  <c r="R1909" i="246"/>
  <c r="R1856" i="246"/>
  <c r="R1908" i="246"/>
  <c r="R1910" i="246"/>
  <c r="R1864" i="246"/>
  <c r="R1911" i="246"/>
  <c r="R1863" i="246"/>
  <c r="R1905" i="246"/>
  <c r="R1866" i="246"/>
  <c r="R1912" i="246"/>
  <c r="V788" i="1" l="1"/>
  <c r="C780" i="1"/>
  <c r="Q516" i="1"/>
  <c r="Q577" i="1" l="1"/>
  <c r="O81" i="1" s="1"/>
  <c r="O79" i="1"/>
  <c r="J53" i="26" l="1"/>
  <c r="J55" i="26"/>
  <c r="Q660" i="1"/>
  <c r="J23" i="26" l="1"/>
  <c r="J227" i="5" s="1"/>
  <c r="L227" i="5" s="1"/>
  <c r="O2230" i="246" s="1"/>
  <c r="J22" i="26"/>
  <c r="J226" i="5" s="1"/>
  <c r="L226" i="5" s="1"/>
  <c r="O83" i="1"/>
  <c r="Q719" i="1"/>
  <c r="O85" i="1" s="1"/>
  <c r="R2230" i="246" l="1"/>
  <c r="S2230" i="246"/>
  <c r="O2229" i="246"/>
  <c r="O2238" i="246"/>
  <c r="S2238" i="246" s="1"/>
  <c r="G15" i="170"/>
  <c r="M2297" i="1"/>
  <c r="M2296" i="1"/>
  <c r="M2305" i="1"/>
  <c r="S2305" i="1" s="1"/>
  <c r="G14" i="170"/>
  <c r="M1424" i="1"/>
  <c r="R1424" i="1" s="1"/>
  <c r="O1385" i="246"/>
  <c r="R1385" i="246" s="1"/>
  <c r="M2263" i="1"/>
  <c r="Y2263" i="1"/>
  <c r="R2263" i="1" s="1"/>
  <c r="R2262" i="1" s="1"/>
  <c r="O2196" i="246"/>
  <c r="W2196" i="246"/>
  <c r="R2196" i="246" s="1"/>
  <c r="R2195" i="246" s="1"/>
  <c r="J162" i="5"/>
  <c r="L162" i="5" s="1"/>
  <c r="Q795" i="1"/>
  <c r="Q850" i="1" s="1"/>
  <c r="R2229" i="246" l="1"/>
  <c r="S2229" i="246"/>
  <c r="O2226" i="246" s="1"/>
  <c r="R2226" i="246" s="1"/>
  <c r="S2296" i="1"/>
  <c r="R2296" i="1"/>
  <c r="R2297" i="1"/>
  <c r="S2297" i="1"/>
  <c r="M1365" i="1"/>
  <c r="O1326" i="246"/>
  <c r="Q870" i="1"/>
  <c r="Q896" i="1" s="1"/>
  <c r="Q913" i="1" s="1"/>
  <c r="Q931" i="1" s="1"/>
  <c r="Q949" i="1" s="1"/>
  <c r="Q971" i="1" s="1"/>
  <c r="Q986" i="1" s="1"/>
  <c r="Q1005" i="1" s="1"/>
  <c r="Q1026" i="1" s="1"/>
  <c r="Q1040" i="1" s="1"/>
  <c r="Q517" i="246"/>
  <c r="R2231" i="246" l="1"/>
  <c r="R2228" i="246"/>
  <c r="R2227" i="246"/>
  <c r="M2293" i="1"/>
  <c r="R2293" i="1" s="1"/>
  <c r="R1326" i="246"/>
  <c r="R1365" i="1"/>
  <c r="Q579" i="246"/>
  <c r="Q662" i="246" s="1"/>
  <c r="O83" i="246" s="1"/>
  <c r="Q1061" i="1"/>
  <c r="Q1088" i="1" s="1"/>
  <c r="Q1132" i="1" s="1"/>
  <c r="O79" i="246"/>
  <c r="R2298" i="1" l="1"/>
  <c r="R2295" i="1"/>
  <c r="R2294" i="1"/>
  <c r="O81" i="246"/>
  <c r="Q721" i="246"/>
  <c r="O85" i="246" s="1"/>
  <c r="Q797" i="246" l="1"/>
  <c r="Q852" i="246" l="1"/>
  <c r="Q878" i="246" s="1"/>
  <c r="Q895" i="246" s="1"/>
  <c r="Q913" i="246" s="1"/>
  <c r="Q931" i="246" s="1"/>
  <c r="Q953" i="246" s="1"/>
  <c r="Q968" i="246" s="1"/>
  <c r="Q987" i="246" s="1"/>
  <c r="Q1008" i="246" s="1"/>
  <c r="Q1022" i="246" l="1"/>
  <c r="Q1049" i="246" s="1"/>
  <c r="Q1093" i="246" s="1"/>
  <c r="K532" i="1"/>
  <c r="C1144" i="1"/>
  <c r="K3493" i="1" s="1"/>
  <c r="K3030" i="1"/>
  <c r="K540" i="1"/>
  <c r="K3522" i="1"/>
  <c r="K3358" i="1"/>
  <c r="K2714" i="1"/>
  <c r="K3686" i="1"/>
  <c r="K3194" i="1"/>
  <c r="K3850" i="1"/>
  <c r="C2556" i="1" l="1"/>
  <c r="K3657" i="1"/>
  <c r="K3001" i="1"/>
  <c r="K3821" i="1"/>
  <c r="K3165" i="1"/>
  <c r="K2685" i="1"/>
  <c r="K3329" i="1"/>
  <c r="K3688" i="1" l="1"/>
  <c r="C1229" i="1"/>
  <c r="K3196" i="1"/>
  <c r="K2716" i="1"/>
  <c r="K542" i="1"/>
  <c r="K3032" i="1"/>
  <c r="K3852" i="1"/>
  <c r="K3360" i="1"/>
  <c r="K3524" i="1"/>
  <c r="C1230" i="1" l="1"/>
  <c r="K739" i="1" s="1"/>
  <c r="C1238" i="1" l="1"/>
  <c r="K740" i="1" s="1"/>
  <c r="C1171" i="1"/>
  <c r="K2636" i="1" l="1"/>
  <c r="K3609" i="1"/>
  <c r="K3117" i="1"/>
  <c r="K3445" i="1"/>
  <c r="K3773" i="1"/>
  <c r="K3281" i="1"/>
  <c r="K2953" i="1"/>
  <c r="C1203" i="1"/>
  <c r="C1259" i="1"/>
  <c r="K2684" i="1" l="1"/>
  <c r="K3601" i="1"/>
  <c r="K3000" i="1"/>
  <c r="K3328" i="1"/>
  <c r="K3273" i="1"/>
  <c r="K3656" i="1"/>
  <c r="K3437" i="1"/>
  <c r="K3109" i="1"/>
  <c r="K3164" i="1"/>
  <c r="K2945" i="1"/>
  <c r="K2628" i="1"/>
  <c r="K3492" i="1"/>
  <c r="K3820" i="1"/>
  <c r="K3765" i="1"/>
  <c r="Q1162" i="1"/>
  <c r="Q1194" i="1" l="1"/>
  <c r="K544" i="1" l="1"/>
  <c r="K2731" i="1"/>
  <c r="K3867" i="1"/>
  <c r="K3539" i="1"/>
  <c r="K3703" i="1"/>
  <c r="K3047" i="1"/>
  <c r="K3375" i="1"/>
  <c r="K3211" i="1"/>
  <c r="Q1219" i="1" l="1"/>
  <c r="C1352" i="1" l="1"/>
  <c r="K550" i="1"/>
  <c r="K2744" i="1"/>
  <c r="K594" i="1" l="1"/>
  <c r="K590" i="1"/>
  <c r="C1390" i="1"/>
  <c r="K753" i="1" s="1"/>
  <c r="K593" i="1" l="1"/>
  <c r="C1412" i="1"/>
  <c r="Q1278" i="1"/>
  <c r="K595" i="1" l="1"/>
  <c r="K596" i="1" l="1"/>
  <c r="K605" i="1" l="1"/>
  <c r="K597" i="1"/>
  <c r="K607" i="1" l="1"/>
  <c r="K606" i="1"/>
  <c r="K623" i="1" l="1"/>
  <c r="K624" i="1"/>
  <c r="K633" i="1" l="1"/>
  <c r="K645" i="1"/>
  <c r="K625" i="1"/>
  <c r="K634" i="1"/>
  <c r="K598" i="1" l="1"/>
  <c r="K635" i="1"/>
  <c r="K642" i="1" l="1"/>
  <c r="K643" i="1"/>
  <c r="K644" i="1" l="1"/>
  <c r="K646" i="1" l="1"/>
  <c r="Q1342" i="1"/>
  <c r="Q1381" i="1" s="1"/>
  <c r="Q1403" i="1" l="1"/>
  <c r="K735" i="1"/>
  <c r="K533" i="246" l="1"/>
  <c r="C1105" i="246" l="1"/>
  <c r="K3097" i="246" s="1"/>
  <c r="K2962" i="246"/>
  <c r="K2646" i="246"/>
  <c r="K541" i="246"/>
  <c r="K3126" i="246"/>
  <c r="K3290" i="246"/>
  <c r="K2617" i="246" l="1"/>
  <c r="K3261" i="246"/>
  <c r="C2488" i="246"/>
  <c r="K2933" i="246"/>
  <c r="K3292" i="246" l="1"/>
  <c r="K2964" i="246"/>
  <c r="K543" i="246"/>
  <c r="K3128" i="246"/>
  <c r="C1190" i="246"/>
  <c r="K2648" i="246"/>
  <c r="C1191" i="246" l="1"/>
  <c r="K741" i="246" s="1"/>
  <c r="C1199" i="246" l="1"/>
  <c r="K742" i="246" s="1"/>
  <c r="C1132" i="246"/>
  <c r="K2568" i="246" l="1"/>
  <c r="K3213" i="246"/>
  <c r="K3049" i="246"/>
  <c r="K2885" i="246"/>
  <c r="C1164" i="246"/>
  <c r="C1220" i="246"/>
  <c r="K3205" i="246" l="1"/>
  <c r="K2932" i="246"/>
  <c r="K2877" i="246"/>
  <c r="K2560" i="246"/>
  <c r="K3260" i="246"/>
  <c r="K2616" i="246"/>
  <c r="K3041" i="246"/>
  <c r="K3096" i="246"/>
  <c r="Q1123" i="246"/>
  <c r="Q1155" i="246" l="1"/>
  <c r="K3143" i="246" l="1"/>
  <c r="K545" i="246"/>
  <c r="K2663" i="246"/>
  <c r="K3307" i="246"/>
  <c r="K754" i="246"/>
  <c r="K2979" i="246"/>
  <c r="Q1180" i="246" l="1"/>
  <c r="C1313" i="246" l="1"/>
  <c r="K551" i="246"/>
  <c r="K2676" i="246"/>
  <c r="K596" i="246" l="1"/>
  <c r="C1351" i="246"/>
  <c r="C1373" i="246" s="1"/>
  <c r="K595" i="246"/>
  <c r="K592" i="246"/>
  <c r="Q1239" i="246"/>
  <c r="K597" i="246" l="1"/>
  <c r="K755" i="246"/>
  <c r="K599" i="246" l="1"/>
  <c r="K598" i="246" l="1"/>
  <c r="K607" i="246"/>
  <c r="K608" i="246" l="1"/>
  <c r="K609" i="246" l="1"/>
  <c r="K626" i="246" l="1"/>
  <c r="K625" i="246" l="1"/>
  <c r="K627" i="246" l="1"/>
  <c r="K635" i="246" l="1"/>
  <c r="K647" i="246"/>
  <c r="K636" i="246"/>
  <c r="K637" i="246" l="1"/>
  <c r="K600" i="246"/>
  <c r="K644" i="246" l="1"/>
  <c r="K645" i="246" l="1"/>
  <c r="K646" i="246"/>
  <c r="Q1303" i="246"/>
  <c r="Q1342" i="246" s="1"/>
  <c r="K648" i="246" l="1"/>
  <c r="Q1364" i="246"/>
  <c r="K737" i="246" l="1"/>
  <c r="Q1437" i="1" l="1"/>
  <c r="Q1491" i="1" s="1"/>
  <c r="Q1549" i="1" l="1"/>
  <c r="Q1615" i="1" s="1"/>
  <c r="Q1644" i="1" s="1"/>
  <c r="Q1698" i="1" s="1"/>
  <c r="Q1756" i="1" l="1"/>
  <c r="Q1795" i="1" l="1"/>
  <c r="Q1838" i="1" s="1"/>
  <c r="Q1862" i="1" s="1"/>
  <c r="Q1893" i="1" l="1"/>
  <c r="Q1924" i="1" s="1"/>
  <c r="Q1982" i="1" s="1"/>
  <c r="Q2007" i="1" l="1"/>
  <c r="Q2038" i="1" s="1"/>
  <c r="Q2065" i="1" s="1"/>
  <c r="Q2093" i="1" l="1"/>
  <c r="Q2115" i="1"/>
  <c r="Q2138" i="1" s="1"/>
  <c r="Q2173" i="1" s="1"/>
  <c r="Q2212" i="1" s="1"/>
  <c r="Q2250" i="1" s="1"/>
  <c r="Q2314" i="1" s="1"/>
  <c r="Q2340" i="1" s="1"/>
  <c r="Q2366" i="1" s="1"/>
  <c r="Q2389" i="1" s="1"/>
  <c r="Q2414" i="1" s="1"/>
  <c r="Q2441" i="1" l="1"/>
  <c r="Q2466" i="1" l="1"/>
  <c r="Q2492" i="1" s="1"/>
  <c r="Q2537" i="1" s="1"/>
  <c r="D294" i="1" l="1"/>
  <c r="D246" i="1"/>
  <c r="D350" i="1"/>
  <c r="Q2579" i="1"/>
  <c r="Q2662" i="1" s="1"/>
  <c r="Q2754" i="1" s="1"/>
  <c r="O91" i="1" s="1"/>
  <c r="O87" i="1"/>
  <c r="Q1398" i="246"/>
  <c r="Q1452" i="246" s="1"/>
  <c r="O89" i="1" l="1"/>
  <c r="Q2830" i="1"/>
  <c r="O93" i="1" s="1"/>
  <c r="Q1510" i="246"/>
  <c r="Q1556" i="246" s="1"/>
  <c r="Q1578" i="246" s="1"/>
  <c r="Q1632" i="246" s="1"/>
  <c r="Q1690" i="246" l="1"/>
  <c r="Q1729" i="246" l="1"/>
  <c r="Q1772" i="246" s="1"/>
  <c r="Q1796" i="246" l="1"/>
  <c r="Q1827" i="246" s="1"/>
  <c r="Q1857" i="246" s="1"/>
  <c r="Q1915" i="246" s="1"/>
  <c r="Q1940" i="246" l="1"/>
  <c r="Q1971" i="246" s="1"/>
  <c r="Q1998" i="246" s="1"/>
  <c r="Q2026" i="246" l="1"/>
  <c r="Q2048" i="246" l="1"/>
  <c r="Q2071" i="246" l="1"/>
  <c r="Q2106" i="246" s="1"/>
  <c r="Q2145" i="246" s="1"/>
  <c r="Q2183" i="246" s="1"/>
  <c r="Q2247" i="246" s="1"/>
  <c r="Q2273" i="246" s="1"/>
  <c r="Q2299" i="246" s="1"/>
  <c r="Q2322" i="246" s="1"/>
  <c r="Q2347" i="246" s="1"/>
  <c r="Q2374" i="246" l="1"/>
  <c r="Q2399" i="246" l="1"/>
  <c r="Q2425" i="246" s="1"/>
  <c r="Q2470" i="246" l="1"/>
  <c r="D294" i="246" l="1"/>
  <c r="D351" i="246"/>
  <c r="D246" i="246"/>
  <c r="O87" i="246"/>
  <c r="Q2511" i="246"/>
  <c r="Q2594" i="246" s="1"/>
  <c r="Q2686" i="246" s="1"/>
  <c r="O91" i="246" s="1"/>
  <c r="Q2762" i="246" l="1"/>
  <c r="O93" i="246" s="1"/>
  <c r="O89" i="246"/>
  <c r="J139" i="5" l="1"/>
  <c r="L139" i="5" s="1"/>
  <c r="F105" i="80" l="1"/>
  <c r="F81" i="80" s="1"/>
  <c r="F72" i="80"/>
  <c r="F79" i="80" s="1"/>
  <c r="M2765" i="1"/>
  <c r="M2710" i="1"/>
  <c r="O2642" i="246"/>
  <c r="M2697" i="246"/>
  <c r="O537" i="246"/>
  <c r="M536" i="1"/>
  <c r="O2441" i="246"/>
  <c r="F115" i="80" l="1"/>
  <c r="F117" i="80" s="1"/>
  <c r="F122" i="80" s="1"/>
  <c r="F127" i="80" s="1"/>
  <c r="S537" i="246"/>
  <c r="R537" i="246"/>
  <c r="R538" i="246" s="1"/>
  <c r="O2606" i="246"/>
  <c r="R2642" i="246"/>
  <c r="M2674" i="1"/>
  <c r="R2710" i="1"/>
  <c r="M2505" i="1"/>
  <c r="R2508" i="1"/>
  <c r="O2438" i="246"/>
  <c r="R2441" i="246"/>
  <c r="S536" i="1"/>
  <c r="D101" i="234"/>
  <c r="H104" i="234" s="1"/>
  <c r="R536" i="1"/>
  <c r="R537" i="1" s="1"/>
  <c r="O2696" i="246"/>
  <c r="R2697" i="246"/>
  <c r="O2764" i="1"/>
  <c r="R2765" i="1"/>
  <c r="S2764" i="1" l="1"/>
  <c r="R2764" i="1"/>
  <c r="D108" i="234"/>
  <c r="H108" i="234"/>
  <c r="S2505" i="1"/>
  <c r="S2606" i="246"/>
  <c r="R2606" i="246"/>
  <c r="M548" i="1"/>
  <c r="M2504" i="1"/>
  <c r="Y1142" i="1"/>
  <c r="Z1142" i="1"/>
  <c r="Y2501" i="1"/>
  <c r="Y1141" i="1"/>
  <c r="Z2501" i="1"/>
  <c r="Y2504" i="1"/>
  <c r="Z2504" i="1"/>
  <c r="Z1141" i="1"/>
  <c r="M540" i="1"/>
  <c r="R2696" i="246"/>
  <c r="R2713" i="246" s="1"/>
  <c r="S2696" i="246"/>
  <c r="S2438" i="246"/>
  <c r="S2674" i="1"/>
  <c r="M2714" i="1" s="1"/>
  <c r="R2674" i="1"/>
  <c r="O549" i="246"/>
  <c r="O2437" i="246"/>
  <c r="O541" i="246"/>
  <c r="W1103" i="246"/>
  <c r="D1103" i="246" s="1"/>
  <c r="W1102" i="246"/>
  <c r="C1102" i="246" s="1"/>
  <c r="W2437" i="246"/>
  <c r="D2437" i="246" s="1"/>
  <c r="W2434" i="246"/>
  <c r="C2434" i="246" s="1"/>
  <c r="C1141" i="1" l="1"/>
  <c r="D1142" i="1"/>
  <c r="D2504" i="1"/>
  <c r="H109" i="234"/>
  <c r="R541" i="246"/>
  <c r="W541" i="246"/>
  <c r="D541" i="246" s="1"/>
  <c r="M2729" i="1"/>
  <c r="M2742" i="1"/>
  <c r="M2734" i="1"/>
  <c r="R2715" i="246"/>
  <c r="R2716" i="246" s="1"/>
  <c r="R2714" i="246"/>
  <c r="R2643" i="246"/>
  <c r="R2607" i="246"/>
  <c r="R2608" i="246" s="1"/>
  <c r="R2439" i="246"/>
  <c r="R2450" i="246"/>
  <c r="R2451" i="246"/>
  <c r="R2440" i="246"/>
  <c r="R2449" i="246"/>
  <c r="R2448" i="246"/>
  <c r="Y540" i="1"/>
  <c r="Z540" i="1"/>
  <c r="R540" i="1"/>
  <c r="O2674" i="246"/>
  <c r="O2646" i="246"/>
  <c r="W2646" i="246" s="1"/>
  <c r="C2646" i="246" s="1"/>
  <c r="O2661" i="246"/>
  <c r="O2666" i="246"/>
  <c r="W2666" i="246" s="1"/>
  <c r="C2666" i="246" s="1"/>
  <c r="S2437" i="246"/>
  <c r="O2462" i="246" s="1"/>
  <c r="O2451" i="246"/>
  <c r="O1375" i="246"/>
  <c r="O1380" i="246" s="1"/>
  <c r="O433" i="246"/>
  <c r="O2694" i="246"/>
  <c r="W549" i="246"/>
  <c r="D549" i="246" s="1"/>
  <c r="S2504" i="1"/>
  <c r="M2529" i="1" s="1"/>
  <c r="M2518" i="1"/>
  <c r="R2517" i="1"/>
  <c r="R2518" i="1"/>
  <c r="R2507" i="1"/>
  <c r="R2515" i="1"/>
  <c r="R2516" i="1"/>
  <c r="R2506" i="1"/>
  <c r="R2782" i="1"/>
  <c r="R2781" i="1"/>
  <c r="R2783" i="1"/>
  <c r="R2784" i="1" s="1"/>
  <c r="R2711" i="1"/>
  <c r="R2675" i="1"/>
  <c r="R2676" i="1" s="1"/>
  <c r="C2501" i="1"/>
  <c r="M1414" i="1"/>
  <c r="M1419" i="1" s="1"/>
  <c r="O435" i="1"/>
  <c r="O2762" i="1"/>
  <c r="Y548" i="1"/>
  <c r="Z548" i="1"/>
  <c r="D540" i="1" l="1"/>
  <c r="D548" i="1"/>
  <c r="M435" i="1"/>
  <c r="E435" i="1"/>
  <c r="Z1414" i="1"/>
  <c r="Y1414" i="1"/>
  <c r="R541" i="1"/>
  <c r="R538" i="1"/>
  <c r="R539" i="1"/>
  <c r="Y2714" i="1"/>
  <c r="Z2714" i="1"/>
  <c r="S2694" i="246"/>
  <c r="O2715" i="246"/>
  <c r="D2694" i="246"/>
  <c r="O2783" i="1"/>
  <c r="S2762" i="1"/>
  <c r="D2762" i="1"/>
  <c r="V736" i="1"/>
  <c r="V735" i="1"/>
  <c r="E433" i="246"/>
  <c r="U738" i="246"/>
  <c r="U737" i="246"/>
  <c r="Y2734" i="1"/>
  <c r="Z2734" i="1"/>
  <c r="D1375" i="246"/>
  <c r="R542" i="246"/>
  <c r="R539" i="246"/>
  <c r="R540" i="246"/>
  <c r="C2734" i="1" l="1"/>
  <c r="C2714" i="1"/>
  <c r="D1414" i="1"/>
  <c r="O2799" i="1"/>
  <c r="O2803" i="1"/>
  <c r="M1421" i="1" s="1"/>
  <c r="O2735" i="246"/>
  <c r="O1382" i="246" s="1"/>
  <c r="O2731" i="246"/>
  <c r="D2735" i="246" l="1"/>
  <c r="K483" i="4"/>
  <c r="O2740" i="246" s="1"/>
  <c r="G34" i="170"/>
  <c r="I34" i="170" s="1"/>
  <c r="P483" i="4"/>
  <c r="U483" i="4"/>
  <c r="D2803" i="1"/>
  <c r="O2743" i="246" l="1"/>
  <c r="S2743" i="246" s="1"/>
  <c r="O2752" i="246" s="1"/>
  <c r="D2752" i="246" s="1"/>
  <c r="O1386" i="246"/>
  <c r="R1386" i="246" s="1"/>
  <c r="R1421" i="1"/>
  <c r="R1420" i="1" s="1"/>
  <c r="O2808" i="1"/>
  <c r="K34" i="170"/>
  <c r="I37" i="170"/>
  <c r="R1382" i="246"/>
  <c r="R1381" i="246" s="1"/>
  <c r="K36" i="170" l="1"/>
  <c r="F18" i="26" s="1"/>
  <c r="J18" i="26" s="1"/>
  <c r="J160" i="5" s="1"/>
  <c r="L160" i="5" s="1"/>
  <c r="O1324" i="246" s="1"/>
  <c r="I20" i="26"/>
  <c r="J20" i="26" s="1"/>
  <c r="J225" i="5" s="1"/>
  <c r="L225" i="5" s="1"/>
  <c r="O1389" i="246"/>
  <c r="O2811" i="1"/>
  <c r="S2811" i="1" s="1"/>
  <c r="O2820" i="1" s="1"/>
  <c r="D2820" i="1" s="1"/>
  <c r="F15" i="26"/>
  <c r="M1425" i="1"/>
  <c r="O2223" i="246" l="1"/>
  <c r="O2239" i="246"/>
  <c r="S2239" i="246" s="1"/>
  <c r="M2290" i="1"/>
  <c r="M2306" i="1"/>
  <c r="S2306" i="1" s="1"/>
  <c r="M1363" i="1"/>
  <c r="R1363" i="1" s="1"/>
  <c r="R1360" i="1" s="1"/>
  <c r="M2264" i="1"/>
  <c r="M2267" i="1" s="1"/>
  <c r="M635" i="1"/>
  <c r="O2197" i="246"/>
  <c r="O2200" i="246" s="1"/>
  <c r="G13" i="170"/>
  <c r="G17" i="170" s="1"/>
  <c r="I39" i="170" s="1"/>
  <c r="O637" i="246"/>
  <c r="O600" i="246"/>
  <c r="Y2264" i="1"/>
  <c r="R2264" i="1" s="1"/>
  <c r="R2267" i="1" s="1"/>
  <c r="M598" i="1"/>
  <c r="W2197" i="246"/>
  <c r="R2197" i="246" s="1"/>
  <c r="R2200" i="246" s="1"/>
  <c r="R1324" i="246"/>
  <c r="R1321" i="246" s="1"/>
  <c r="O1321" i="246"/>
  <c r="S1321" i="246" s="1"/>
  <c r="R1425" i="1"/>
  <c r="M1428" i="1"/>
  <c r="I16" i="26"/>
  <c r="J15" i="26"/>
  <c r="J157" i="5" s="1"/>
  <c r="F484" i="26"/>
  <c r="S2223" i="246" l="1"/>
  <c r="R2223" i="246"/>
  <c r="R2245" i="246"/>
  <c r="R2241" i="246"/>
  <c r="R2205" i="246"/>
  <c r="R2244" i="246"/>
  <c r="R2240" i="246"/>
  <c r="R2234" i="246"/>
  <c r="R2239" i="246"/>
  <c r="R2238" i="246" s="1"/>
  <c r="R2233" i="246"/>
  <c r="R2243" i="246"/>
  <c r="R2237" i="246"/>
  <c r="R2242" i="246"/>
  <c r="R2236" i="246"/>
  <c r="R2232" i="246"/>
  <c r="R2209" i="246"/>
  <c r="R2208" i="246" s="1"/>
  <c r="R2235" i="246"/>
  <c r="R2194" i="246"/>
  <c r="R2312" i="1"/>
  <c r="R2308" i="1"/>
  <c r="R2302" i="1"/>
  <c r="R2306" i="1"/>
  <c r="R2305" i="1" s="1"/>
  <c r="R2311" i="1"/>
  <c r="R2307" i="1"/>
  <c r="R2301" i="1"/>
  <c r="R2310" i="1"/>
  <c r="R2304" i="1"/>
  <c r="R2300" i="1"/>
  <c r="R2261" i="1"/>
  <c r="R2309" i="1"/>
  <c r="R2303" i="1"/>
  <c r="R2299" i="1"/>
  <c r="R2272" i="1"/>
  <c r="R2276" i="1"/>
  <c r="R2275" i="1" s="1"/>
  <c r="R2290" i="1"/>
  <c r="S2290" i="1"/>
  <c r="G19" i="170"/>
  <c r="M1360" i="1"/>
  <c r="S1360" i="1" s="1"/>
  <c r="R2182" i="246"/>
  <c r="R2192" i="246"/>
  <c r="R2186" i="246"/>
  <c r="R2190" i="246"/>
  <c r="R2193" i="246"/>
  <c r="R2184" i="246"/>
  <c r="R2199" i="246"/>
  <c r="R2201" i="246"/>
  <c r="R2187" i="246"/>
  <c r="R2204" i="246"/>
  <c r="R2185" i="246"/>
  <c r="R2188" i="246"/>
  <c r="R2202" i="246"/>
  <c r="R2203" i="246"/>
  <c r="R2183" i="246"/>
  <c r="R2191" i="246"/>
  <c r="R2198" i="246"/>
  <c r="R2189" i="246"/>
  <c r="R600" i="246"/>
  <c r="U600" i="246"/>
  <c r="R598" i="1"/>
  <c r="D50" i="234"/>
  <c r="C50" i="234"/>
  <c r="V598" i="1"/>
  <c r="O632" i="246"/>
  <c r="R637" i="246"/>
  <c r="U637" i="246"/>
  <c r="M630" i="1"/>
  <c r="H36" i="234"/>
  <c r="R635" i="1"/>
  <c r="G36" i="234"/>
  <c r="R2253" i="1"/>
  <c r="R2251" i="1"/>
  <c r="R2271" i="1"/>
  <c r="R2252" i="1"/>
  <c r="R2255" i="1"/>
  <c r="R2258" i="1"/>
  <c r="R2268" i="1"/>
  <c r="R2250" i="1"/>
  <c r="R2259" i="1"/>
  <c r="R2269" i="1"/>
  <c r="R2257" i="1"/>
  <c r="R2266" i="1"/>
  <c r="R2265" i="1"/>
  <c r="R2249" i="1"/>
  <c r="R2254" i="1"/>
  <c r="R2256" i="1"/>
  <c r="R2260" i="1"/>
  <c r="R2270" i="1"/>
  <c r="R1327" i="246"/>
  <c r="R1328" i="246"/>
  <c r="R1323" i="246"/>
  <c r="R1322" i="246"/>
  <c r="R1362" i="1"/>
  <c r="R1361" i="1"/>
  <c r="R1366" i="1"/>
  <c r="R1367" i="1"/>
  <c r="L157" i="5"/>
  <c r="C37" i="248" s="1"/>
  <c r="J16" i="26"/>
  <c r="I484" i="26"/>
  <c r="F8" i="26" s="1"/>
  <c r="D8" i="26" s="1"/>
  <c r="F486" i="26"/>
  <c r="F9" i="26" s="1"/>
  <c r="O2219" i="246" l="1"/>
  <c r="R2219" i="246" s="1"/>
  <c r="O2234" i="246"/>
  <c r="U2200" i="246" s="1"/>
  <c r="R2210" i="246"/>
  <c r="R2207" i="246"/>
  <c r="R2206" i="246"/>
  <c r="R2211" i="246"/>
  <c r="R2277" i="1"/>
  <c r="R2274" i="1"/>
  <c r="R2273" i="1"/>
  <c r="R2278" i="1"/>
  <c r="M2286" i="1"/>
  <c r="R2286" i="1" s="1"/>
  <c r="M2301" i="1"/>
  <c r="V635" i="1" s="1"/>
  <c r="R632" i="246"/>
  <c r="S632" i="246"/>
  <c r="R630" i="1"/>
  <c r="S630" i="1"/>
  <c r="J288" i="5"/>
  <c r="J386" i="5"/>
  <c r="L386" i="5" s="1"/>
  <c r="O2676" i="246"/>
  <c r="D1374" i="1"/>
  <c r="R1374" i="1" s="1"/>
  <c r="D1375" i="1"/>
  <c r="R1375" i="1" s="1"/>
  <c r="O1352" i="246"/>
  <c r="M550" i="1"/>
  <c r="M553" i="1" s="1"/>
  <c r="O551" i="246"/>
  <c r="M2744" i="1"/>
  <c r="M1391" i="1"/>
  <c r="D1336" i="246"/>
  <c r="R1336" i="246" s="1"/>
  <c r="D1335" i="246"/>
  <c r="R1335" i="246" s="1"/>
  <c r="O1317" i="246"/>
  <c r="O1314" i="246" s="1"/>
  <c r="S1314" i="246" s="1"/>
  <c r="O1331" i="246" s="1"/>
  <c r="U1389" i="246" s="1"/>
  <c r="M1356" i="1"/>
  <c r="M1353" i="1" s="1"/>
  <c r="S1353" i="1" s="1"/>
  <c r="M1370" i="1" s="1"/>
  <c r="P3" i="5"/>
  <c r="O628" i="246"/>
  <c r="M626" i="1"/>
  <c r="O2358" i="246" l="1"/>
  <c r="M2425" i="1"/>
  <c r="Z2301" i="1"/>
  <c r="Y2301" i="1"/>
  <c r="U2234" i="246"/>
  <c r="W2234" i="246"/>
  <c r="D2234" i="246" s="1"/>
  <c r="R2221" i="246"/>
  <c r="R2220" i="246"/>
  <c r="R2225" i="246"/>
  <c r="R2224" i="246"/>
  <c r="V2301" i="1"/>
  <c r="V2267" i="1"/>
  <c r="R2291" i="1"/>
  <c r="R2288" i="1"/>
  <c r="R2287" i="1"/>
  <c r="R2292" i="1"/>
  <c r="R638" i="1"/>
  <c r="R637" i="1"/>
  <c r="R632" i="1"/>
  <c r="R631" i="1"/>
  <c r="R636" i="1"/>
  <c r="R639" i="246"/>
  <c r="R640" i="246"/>
  <c r="R634" i="246"/>
  <c r="R638" i="246"/>
  <c r="R633" i="246"/>
  <c r="O622" i="246"/>
  <c r="S622" i="246" s="1"/>
  <c r="D628" i="246"/>
  <c r="O434" i="246"/>
  <c r="O437" i="246" s="1"/>
  <c r="U551" i="246"/>
  <c r="O554" i="246"/>
  <c r="O436" i="1"/>
  <c r="O439" i="1" s="1"/>
  <c r="V550" i="1"/>
  <c r="Z626" i="1"/>
  <c r="M620" i="1"/>
  <c r="Y626" i="1"/>
  <c r="V1428" i="1"/>
  <c r="V1431" i="1"/>
  <c r="G512" i="4" s="1"/>
  <c r="S2676" i="246"/>
  <c r="O2679" i="246" s="1"/>
  <c r="U2676" i="246"/>
  <c r="O1353" i="246"/>
  <c r="O1356" i="246" s="1"/>
  <c r="M608" i="1"/>
  <c r="V608" i="1" s="1"/>
  <c r="O649" i="246"/>
  <c r="O610" i="246"/>
  <c r="U610" i="246" s="1"/>
  <c r="M1392" i="1"/>
  <c r="M1395" i="1" s="1"/>
  <c r="M647" i="1"/>
  <c r="V2744" i="1"/>
  <c r="S2744" i="1"/>
  <c r="M2747" i="1" s="1"/>
  <c r="L288" i="5"/>
  <c r="J403" i="5"/>
  <c r="J2" i="5" s="1"/>
  <c r="D2301" i="1" l="1"/>
  <c r="V2425" i="1"/>
  <c r="R2425" i="1"/>
  <c r="M2433" i="1"/>
  <c r="V647" i="1" s="1"/>
  <c r="R2358" i="246"/>
  <c r="U2358" i="246"/>
  <c r="O2366" i="246"/>
  <c r="U649" i="246" s="1"/>
  <c r="D626" i="1"/>
  <c r="V1395" i="1"/>
  <c r="V753" i="1"/>
  <c r="U1356" i="246"/>
  <c r="U755" i="246"/>
  <c r="G41" i="234"/>
  <c r="R647" i="1"/>
  <c r="H41" i="234"/>
  <c r="H32" i="234"/>
  <c r="M639" i="1"/>
  <c r="D51" i="234"/>
  <c r="R608" i="1"/>
  <c r="C51" i="234"/>
  <c r="M602" i="1"/>
  <c r="O443" i="1"/>
  <c r="E443" i="1" s="1"/>
  <c r="E439" i="1"/>
  <c r="V439" i="1"/>
  <c r="O1711" i="246"/>
  <c r="O1764" i="246"/>
  <c r="M1777" i="1"/>
  <c r="M1830" i="1"/>
  <c r="O1720" i="246"/>
  <c r="S1720" i="246" s="1"/>
  <c r="O1715" i="246" s="1"/>
  <c r="O595" i="246"/>
  <c r="M593" i="1"/>
  <c r="D42" i="234" s="1"/>
  <c r="M1786" i="1"/>
  <c r="S1786" i="1" s="1"/>
  <c r="M1781" i="1" s="1"/>
  <c r="L403" i="5"/>
  <c r="L2" i="5" s="1"/>
  <c r="Y553" i="1"/>
  <c r="Z553" i="1"/>
  <c r="V556" i="1"/>
  <c r="M704" i="1"/>
  <c r="V553" i="1"/>
  <c r="U554" i="246"/>
  <c r="O706" i="246"/>
  <c r="W554" i="246"/>
  <c r="D554" i="246" s="1"/>
  <c r="U557" i="246"/>
  <c r="Z2747" i="1"/>
  <c r="Y2747" i="1"/>
  <c r="V2747" i="1"/>
  <c r="R610" i="246"/>
  <c r="O604" i="246"/>
  <c r="S620" i="1"/>
  <c r="H22" i="234"/>
  <c r="O641" i="246"/>
  <c r="R649" i="246"/>
  <c r="W2679" i="246"/>
  <c r="C2679" i="246" s="1"/>
  <c r="U2679" i="246"/>
  <c r="E437" i="246"/>
  <c r="U437" i="246"/>
  <c r="O441" i="246"/>
  <c r="E441" i="246" s="1"/>
  <c r="R2433" i="1" l="1"/>
  <c r="Z2433" i="1"/>
  <c r="Z2423" i="1"/>
  <c r="Y2433" i="1"/>
  <c r="Y2423" i="1"/>
  <c r="W2366" i="246"/>
  <c r="R2366" i="246"/>
  <c r="D553" i="1"/>
  <c r="C2747" i="1"/>
  <c r="H42" i="234"/>
  <c r="H44" i="234"/>
  <c r="S604" i="246"/>
  <c r="R604" i="246"/>
  <c r="V593" i="1"/>
  <c r="R593" i="1"/>
  <c r="D46" i="234"/>
  <c r="C46" i="234"/>
  <c r="M587" i="1"/>
  <c r="D54" i="234"/>
  <c r="R641" i="246"/>
  <c r="S641" i="246"/>
  <c r="O655" i="246" s="1"/>
  <c r="U595" i="246"/>
  <c r="R595" i="246"/>
  <c r="O589" i="246"/>
  <c r="R1699" i="246"/>
  <c r="R1700" i="246"/>
  <c r="M708" i="1"/>
  <c r="Y704" i="1"/>
  <c r="Z704" i="1"/>
  <c r="R1701" i="246"/>
  <c r="U1715" i="246"/>
  <c r="O710" i="246"/>
  <c r="W706" i="246"/>
  <c r="D706" i="246" s="1"/>
  <c r="V1781" i="1"/>
  <c r="R1767" i="1"/>
  <c r="R1765" i="1"/>
  <c r="R1766" i="1"/>
  <c r="S602" i="1"/>
  <c r="R602" i="1"/>
  <c r="S639" i="1"/>
  <c r="M653" i="1" s="1"/>
  <c r="R639" i="1"/>
  <c r="H46" i="234" l="1"/>
  <c r="R1790" i="1"/>
  <c r="R1792" i="1" s="1"/>
  <c r="R1794" i="1"/>
  <c r="R1724" i="246"/>
  <c r="R1726" i="246" s="1"/>
  <c r="R1728" i="246"/>
  <c r="R1793" i="1"/>
  <c r="D2433" i="1"/>
  <c r="C2423" i="1"/>
  <c r="R2348" i="246"/>
  <c r="R2354" i="246"/>
  <c r="R2370" i="246"/>
  <c r="R2349" i="246"/>
  <c r="R2368" i="246"/>
  <c r="R2353" i="246"/>
  <c r="R2365" i="246"/>
  <c r="R2351" i="246"/>
  <c r="R2364" i="246"/>
  <c r="R2367" i="246"/>
  <c r="R2352" i="246"/>
  <c r="R2346" i="246"/>
  <c r="R2356" i="246"/>
  <c r="R2371" i="246"/>
  <c r="R2347" i="246"/>
  <c r="R2350" i="246"/>
  <c r="R2355" i="246"/>
  <c r="R2372" i="246"/>
  <c r="R2369" i="246"/>
  <c r="C2356" i="246"/>
  <c r="D2366" i="246"/>
  <c r="R2421" i="1"/>
  <c r="R2415" i="1"/>
  <c r="R2416" i="1"/>
  <c r="R2432" i="1"/>
  <c r="R2414" i="1"/>
  <c r="R2435" i="1"/>
  <c r="R2431" i="1"/>
  <c r="R2438" i="1"/>
  <c r="R2413" i="1"/>
  <c r="R2434" i="1"/>
  <c r="R2422" i="1"/>
  <c r="R2436" i="1"/>
  <c r="R2419" i="1"/>
  <c r="R2437" i="1"/>
  <c r="R2420" i="1"/>
  <c r="R2439" i="1"/>
  <c r="R2418" i="1"/>
  <c r="R2417" i="1"/>
  <c r="R2423" i="1"/>
  <c r="D704" i="1"/>
  <c r="D52" i="234"/>
  <c r="R611" i="1"/>
  <c r="R610" i="1"/>
  <c r="R609" i="1"/>
  <c r="R603" i="1"/>
  <c r="R604" i="1"/>
  <c r="R1757" i="1"/>
  <c r="R1832" i="1"/>
  <c r="R1834" i="1"/>
  <c r="R1759" i="1"/>
  <c r="R1763" i="1"/>
  <c r="R1830" i="1"/>
  <c r="R1761" i="1"/>
  <c r="R1755" i="1"/>
  <c r="R1835" i="1"/>
  <c r="R1833" i="1"/>
  <c r="R1828" i="1"/>
  <c r="R1762" i="1"/>
  <c r="R1758" i="1"/>
  <c r="R1836" i="1"/>
  <c r="R1764" i="1"/>
  <c r="R1831" i="1"/>
  <c r="R1756" i="1"/>
  <c r="R1829" i="1"/>
  <c r="R1760" i="1"/>
  <c r="U631" i="246"/>
  <c r="U628" i="246"/>
  <c r="Y701" i="1"/>
  <c r="Z701" i="1"/>
  <c r="V626" i="1"/>
  <c r="V629" i="1"/>
  <c r="R640" i="1"/>
  <c r="R650" i="1"/>
  <c r="R648" i="1"/>
  <c r="R649" i="1"/>
  <c r="R641" i="1"/>
  <c r="R1771" i="1"/>
  <c r="R1781" i="1"/>
  <c r="R1779" i="1"/>
  <c r="R1775" i="1"/>
  <c r="R1777" i="1"/>
  <c r="R1768" i="1"/>
  <c r="R1788" i="1"/>
  <c r="R1784" i="1"/>
  <c r="R1783" i="1"/>
  <c r="R1769" i="1"/>
  <c r="R1785" i="1"/>
  <c r="R1774" i="1"/>
  <c r="R1782" i="1"/>
  <c r="R1772" i="1"/>
  <c r="R1770" i="1"/>
  <c r="R1786" i="1"/>
  <c r="R1789" i="1"/>
  <c r="R1780" i="1"/>
  <c r="R1708" i="246"/>
  <c r="R1713" i="246"/>
  <c r="R1714" i="246"/>
  <c r="R1718" i="246"/>
  <c r="R1716" i="246"/>
  <c r="R1723" i="246"/>
  <c r="R1704" i="246"/>
  <c r="R1709" i="246"/>
  <c r="R1720" i="246"/>
  <c r="R1719" i="246"/>
  <c r="R1702" i="246"/>
  <c r="R1706" i="246"/>
  <c r="R1703" i="246"/>
  <c r="R1717" i="246"/>
  <c r="R1705" i="246"/>
  <c r="R1722" i="246"/>
  <c r="R1711" i="246"/>
  <c r="R1715" i="246"/>
  <c r="R587" i="1"/>
  <c r="S587" i="1"/>
  <c r="M614" i="1" s="1"/>
  <c r="R1692" i="246"/>
  <c r="R1762" i="246"/>
  <c r="R1767" i="246"/>
  <c r="R1766" i="246"/>
  <c r="R1690" i="246"/>
  <c r="R1697" i="246"/>
  <c r="R1693" i="246"/>
  <c r="R1764" i="246"/>
  <c r="R1698" i="246"/>
  <c r="R1695" i="246"/>
  <c r="R1763" i="246"/>
  <c r="R1689" i="246"/>
  <c r="R1694" i="246"/>
  <c r="R1768" i="246"/>
  <c r="R1770" i="246"/>
  <c r="R1769" i="246"/>
  <c r="R1765" i="246"/>
  <c r="R1696" i="246"/>
  <c r="R1691" i="246"/>
  <c r="R606" i="246"/>
  <c r="R612" i="246"/>
  <c r="R605" i="246"/>
  <c r="R613" i="246"/>
  <c r="R611" i="246"/>
  <c r="S589" i="246"/>
  <c r="O616" i="246" s="1"/>
  <c r="R589" i="246"/>
  <c r="R652" i="246"/>
  <c r="R642" i="246"/>
  <c r="R650" i="246"/>
  <c r="R643" i="246"/>
  <c r="R651" i="246"/>
  <c r="R1791" i="1" l="1"/>
  <c r="R1727" i="246"/>
  <c r="R1725" i="246"/>
  <c r="R1732" i="246"/>
  <c r="R1734" i="246"/>
  <c r="R1733" i="246"/>
  <c r="R1736" i="246"/>
  <c r="R1731" i="246"/>
  <c r="R1730" i="246"/>
  <c r="R1729" i="246"/>
  <c r="R1737" i="246"/>
  <c r="R1735" i="246"/>
  <c r="R1797" i="1"/>
  <c r="R1795" i="1"/>
  <c r="R1801" i="1"/>
  <c r="R1796" i="1"/>
  <c r="R1802" i="1"/>
  <c r="R1799" i="1"/>
  <c r="R1798" i="1"/>
  <c r="R1803" i="1"/>
  <c r="R1800" i="1"/>
  <c r="C701" i="1"/>
  <c r="C12" i="234"/>
  <c r="D56" i="234" s="1"/>
  <c r="O427" i="1"/>
  <c r="M427" i="1" s="1"/>
  <c r="V614" i="1"/>
  <c r="V2" i="1" s="1"/>
  <c r="R600" i="1"/>
  <c r="R589" i="1"/>
  <c r="R588" i="1"/>
  <c r="R601" i="1"/>
  <c r="R599" i="1"/>
  <c r="O425" i="246"/>
  <c r="U616" i="246"/>
  <c r="U2" i="246" s="1"/>
  <c r="R591" i="246"/>
  <c r="R603" i="246"/>
  <c r="R590" i="246"/>
  <c r="R602" i="246"/>
  <c r="R601" i="246"/>
</calcChain>
</file>

<file path=xl/sharedStrings.xml><?xml version="1.0" encoding="utf-8"?>
<sst xmlns="http://schemas.openxmlformats.org/spreadsheetml/2006/main" count="6290" uniqueCount="1737">
  <si>
    <t>6200/020</t>
  </si>
  <si>
    <t>MOTOR VEHICLES - ACC DEPR</t>
  </si>
  <si>
    <t>6200/021</t>
  </si>
  <si>
    <t>6200/022</t>
  </si>
  <si>
    <t>6200/023</t>
  </si>
  <si>
    <t>6250/000</t>
  </si>
  <si>
    <t>6250/001</t>
  </si>
  <si>
    <t>6250/002</t>
  </si>
  <si>
    <t>6250/003</t>
  </si>
  <si>
    <t>6250/020</t>
  </si>
  <si>
    <t>6250/021</t>
  </si>
  <si>
    <t>6250/022</t>
  </si>
  <si>
    <t>6250/023</t>
  </si>
  <si>
    <t>NON - CURRENT ASSETS</t>
  </si>
  <si>
    <t>CURRENT ASSETS</t>
  </si>
  <si>
    <t>Reserves</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</si>
  <si>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</si>
  <si>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</si>
  <si>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</si>
  <si>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</si>
  <si>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</si>
  <si>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</si>
  <si>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</si>
  <si>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</si>
  <si>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</si>
  <si>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</si>
  <si>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</si>
  <si>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</si>
  <si>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</si>
  <si>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</si>
  <si>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</si>
  <si>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</si>
  <si>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</si>
  <si>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</si>
  <si>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</si>
  <si>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</si>
  <si>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</si>
  <si>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</si>
  <si>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</si>
  <si>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</si>
  <si>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</si>
  <si>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</si>
  <si>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</si>
  <si>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</si>
  <si>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</si>
  <si>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</si>
  <si>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</si>
  <si>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</si>
  <si>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</si>
  <si>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</si>
  <si>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</si>
  <si>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</si>
  <si>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</si>
  <si>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</si>
  <si>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</si>
  <si>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</si>
  <si>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</si>
  <si>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</si>
  <si>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</si>
  <si>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</si>
  <si>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REVENUE RECOGNITION</t>
  </si>
  <si>
    <t>COMPARATIVE FIGURES</t>
  </si>
  <si>
    <t xml:space="preserve">   Cost</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</si>
  <si>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</si>
  <si>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</si>
  <si>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</si>
  <si>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</si>
  <si>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</si>
  <si>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</si>
  <si>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</si>
  <si>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</si>
  <si>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</si>
  <si>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</si>
  <si>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</si>
  <si>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</si>
  <si>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</si>
  <si>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</si>
  <si>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</si>
  <si>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</si>
  <si>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</si>
  <si>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</si>
  <si>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</si>
  <si>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</si>
  <si>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</si>
  <si>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</si>
  <si>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</si>
  <si>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</si>
  <si>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</si>
  <si>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</si>
  <si>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</si>
  <si>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</si>
  <si>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</si>
  <si>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</si>
  <si>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</si>
  <si>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</si>
  <si>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</si>
  <si>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</si>
  <si>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</si>
  <si>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</si>
  <si>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</si>
  <si>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</si>
  <si>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</si>
  <si>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</si>
  <si>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</si>
  <si>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</si>
  <si>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</si>
  <si>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</si>
  <si>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</si>
  <si>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</si>
  <si>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</si>
  <si>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</si>
  <si>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</si>
  <si>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</si>
  <si>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 xml:space="preserve">   Depreciation</t>
  </si>
  <si>
    <t>Changes in working capital</t>
  </si>
  <si>
    <t>DETAILED INCOME STATEMENT FOR THE YEAR ENDED</t>
  </si>
  <si>
    <t>BALANCE SHEET</t>
  </si>
  <si>
    <t>CASH FLOW STATEMENT</t>
  </si>
  <si>
    <t>NOTES TO THE FINANCIAL STATEMENTS</t>
  </si>
  <si>
    <t>STATEMENT OF TAXABLE INCOME</t>
  </si>
  <si>
    <t xml:space="preserve"> </t>
  </si>
  <si>
    <t xml:space="preserve">Page </t>
  </si>
  <si>
    <t>Nature of business</t>
  </si>
  <si>
    <t>Registered office</t>
  </si>
  <si>
    <t>Postal address</t>
  </si>
  <si>
    <t>Signature</t>
  </si>
  <si>
    <t>Date:</t>
  </si>
  <si>
    <t xml:space="preserve"> (Continued)</t>
  </si>
  <si>
    <t>FIXED ASSETS</t>
  </si>
  <si>
    <t>NOTES</t>
  </si>
  <si>
    <t>ASSETS</t>
  </si>
  <si>
    <t>TOTAL ASSETS</t>
  </si>
  <si>
    <t>EQUITY AND LIABILITIES</t>
  </si>
  <si>
    <t>CAPITAL AND RESERVES</t>
  </si>
  <si>
    <t>NON - CURRENT LIABILITIES</t>
  </si>
  <si>
    <t>CURRENT LIABILITIES</t>
  </si>
  <si>
    <t>TOTAL EQUITY AND LIABILITIES</t>
  </si>
  <si>
    <t>REVENUE</t>
  </si>
  <si>
    <t>COST OF SALES</t>
  </si>
  <si>
    <t>OTHER INCOME</t>
  </si>
  <si>
    <t>FINANCE COSTS</t>
  </si>
  <si>
    <t>TAXATION</t>
  </si>
  <si>
    <t>RESERVES</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</si>
  <si>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</si>
  <si>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</si>
  <si>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</si>
  <si>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</si>
  <si>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</si>
  <si>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</si>
  <si>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</si>
  <si>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</si>
  <si>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</si>
  <si>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</si>
  <si>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</si>
  <si>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</si>
  <si>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</si>
  <si>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</si>
  <si>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</si>
  <si>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</si>
  <si>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</si>
  <si>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</si>
  <si>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</si>
  <si>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</si>
  <si>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</si>
  <si>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</si>
  <si>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</si>
  <si>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</si>
  <si>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</si>
  <si>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</si>
  <si>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</si>
  <si>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</si>
  <si>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</si>
  <si>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</si>
  <si>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</si>
  <si>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</si>
  <si>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</si>
  <si>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</si>
  <si>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</si>
  <si>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</si>
  <si>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</si>
  <si>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</si>
  <si>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</si>
  <si>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</si>
  <si>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</si>
  <si>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</si>
  <si>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</si>
  <si>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</si>
  <si>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</si>
  <si>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</si>
  <si>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</si>
  <si>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</si>
  <si>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 xml:space="preserve">LESS: </t>
  </si>
  <si>
    <t>Assessed loss brought forward from previous year</t>
  </si>
  <si>
    <t>ANNEXURE TO STATEMENT OF TAXABLE INCOME FOR THE YEAR ENDED</t>
  </si>
  <si>
    <t>YEAR END</t>
  </si>
  <si>
    <t>THIS YEAR</t>
  </si>
  <si>
    <t>Less: Disposals</t>
  </si>
  <si>
    <t>FINANCIAL STATEMENTS AS AT</t>
  </si>
  <si>
    <t xml:space="preserve">FINANCIAL STATEMENTS FOR THE YEAR ENDED </t>
  </si>
  <si>
    <t>CONTENTS</t>
  </si>
  <si>
    <t>PAGE</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</si>
  <si>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</si>
  <si>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</si>
  <si>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</si>
  <si>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</si>
  <si>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</si>
  <si>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</si>
  <si>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</si>
  <si>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</si>
  <si>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</si>
  <si>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</si>
  <si>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</si>
  <si>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</si>
  <si>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</si>
  <si>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</si>
  <si>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</si>
  <si>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</si>
  <si>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</si>
  <si>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</si>
  <si>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</si>
  <si>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</si>
  <si>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</si>
  <si>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</si>
  <si>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</si>
  <si>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</si>
  <si>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</si>
  <si>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</si>
  <si>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</si>
  <si>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</si>
  <si>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</si>
  <si>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</si>
  <si>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</si>
  <si>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</si>
  <si>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</si>
  <si>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</si>
  <si>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</si>
  <si>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</si>
  <si>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</si>
  <si>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</si>
  <si>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</si>
  <si>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</si>
  <si>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</si>
  <si>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</si>
  <si>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</si>
  <si>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</si>
  <si>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</si>
  <si>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</si>
  <si>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</si>
  <si>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</si>
  <si>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</si>
  <si>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</si>
  <si>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</si>
  <si>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</si>
  <si>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</si>
  <si>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</si>
  <si>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</si>
  <si>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</si>
  <si>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</si>
  <si>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</si>
  <si>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</si>
  <si>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</si>
  <si>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</si>
  <si>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</si>
  <si>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</si>
  <si>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</si>
  <si>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CASH FLOW STATEMENT FOR THE YEAR ENDED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</si>
  <si>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</si>
  <si>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</si>
  <si>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</si>
  <si>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</si>
  <si>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</si>
  <si>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</si>
  <si>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</si>
  <si>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</si>
  <si>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</si>
  <si>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</si>
  <si>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</si>
  <si>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</si>
  <si>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</si>
  <si>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</si>
  <si>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</si>
  <si>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</si>
  <si>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</si>
  <si>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</si>
  <si>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</si>
  <si>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</si>
  <si>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</si>
  <si>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</si>
  <si>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</si>
  <si>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</si>
  <si>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</si>
  <si>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</si>
  <si>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</si>
  <si>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</si>
  <si>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</si>
  <si>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</si>
  <si>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</si>
  <si>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</si>
  <si>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</si>
  <si>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</si>
  <si>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</si>
  <si>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</si>
  <si>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</si>
  <si>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</si>
  <si>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</si>
  <si>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</si>
  <si>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</si>
  <si>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DEFERRED TAXATION</t>
  </si>
  <si>
    <t>FINANCIAL INSTRUMENTS</t>
  </si>
  <si>
    <t xml:space="preserve">Salaries </t>
  </si>
  <si>
    <t>Training</t>
  </si>
  <si>
    <t>Short term portion of long term loans</t>
  </si>
  <si>
    <t>Carried forward</t>
  </si>
  <si>
    <t>Brought forward</t>
  </si>
  <si>
    <t>Cleaning</t>
  </si>
  <si>
    <t>Donations</t>
  </si>
  <si>
    <t>Refreshments</t>
  </si>
  <si>
    <t>Security</t>
  </si>
  <si>
    <t>LESS:  FINANCE COSTS</t>
  </si>
  <si>
    <t>LESS: TAXATION</t>
  </si>
  <si>
    <t>STATEMENT OF TAXABLE INCOME FOR THE YEAR ENDED</t>
  </si>
  <si>
    <t xml:space="preserve">ADD: </t>
  </si>
  <si>
    <t>RENT PAID</t>
  </si>
  <si>
    <t>DEPRECIATION</t>
  </si>
  <si>
    <t>DIVIDENDS RECEIVED</t>
  </si>
  <si>
    <t>South African sources</t>
  </si>
  <si>
    <t>INTEREST RECEIVED</t>
  </si>
  <si>
    <t>TO CASH GENERATED FROM OPERATIONS</t>
  </si>
  <si>
    <t xml:space="preserve">ERROR </t>
  </si>
  <si>
    <t>Keep open</t>
  </si>
  <si>
    <t>Straight Line</t>
  </si>
  <si>
    <t>6350/020</t>
  </si>
  <si>
    <t xml:space="preserve">RECONCILIATION OF TAXATION PAID </t>
  </si>
  <si>
    <t>LESS: COST OF SALES</t>
  </si>
  <si>
    <t>Purchases</t>
  </si>
  <si>
    <t>Advertising</t>
  </si>
  <si>
    <t>Consumables</t>
  </si>
  <si>
    <t>Depreciation</t>
  </si>
  <si>
    <t>Insurance</t>
  </si>
  <si>
    <t>3000/180</t>
  </si>
  <si>
    <t>3000/190</t>
  </si>
  <si>
    <t>3000/200</t>
  </si>
  <si>
    <t>3000/210</t>
  </si>
  <si>
    <t>3000/220</t>
  </si>
  <si>
    <t>6100/020</t>
  </si>
  <si>
    <t>6100/021</t>
  </si>
  <si>
    <t>6100/022</t>
  </si>
  <si>
    <t>SHORT TERM LOANS</t>
  </si>
  <si>
    <t xml:space="preserve">TAXATION PROVIDED </t>
  </si>
  <si>
    <t>6100/023</t>
  </si>
  <si>
    <t>6150/000</t>
  </si>
  <si>
    <t>ANNEXURE TO STATEMENT OF TAXABLE INCOME</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</si>
  <si>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</si>
  <si>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</si>
  <si>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</si>
  <si>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</si>
  <si>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</si>
  <si>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</si>
  <si>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</si>
  <si>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</si>
  <si>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</si>
  <si>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</si>
  <si>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</si>
  <si>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</si>
  <si>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</si>
  <si>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</si>
  <si>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</si>
  <si>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</si>
  <si>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</si>
  <si>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</si>
  <si>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</si>
  <si>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</si>
  <si>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</si>
  <si>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</si>
  <si>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</si>
  <si>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</si>
  <si>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</si>
  <si>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</si>
  <si>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</si>
  <si>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</si>
  <si>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</si>
  <si>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</si>
  <si>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</si>
  <si>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</si>
  <si>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</si>
  <si>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</si>
  <si>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</si>
  <si>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</si>
  <si>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</si>
  <si>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</si>
  <si>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</si>
  <si>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</si>
  <si>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</si>
  <si>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</si>
  <si>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</si>
  <si>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</si>
  <si>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</si>
  <si>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</si>
  <si>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Appointed in year</t>
  </si>
  <si>
    <t>Ongoing</t>
  </si>
  <si>
    <t>Resign at annual meeting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</si>
  <si>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</si>
  <si>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</si>
  <si>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</si>
  <si>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</si>
  <si>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</si>
  <si>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</si>
  <si>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</si>
  <si>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</si>
  <si>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</si>
  <si>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</si>
  <si>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</si>
  <si>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</si>
  <si>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</si>
  <si>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</si>
  <si>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</si>
  <si>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</si>
  <si>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</si>
  <si>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</si>
  <si>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</si>
  <si>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</si>
  <si>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</si>
  <si>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</si>
  <si>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</si>
  <si>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</si>
  <si>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</si>
  <si>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</si>
  <si>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</si>
  <si>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</si>
  <si>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</si>
  <si>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</si>
  <si>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</si>
  <si>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</si>
  <si>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</si>
  <si>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</si>
  <si>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</si>
  <si>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</si>
  <si>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</si>
  <si>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</si>
  <si>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</si>
  <si>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</si>
  <si>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</si>
  <si>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</si>
  <si>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</si>
  <si>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</si>
  <si>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</si>
  <si>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 xml:space="preserve">  Depreciation</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</si>
  <si>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</si>
  <si>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</si>
  <si>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</si>
  <si>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</si>
  <si>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</si>
  <si>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</si>
  <si>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</si>
  <si>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</si>
  <si>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</si>
  <si>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</si>
  <si>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</si>
  <si>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</si>
  <si>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</si>
  <si>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</si>
  <si>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</si>
  <si>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</si>
  <si>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</si>
  <si>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</si>
  <si>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</si>
  <si>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</si>
  <si>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</si>
  <si>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</si>
  <si>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</si>
  <si>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</si>
  <si>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</si>
  <si>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</si>
  <si>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</si>
  <si>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</si>
  <si>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</si>
  <si>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</si>
  <si>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</si>
  <si>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</si>
  <si>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</si>
  <si>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</si>
  <si>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</si>
  <si>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</si>
  <si>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</si>
  <si>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</si>
  <si>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</si>
  <si>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</si>
  <si>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</si>
  <si>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</si>
  <si>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</si>
  <si>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</si>
  <si>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</si>
  <si>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</si>
  <si>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</si>
  <si>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</si>
  <si>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RECONCILIATION</t>
  </si>
  <si>
    <t>TRADE AND OTHER PAYABLES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</si>
  <si>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</si>
  <si>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</si>
  <si>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</si>
  <si>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</si>
  <si>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</si>
  <si>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</si>
  <si>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</si>
  <si>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</si>
  <si>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</si>
  <si>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</si>
  <si>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</si>
  <si>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</si>
  <si>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</si>
  <si>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</si>
  <si>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</si>
  <si>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</si>
  <si>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</si>
  <si>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</si>
  <si>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</si>
  <si>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</si>
  <si>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</si>
  <si>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</si>
  <si>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</si>
  <si>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</si>
  <si>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</si>
  <si>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</si>
  <si>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</si>
  <si>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</si>
  <si>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</si>
  <si>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</si>
  <si>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</si>
  <si>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</si>
  <si>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</si>
  <si>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</si>
  <si>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</si>
  <si>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</si>
  <si>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</si>
  <si>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</si>
  <si>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</si>
  <si>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</si>
  <si>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</si>
  <si>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</si>
  <si>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</si>
  <si>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</si>
  <si>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</si>
  <si>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</si>
  <si>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</si>
  <si>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</si>
  <si>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</si>
  <si>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</si>
  <si>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</si>
  <si>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</si>
  <si>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</si>
  <si>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</si>
  <si>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</si>
  <si>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</si>
  <si>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</si>
  <si>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</si>
  <si>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</si>
  <si>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</si>
  <si>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</si>
  <si>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</si>
  <si>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</si>
  <si>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NATURE OF BUSINESS</t>
  </si>
  <si>
    <t>FINANCIAL RESULTS</t>
  </si>
  <si>
    <t>Did the company have operating activities this year?</t>
  </si>
  <si>
    <t>Did the company have operating activities last year?</t>
  </si>
  <si>
    <t>Did the company sold all it's assets and will be deregistered</t>
  </si>
  <si>
    <t>Dividends declared</t>
  </si>
  <si>
    <t>If Yes:</t>
  </si>
  <si>
    <t>Were there a fundamental change in the nature or use of fixed assets?</t>
  </si>
  <si>
    <t>Share Capital</t>
  </si>
  <si>
    <t>STATEMENT OF CHANGES IN EQUITY</t>
  </si>
  <si>
    <t>DIVIDENDS</t>
  </si>
  <si>
    <t>SHARE CAPITAL</t>
  </si>
  <si>
    <t>FUNDAMENTAL FACTS OR CONTINGENCIES SINCE YEAR END</t>
  </si>
  <si>
    <t>STATEMENT OF CHANGES IN EQUITY FOR THE YEAR ENDED</t>
  </si>
  <si>
    <t>Issued shares at the beginning of the year</t>
  </si>
  <si>
    <t>Shares issued during the year</t>
  </si>
  <si>
    <t>Issued shares at the end of the year</t>
  </si>
  <si>
    <t>SHARE PREMIUM</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</si>
  <si>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</si>
  <si>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</si>
  <si>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</si>
  <si>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</si>
  <si>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</si>
  <si>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</si>
  <si>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</si>
  <si>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</si>
  <si>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</si>
  <si>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</si>
  <si>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</si>
  <si>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</si>
  <si>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</si>
  <si>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</si>
  <si>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</si>
  <si>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DETAILED INCOME STATEMENT</t>
  </si>
  <si>
    <t>ANNEXURES</t>
  </si>
  <si>
    <t>Portion</t>
  </si>
  <si>
    <t>Reg Date</t>
  </si>
  <si>
    <t>COMMERCIAL</t>
  </si>
  <si>
    <t>RESIDENTIAL AND VACANT STANDS</t>
  </si>
  <si>
    <t>SERVICE DEPOSITS</t>
  </si>
  <si>
    <t>Input</t>
  </si>
  <si>
    <t>Output</t>
  </si>
  <si>
    <t>Net</t>
  </si>
  <si>
    <t>4700/016</t>
  </si>
  <si>
    <t>PREPAYMENTS</t>
  </si>
  <si>
    <t>Legal expenses</t>
  </si>
  <si>
    <t>RENT RECEIVED</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</si>
  <si>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</si>
  <si>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</si>
  <si>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</si>
  <si>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</si>
  <si>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</si>
  <si>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</si>
  <si>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</si>
  <si>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</si>
  <si>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</si>
  <si>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</si>
  <si>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</si>
  <si>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</si>
  <si>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</si>
  <si>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</si>
  <si>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</si>
  <si>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</si>
  <si>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</si>
  <si>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</si>
  <si>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</si>
  <si>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</si>
  <si>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</si>
  <si>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COMPANY INFORMATION</t>
  </si>
  <si>
    <t>COMPANY NAME</t>
  </si>
  <si>
    <t>Licenses</t>
  </si>
  <si>
    <t>Taxable (80%)</t>
  </si>
  <si>
    <t>Levies - Skills development</t>
  </si>
  <si>
    <t>Loss on sale of fixed assets</t>
  </si>
  <si>
    <t>Profit on sale of fixed assets</t>
  </si>
  <si>
    <t>Capital gains profit</t>
  </si>
  <si>
    <t>Dividends received - South African sources</t>
  </si>
  <si>
    <t>Deferred tax asset</t>
  </si>
  <si>
    <t>Share capital</t>
  </si>
  <si>
    <t>Share premium</t>
  </si>
  <si>
    <t>Deferred tax liability</t>
  </si>
  <si>
    <t>Current tax liability</t>
  </si>
  <si>
    <t xml:space="preserve">   Bad debts recovered</t>
  </si>
  <si>
    <t xml:space="preserve">   Other income</t>
  </si>
  <si>
    <t xml:space="preserve">   Rent received</t>
  </si>
  <si>
    <t xml:space="preserve">   Finance costs</t>
  </si>
  <si>
    <t>Increase from issue of shares</t>
  </si>
  <si>
    <t>equipment</t>
  </si>
  <si>
    <t>vehicles</t>
  </si>
  <si>
    <t xml:space="preserve">  Less: Accumulated depr</t>
  </si>
  <si>
    <t xml:space="preserve">   Less: Accumulated depr</t>
  </si>
  <si>
    <t xml:space="preserve">     Raw materials</t>
  </si>
  <si>
    <t xml:space="preserve">     Work in progress</t>
  </si>
  <si>
    <t xml:space="preserve">     Finished goods</t>
  </si>
  <si>
    <t xml:space="preserve">     Trading stock</t>
  </si>
  <si>
    <t>Trade receivables</t>
  </si>
  <si>
    <t>Revenue Service - VAT recoverable</t>
  </si>
  <si>
    <t>Staff loans</t>
  </si>
  <si>
    <t>Revenue Service - VAT payable</t>
  </si>
  <si>
    <t>Dividends payable</t>
  </si>
  <si>
    <t>Provision for future expenses</t>
  </si>
  <si>
    <t>Provision for insurance</t>
  </si>
  <si>
    <t>Provision for salary bonus</t>
  </si>
  <si>
    <t xml:space="preserve">   Current period</t>
  </si>
  <si>
    <t xml:space="preserve">   Previous periods</t>
  </si>
  <si>
    <t>Deferred taxation</t>
  </si>
  <si>
    <t>Motor vehicles</t>
  </si>
  <si>
    <t>Electronic equipment</t>
  </si>
  <si>
    <t>Foreign dividends</t>
  </si>
  <si>
    <t>Total other income</t>
  </si>
  <si>
    <t xml:space="preserve">   Loss on sale of fixed assets</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</si>
  <si>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</si>
  <si>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</si>
  <si>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</si>
  <si>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</si>
  <si>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</si>
  <si>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</si>
  <si>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</si>
  <si>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</si>
  <si>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</si>
  <si>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</si>
  <si>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</si>
  <si>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</si>
  <si>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</si>
  <si>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</si>
  <si>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</si>
  <si>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</si>
  <si>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</si>
  <si>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</si>
  <si>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</si>
  <si>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</si>
  <si>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</si>
  <si>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</si>
  <si>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</si>
  <si>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</si>
  <si>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</si>
  <si>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</si>
  <si>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</si>
  <si>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</si>
  <si>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</si>
  <si>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</si>
  <si>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</si>
  <si>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</si>
  <si>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</si>
  <si>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</si>
  <si>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</si>
  <si>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</si>
  <si>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</si>
  <si>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</si>
  <si>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</si>
  <si>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</si>
  <si>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</si>
  <si>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</si>
  <si>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</si>
  <si>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</si>
  <si>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</si>
  <si>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</si>
  <si>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</si>
  <si>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</si>
  <si>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</si>
  <si>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</si>
  <si>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</si>
  <si>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</si>
  <si>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</si>
  <si>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</si>
  <si>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</si>
  <si>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</si>
  <si>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</si>
  <si>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</si>
  <si>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</si>
  <si>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</si>
  <si>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</si>
  <si>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</si>
  <si>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</si>
  <si>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</si>
  <si>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</si>
  <si>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</si>
  <si>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</si>
  <si>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</si>
  <si>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</si>
  <si>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</si>
  <si>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</si>
  <si>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</si>
  <si>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</si>
  <si>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</si>
  <si>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</si>
  <si>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</si>
  <si>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</si>
  <si>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</si>
  <si>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</si>
  <si>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NET PROFIT/(LOSS) BEFORE TAXATION - OTHER ACTIVITIES</t>
  </si>
  <si>
    <t>ANNEXURE B</t>
  </si>
  <si>
    <t>B</t>
  </si>
  <si>
    <t>Annexure A</t>
  </si>
  <si>
    <t>Annexure B</t>
  </si>
  <si>
    <t>Annexure C</t>
  </si>
  <si>
    <t>`</t>
  </si>
  <si>
    <t>GL</t>
  </si>
  <si>
    <t>C</t>
  </si>
  <si>
    <t>South Africa</t>
  </si>
  <si>
    <t>ANNEXURE C</t>
  </si>
  <si>
    <t>Income Tax</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</si>
  <si>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</si>
  <si>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</si>
  <si>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</si>
  <si>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</si>
  <si>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</si>
  <si>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</si>
  <si>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</si>
  <si>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</si>
  <si>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</si>
  <si>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</si>
  <si>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</si>
  <si>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</si>
  <si>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</si>
  <si>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</si>
  <si>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</si>
  <si>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</si>
  <si>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</si>
  <si>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</si>
  <si>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</si>
  <si>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</si>
  <si>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</si>
  <si>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</si>
  <si>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</si>
  <si>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</si>
  <si>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</si>
  <si>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</si>
  <si>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</si>
  <si>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</si>
  <si>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Compilation</t>
  </si>
  <si>
    <t>Review</t>
  </si>
  <si>
    <t>STATEMENT OF FINANCIAL POSITION</t>
  </si>
  <si>
    <t>STATEMENT OF COMPREHENSIVE INCOME</t>
  </si>
  <si>
    <t>STATEMENT OF COMPREHENSIVE INCOME FOR THE YEAR ENDED</t>
  </si>
  <si>
    <t>NON CURRENT RECEIVABLES</t>
  </si>
  <si>
    <t>VAT at 15%</t>
  </si>
  <si>
    <t>VAT INPUT ESTIMATE</t>
  </si>
  <si>
    <t>VAT or Transfer duty on purchase</t>
  </si>
  <si>
    <t>of property</t>
  </si>
  <si>
    <t>FIXED ASSET SUMMARY</t>
  </si>
  <si>
    <t>VAT Input</t>
  </si>
  <si>
    <t>VAT Output</t>
  </si>
  <si>
    <t>PLACE OF SIGNING</t>
  </si>
  <si>
    <t>Auditor/Accounting Officer</t>
  </si>
  <si>
    <t>R</t>
  </si>
  <si>
    <t>Please provide description relating to other</t>
  </si>
  <si>
    <t>Cash and cash equivalents</t>
  </si>
  <si>
    <t>Specify the gross income (sales / turnover plus other income in respect to the year of</t>
  </si>
  <si>
    <t>assessment?</t>
  </si>
  <si>
    <t>Specify the total assets (current and non-current) of the company in respect of the</t>
  </si>
  <si>
    <t>year of assessment?</t>
  </si>
  <si>
    <t>Balance with C12</t>
  </si>
  <si>
    <t>Profit code of your main source of income</t>
  </si>
  <si>
    <t>Gross Profit / Loss</t>
  </si>
  <si>
    <t>Sales (Turnover)</t>
  </si>
  <si>
    <t>Gross profit - subtotal</t>
  </si>
  <si>
    <t>Gross loss - subtotal</t>
  </si>
  <si>
    <t>Income Items (Only credit amounts)</t>
  </si>
  <si>
    <t>Bad and doubtful debts recovered</t>
  </si>
  <si>
    <t>Tainted Dividends (local and foreign) deemed to be income (s22B)</t>
  </si>
  <si>
    <t>Government grants (national, provincial and local)</t>
  </si>
  <si>
    <t>Income Statement (Continued)</t>
  </si>
  <si>
    <t>Income Items (Only credit amounts) (Continued)</t>
  </si>
  <si>
    <t>Interest received</t>
  </si>
  <si>
    <t>REIT distributions received</t>
  </si>
  <si>
    <t>Control Total</t>
  </si>
  <si>
    <t>Expense Items (Only debit amounts)</t>
  </si>
  <si>
    <t>Accounting loss on disposal of fixed assets / other assets</t>
  </si>
  <si>
    <t>Bad debts written off</t>
  </si>
  <si>
    <t>Donations (s18A)</t>
  </si>
  <si>
    <t>Donations - other</t>
  </si>
  <si>
    <t>Travelling expenses</t>
  </si>
  <si>
    <t>Net Profit / Loss</t>
  </si>
  <si>
    <t>Net Profit - Subtotal</t>
  </si>
  <si>
    <t>Net Loss - Subtotal</t>
  </si>
  <si>
    <t>Balances with C8</t>
  </si>
  <si>
    <t>3000/055</t>
  </si>
  <si>
    <t>Dividends</t>
  </si>
  <si>
    <t>INSTRUCTIONS SUMMARY</t>
  </si>
  <si>
    <t>*</t>
  </si>
  <si>
    <t>ALL ROWS TRUE</t>
  </si>
  <si>
    <t>Balances with FS</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</si>
  <si>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</si>
  <si>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</si>
  <si>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</si>
  <si>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</si>
  <si>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</si>
  <si>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</si>
  <si>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</si>
  <si>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</si>
  <si>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</si>
  <si>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</si>
  <si>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From</t>
  </si>
  <si>
    <t>To</t>
  </si>
  <si>
    <t>%</t>
  </si>
  <si>
    <t>SMALL BUSINESS CORPORATION TAX RATES</t>
  </si>
  <si>
    <t>Applicable table</t>
  </si>
  <si>
    <t>Other financial year ends</t>
  </si>
  <si>
    <t>ADVERTISING</t>
  </si>
  <si>
    <t>INSURANCE</t>
  </si>
  <si>
    <t>Reduction</t>
  </si>
  <si>
    <t>6100/030</t>
  </si>
  <si>
    <t>6100/031</t>
  </si>
  <si>
    <t>6100/032</t>
  </si>
  <si>
    <t>6100/033</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</si>
  <si>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</si>
  <si>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</si>
  <si>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</si>
  <si>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</si>
  <si>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</si>
  <si>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</si>
  <si>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</si>
  <si>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</si>
  <si>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</si>
  <si>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</si>
  <si>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</si>
  <si>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</si>
  <si>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</si>
  <si>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</si>
  <si>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</si>
  <si>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</si>
  <si>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</si>
  <si>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</si>
  <si>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</si>
  <si>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</si>
  <si>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</si>
  <si>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</si>
  <si>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</si>
  <si>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</si>
  <si>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APPROVAL OF ANNUAL FINANCIAL STATEMENTS</t>
  </si>
  <si>
    <t>Johannesburg</t>
  </si>
  <si>
    <t xml:space="preserve">   Dividends and dividend's tax paid</t>
  </si>
  <si>
    <t>Levies - Other</t>
  </si>
  <si>
    <t>UIF Employer</t>
  </si>
  <si>
    <t>Directors remuneration</t>
  </si>
  <si>
    <t>Salaries - admin</t>
  </si>
  <si>
    <t>Casual wages - admin</t>
  </si>
  <si>
    <t>A PRODUCT BY</t>
  </si>
  <si>
    <t>www.fseasy.co.za</t>
  </si>
  <si>
    <t>Audit</t>
  </si>
  <si>
    <t>DETAIL INSTRUCTIONS</t>
  </si>
  <si>
    <t>If you have more than one trading activity, complete sheets TrialBalanceA, TrialBalanceB and</t>
  </si>
  <si>
    <t>Optional</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</si>
  <si>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</si>
  <si>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</si>
  <si>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</si>
  <si>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</si>
  <si>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CAPITAL GAINS' TAX</t>
  </si>
  <si>
    <t>Cash receipts from clients and customers</t>
  </si>
  <si>
    <t>Were there any fundamental facts or contingencies since year end?</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</si>
  <si>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</si>
  <si>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</si>
  <si>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</si>
  <si>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</si>
  <si>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</si>
  <si>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</si>
  <si>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A Director</t>
  </si>
  <si>
    <t>Nationality</t>
  </si>
  <si>
    <t>RSA</t>
  </si>
  <si>
    <t>Were there any changes in the directors during the year?</t>
  </si>
  <si>
    <t>Total assets</t>
  </si>
  <si>
    <t>Bankers</t>
  </si>
  <si>
    <t>NATURE OF BUSINESS AND PRINCIPAL ACTIVITIES</t>
  </si>
  <si>
    <t>GOING CONCERN</t>
  </si>
  <si>
    <t>Currency</t>
  </si>
  <si>
    <t>South African Rand</t>
  </si>
  <si>
    <t>Reserves additions</t>
  </si>
  <si>
    <t>Reserves transfers</t>
  </si>
  <si>
    <t>OTHER NON - CURRENT RECEIVABLES</t>
  </si>
  <si>
    <t>TRADE AND OTHER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</si>
  <si>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</si>
  <si>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</si>
  <si>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</si>
  <si>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</si>
  <si>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</si>
  <si>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</si>
  <si>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</si>
  <si>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</si>
  <si>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</si>
  <si>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</si>
  <si>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</si>
  <si>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</si>
  <si>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</si>
  <si>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</si>
  <si>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Less: Portions payable within 1 year transferred to current liabilities</t>
  </si>
  <si>
    <t>South African normal taxation</t>
  </si>
  <si>
    <t>Applicable taxation on net income before taxation</t>
  </si>
  <si>
    <t xml:space="preserve">Movement in taxation liability </t>
  </si>
  <si>
    <t>Provision in the Statement of Comprehensive Income</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</si>
  <si>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</si>
  <si>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</si>
  <si>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</si>
  <si>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</si>
  <si>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</si>
  <si>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</si>
  <si>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</si>
  <si>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</si>
  <si>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</si>
  <si>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</si>
  <si>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</si>
  <si>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</si>
  <si>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</si>
  <si>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</si>
  <si>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</si>
  <si>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</si>
  <si>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</si>
  <si>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</si>
  <si>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</si>
  <si>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</si>
  <si>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</si>
  <si>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</si>
  <si>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 (Decrease) in interest bearing borrowings</t>
  </si>
  <si>
    <t>Increase / (Decrease) in interest free borrowings</t>
  </si>
  <si>
    <t>Assessed loss brought forward</t>
  </si>
  <si>
    <t>Capital gains tax loss brought forward</t>
  </si>
  <si>
    <t>Capital gains profit/loss (gross before 20% deduction)</t>
  </si>
  <si>
    <t>Does the Company qualify for Small Business Corporation's tax?</t>
  </si>
  <si>
    <t>Listed investments</t>
  </si>
  <si>
    <t>Assessed tax loss</t>
  </si>
  <si>
    <t>Calculated loss for tax purposes</t>
  </si>
  <si>
    <t>Previous year</t>
  </si>
  <si>
    <t>adjustment I/S</t>
  </si>
  <si>
    <t>Estimated tax loss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</si>
  <si>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</si>
  <si>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</si>
  <si>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</si>
  <si>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</si>
  <si>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</si>
  <si>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</si>
  <si>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</si>
  <si>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</si>
  <si>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</si>
  <si>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</si>
  <si>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</si>
  <si>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</si>
  <si>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</si>
  <si>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</si>
  <si>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</si>
  <si>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</si>
  <si>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</si>
  <si>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</si>
  <si>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</si>
  <si>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</si>
  <si>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</si>
  <si>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</si>
  <si>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</si>
  <si>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</si>
  <si>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</si>
  <si>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</si>
  <si>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</si>
  <si>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</si>
  <si>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</si>
  <si>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</si>
  <si>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</si>
  <si>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</si>
  <si>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</si>
  <si>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</si>
  <si>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</si>
  <si>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</si>
  <si>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</si>
  <si>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</si>
  <si>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</si>
  <si>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</si>
  <si>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</si>
  <si>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</si>
  <si>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</si>
  <si>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</si>
  <si>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</si>
  <si>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</si>
  <si>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</si>
  <si>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</si>
  <si>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</si>
  <si>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</si>
  <si>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</si>
  <si>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</si>
  <si>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</si>
  <si>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</si>
  <si>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</si>
  <si>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</si>
  <si>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PROPERTY, PLANT AND EQUIPMENT</t>
  </si>
  <si>
    <t>Assets with a unit cost of less than R 7 000 are recognized directly as an expense upon acquisition.</t>
  </si>
  <si>
    <t>(decrease)</t>
  </si>
  <si>
    <t>Taxation</t>
  </si>
  <si>
    <t>Increase/</t>
  </si>
  <si>
    <t>Initial measurement</t>
  </si>
  <si>
    <t>Motor</t>
  </si>
  <si>
    <t>Electronic</t>
  </si>
  <si>
    <t>….................................</t>
  </si>
  <si>
    <t>Business address</t>
  </si>
  <si>
    <t>Business adress</t>
  </si>
  <si>
    <t>TAX EXPENSE RECONCILIATION</t>
  </si>
  <si>
    <t>Total deferred tax liability / (asset)</t>
  </si>
  <si>
    <t>Effect of permanent differences (non-taxable income and</t>
  </si>
  <si>
    <t>non-deductable expenses)</t>
  </si>
  <si>
    <t>Total income and deferred taxation provision</t>
  </si>
  <si>
    <t>Effect of temporary differences adjustment for previous year</t>
  </si>
  <si>
    <t>Tax expense reconciliation</t>
  </si>
  <si>
    <t>Tax effect of permanent differences (non-taxable income and non-deductable expenses) previous year</t>
  </si>
  <si>
    <t>Adjustment</t>
  </si>
  <si>
    <t>Effect of Small Business Corporation reduced rates</t>
  </si>
  <si>
    <t>Effect of Small Business Corporation reduced rates - previous year</t>
  </si>
  <si>
    <t>Cash Flow Statement - previous year</t>
  </si>
  <si>
    <t>Related party balances and transactions</t>
  </si>
  <si>
    <t>RELATED PARTIES AND TRANSACTIONS</t>
  </si>
  <si>
    <t>Relationship</t>
  </si>
  <si>
    <t>Director</t>
  </si>
  <si>
    <t>Related party</t>
  </si>
  <si>
    <t>owed by / (to)</t>
  </si>
  <si>
    <t>Related party balances and interest (link to Trial Balance)</t>
  </si>
  <si>
    <t>Balance owed by / (to)</t>
  </si>
  <si>
    <t>from / (paid to)</t>
  </si>
  <si>
    <t>Interest (received from) /</t>
  </si>
  <si>
    <t>paid to</t>
  </si>
  <si>
    <t>Statements.</t>
  </si>
  <si>
    <t>Persons with significant influence</t>
  </si>
  <si>
    <t>The company entered into transactions with related parties in the ordinary course of business.</t>
  </si>
  <si>
    <t>C Director</t>
  </si>
  <si>
    <t>B Director resigned during the financial year and C Director was appointed.</t>
  </si>
  <si>
    <t>Government grants received</t>
  </si>
  <si>
    <t>Change the name of the file.</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</si>
  <si>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</si>
  <si>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</si>
  <si>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</si>
  <si>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</si>
  <si>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</si>
  <si>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</si>
  <si>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</si>
  <si>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</si>
  <si>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</si>
  <si>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</si>
  <si>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</si>
  <si>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</si>
  <si>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</si>
  <si>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</si>
  <si>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</si>
  <si>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</si>
  <si>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</si>
  <si>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</si>
  <si>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</si>
  <si>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</si>
  <si>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</si>
  <si>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</si>
  <si>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</si>
  <si>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</si>
  <si>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</si>
  <si>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</si>
  <si>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</si>
  <si>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</si>
  <si>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</si>
  <si>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</si>
  <si>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</si>
  <si>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</si>
  <si>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</si>
  <si>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</si>
  <si>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</si>
  <si>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</si>
  <si>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</si>
  <si>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</si>
  <si>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</si>
  <si>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</si>
  <si>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</si>
  <si>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</si>
  <si>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</si>
  <si>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</si>
  <si>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</si>
  <si>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</si>
  <si>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</si>
  <si>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</si>
  <si>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</si>
  <si>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</si>
  <si>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</si>
  <si>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</si>
  <si>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provided for on any of the trading activities.</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</si>
  <si>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</si>
  <si>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</si>
  <si>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</si>
  <si>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</si>
  <si>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</si>
  <si>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</si>
  <si>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</si>
  <si>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</si>
  <si>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</si>
  <si>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</si>
  <si>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</si>
  <si>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</si>
  <si>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If there is more than one director, always make the first two directors the signatories.</t>
  </si>
  <si>
    <t>BALANCES WITH FA REGISTER</t>
  </si>
  <si>
    <t>Financial Statements.</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</si>
  <si>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</si>
  <si>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</si>
  <si>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</si>
  <si>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</si>
  <si>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</si>
  <si>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rPr>
        <b/>
        <sz val="11"/>
        <rFont val="Calibri"/>
        <family val="2"/>
      </rPr>
      <t>Make a copy</t>
    </r>
    <r>
      <rPr>
        <sz val="11"/>
        <rFont val="Calibri"/>
        <family val="2"/>
      </rPr>
      <t xml:space="preserve"> - right click on the file and save to your client folder.</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</si>
  <si>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</si>
  <si>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</si>
  <si>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</si>
  <si>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</si>
  <si>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</si>
  <si>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</si>
  <si>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</si>
  <si>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</si>
  <si>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</si>
  <si>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</si>
  <si>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</si>
  <si>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</si>
  <si>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</si>
  <si>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</si>
  <si>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</si>
  <si>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</si>
  <si>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</si>
  <si>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</si>
  <si>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The page break must be one row before the heading or page number.</t>
  </si>
  <si>
    <t>The journals for provision of expenses and income (for example directors' remuneration), can be</t>
  </si>
  <si>
    <t>policies and other explanatory information.</t>
  </si>
  <si>
    <t>Standard Industry Code (SIC)</t>
  </si>
  <si>
    <t>ITR14 - MICRO BUSINESS</t>
  </si>
  <si>
    <t>Non-current assets - Property, plant and equipment</t>
  </si>
  <si>
    <t>Non-current assets - Vehicles</t>
  </si>
  <si>
    <t>Non-current assets - Long term loans</t>
  </si>
  <si>
    <t>(net after provisions)</t>
  </si>
  <si>
    <t>Current assets - Inventory and work in progress</t>
  </si>
  <si>
    <t xml:space="preserve">Current assets - Trade and other receivables </t>
  </si>
  <si>
    <t>Current assets - Cash and cash equivalents</t>
  </si>
  <si>
    <t>Other assets</t>
  </si>
  <si>
    <t>Total Equity (Capital and reserves)</t>
  </si>
  <si>
    <t>Non-current liabilities - Long term-loans &amp; provisions</t>
  </si>
  <si>
    <t>Current liabilities - Trade and other payables</t>
  </si>
  <si>
    <t>(including accruals)</t>
  </si>
  <si>
    <t>Other equity and liabilities</t>
  </si>
  <si>
    <t>Total equity and liabilites</t>
  </si>
  <si>
    <t>Less: Cost of sales</t>
  </si>
  <si>
    <t>Interest (excluding SARS interest (s7E))</t>
  </si>
  <si>
    <t>SARS interest (s7E)</t>
  </si>
  <si>
    <t>Accounting profit on disposal of fixed assets and / or</t>
  </si>
  <si>
    <t>other assets</t>
  </si>
  <si>
    <t>Dividends (local and foreign) deemed to be income</t>
  </si>
  <si>
    <t>(s8E and s8EA)</t>
  </si>
  <si>
    <t>Levy income</t>
  </si>
  <si>
    <t>Repairs, maintenance. insurance, alterations and improvements</t>
  </si>
  <si>
    <t>Other Expenses (excluding expenses listed above)</t>
  </si>
  <si>
    <t>Municipal charges (electricity, water, sewerage, refuse,</t>
  </si>
  <si>
    <t>rates &amp; taxes)</t>
  </si>
  <si>
    <t>Salaries and wages (incl. directors' / members'</t>
  </si>
  <si>
    <t>remuneration)</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</si>
  <si>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</si>
  <si>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</si>
  <si>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</si>
  <si>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</si>
  <si>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</si>
  <si>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</si>
  <si>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</si>
  <si>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YEAR</t>
  </si>
  <si>
    <t>PERIOD</t>
  </si>
  <si>
    <t>SARS</t>
  </si>
  <si>
    <t>previous year</t>
  </si>
  <si>
    <t>Days</t>
  </si>
  <si>
    <t>Sales increase %</t>
  </si>
  <si>
    <t>REVIEW</t>
  </si>
  <si>
    <t>Expense for full year</t>
  </si>
  <si>
    <t>Select if</t>
  </si>
  <si>
    <t>&lt; 365 days</t>
  </si>
  <si>
    <t>FS Markup %</t>
  </si>
  <si>
    <t>Tax liability increase</t>
  </si>
  <si>
    <t>Sales comparison</t>
  </si>
  <si>
    <t>Premises</t>
  </si>
  <si>
    <t>Gross profit %</t>
  </si>
  <si>
    <t>MAIN ACTIVITY</t>
  </si>
  <si>
    <t>The company distributed the share premium to the loan accounts of the shareholders.</t>
  </si>
  <si>
    <t>Increase/(Decrease) in share premium</t>
  </si>
  <si>
    <t>Figures can be copied from the Holding company's Trial Balance to the Master Consolidated Company</t>
  </si>
  <si>
    <t>Then make use of the Master Consolidated Company to consolidate the group.</t>
  </si>
  <si>
    <t>T/A SEAFRONT HOTEL, SEAFRONT RESTAURANT AND RENTAL PROPERTIES</t>
  </si>
  <si>
    <t>ABC Company (Pty) Ltd</t>
  </si>
  <si>
    <t>SEAFRONT HOTEL</t>
  </si>
  <si>
    <t>SEAFRONT RESTAURANT</t>
  </si>
  <si>
    <t>RENTAL PROPERTIES</t>
  </si>
  <si>
    <t>Seafront Hotel</t>
  </si>
  <si>
    <t>Seafront Restaurant</t>
  </si>
  <si>
    <t>Rental Properties</t>
  </si>
  <si>
    <t>2000/123456/07</t>
  </si>
  <si>
    <t>Hotel trade</t>
  </si>
  <si>
    <t>Restaurant industry</t>
  </si>
  <si>
    <t>Investment in immovable property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</si>
  <si>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</si>
  <si>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</si>
  <si>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</si>
  <si>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</si>
  <si>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</si>
  <si>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</si>
  <si>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</si>
  <si>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</si>
  <si>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</si>
  <si>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</si>
  <si>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</si>
  <si>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</si>
  <si>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</si>
  <si>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</si>
  <si>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</si>
  <si>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</si>
  <si>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</si>
  <si>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</si>
  <si>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</si>
  <si>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</si>
  <si>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r>
      <t xml:space="preserve">Fill in the </t>
    </r>
    <r>
      <rPr>
        <b/>
        <sz val="11"/>
        <rFont val="Calibri"/>
        <family val="2"/>
      </rPr>
      <t>Criteria</t>
    </r>
    <r>
      <rPr>
        <sz val="11"/>
        <rFont val="Calibri"/>
        <family val="2"/>
      </rPr>
      <t xml:space="preserve"> from row </t>
    </r>
    <r>
      <rPr>
        <sz val="11"/>
        <color rgb="FFFF0000"/>
        <rFont val="Calibri"/>
        <family val="2"/>
      </rPr>
      <t>1 to 78</t>
    </r>
  </si>
  <si>
    <r>
      <t xml:space="preserve">If you choose Cell </t>
    </r>
    <r>
      <rPr>
        <sz val="11"/>
        <color rgb="FFFF0000"/>
        <rFont val="Calibri"/>
        <family val="2"/>
      </rPr>
      <t>F108</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</si>
  <si>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t>ABC COMPANY (PROPRIETARY) LIMITED</t>
  </si>
  <si>
    <t>domicile</t>
  </si>
  <si>
    <t>Country of incorporation and</t>
  </si>
  <si>
    <t>and cash flows for the year then ended and the notes to the Financial Statements, which include a</t>
  </si>
  <si>
    <t xml:space="preserve">summary of significant accounting policies and other explanatory notes in accordance with </t>
  </si>
  <si>
    <t>enable the preparation of the Financial Statements that are free from material misstatements,</t>
  </si>
  <si>
    <t xml:space="preserve">whether due to fraud or error and for maintaining adequate accounting records and an effective </t>
  </si>
  <si>
    <t>concern in the foreseeable future.</t>
  </si>
  <si>
    <t>summary of significant accounting policies and other explanatory notes in accordance with</t>
  </si>
  <si>
    <t xml:space="preserve">enable the preparation of the Financial Statements that are free from material misstatements,  </t>
  </si>
  <si>
    <t>requirements of the Companies Act of South Africa.</t>
  </si>
  <si>
    <t>We have compiled the accompanying Financial Statements of</t>
  </si>
  <si>
    <t>comprehensive income, statement of changes in equity and statement of cash flows for the year</t>
  </si>
  <si>
    <t>then ended and notes to the Financial Statements, including a summary of significant accounting</t>
  </si>
  <si>
    <t>Services 4410 (revised), Compilation Engagements.</t>
  </si>
  <si>
    <t>We performed this compilation engagement in accordance with International Standard on Related</t>
  </si>
  <si>
    <t>We have applied our expertise in accounting and financial reporting to assist you in the</t>
  </si>
  <si>
    <t>them are your responsibility.</t>
  </si>
  <si>
    <t>Since a compilation engagement is not an assurance engagement, we are not required to verify the</t>
  </si>
  <si>
    <t xml:space="preserve">accuracy or completeness of the information you provided to us to compile these Financial </t>
  </si>
  <si>
    <t>Statements. Accordingly, we do not express an audit opinion or a review conclusion on whether</t>
  </si>
  <si>
    <t>These Financial Statements and the accuracy and completeness of the information used to compile</t>
  </si>
  <si>
    <t>financial year:</t>
  </si>
  <si>
    <t>The financial results of the company are set out in the attached Financial Statements and the</t>
  </si>
  <si>
    <t xml:space="preserve">The annual Financial Statements have been prepared on the basis of accounting policies </t>
  </si>
  <si>
    <t>applicable to a going concern. This basis presumes that funds will be available to finance future</t>
  </si>
  <si>
    <t>and commitments will occur in the ordinary course of business.</t>
  </si>
  <si>
    <t>operations and that the realisation of assets and settlement of liabilities, contingent obligations</t>
  </si>
  <si>
    <t>If there is an indication that there has been a significant change in the depreciation rates, useful</t>
  </si>
  <si>
    <t>the new expectations.</t>
  </si>
  <si>
    <t>life or residual value of an asset, the depreciation of that asset is revised accordingly to reflect</t>
  </si>
  <si>
    <t>except in the initial measurement of financial assets and liabilities that are measured at fair value</t>
  </si>
  <si>
    <t>of interest for a similar debt instrument.</t>
  </si>
  <si>
    <t>These include loans, trade receivables and trade payables. Debt instruments which are classified</t>
  </si>
  <si>
    <t>as current assets or current liabilities are measured at the undiscounted amount of the cash</t>
  </si>
  <si>
    <t>recoverable amount and an impairment loss is recognised immediately in profit and loss.</t>
  </si>
  <si>
    <t>The reports and statements set out below comprise the annual Financial Statements</t>
  </si>
  <si>
    <t>ADMINISTRATIVE EXPENSES</t>
  </si>
  <si>
    <t xml:space="preserve">Revenue </t>
  </si>
  <si>
    <t>Revenue</t>
  </si>
  <si>
    <t>LESS: ADMINISTRATIVE EXPENSES</t>
  </si>
  <si>
    <t>Sale of goods</t>
  </si>
  <si>
    <t>Rendering of services</t>
  </si>
  <si>
    <t>Commissions received</t>
  </si>
  <si>
    <t>1000/004</t>
  </si>
  <si>
    <t>1000/005</t>
  </si>
  <si>
    <t>1000/006</t>
  </si>
  <si>
    <t>1000/007</t>
  </si>
  <si>
    <t>Inventories</t>
  </si>
  <si>
    <t>INVENTORIES</t>
  </si>
  <si>
    <t xml:space="preserve">Inventories consists of the following: </t>
  </si>
  <si>
    <t>INVESTMENTS IN ASSOCIATES</t>
  </si>
  <si>
    <t>2800/003</t>
  </si>
  <si>
    <t>Div.'s received - Associates</t>
  </si>
  <si>
    <t>If you have Investments in associates - supply a description of the investment showing the name</t>
  </si>
  <si>
    <t>For example : 100 Shares in ABC Company (Pty) Ltd - 100% interest</t>
  </si>
  <si>
    <t>Associates</t>
  </si>
  <si>
    <t>7100/050</t>
  </si>
  <si>
    <t>7100/051</t>
  </si>
  <si>
    <t>7100/052</t>
  </si>
  <si>
    <t>7100/053</t>
  </si>
  <si>
    <t>100 Shares in ABC Company (Pty) Ltd - 100% interest</t>
  </si>
  <si>
    <t>REVALUATION RESERVE</t>
  </si>
  <si>
    <t>Revaluation reserve - balance b/fwd</t>
  </si>
  <si>
    <t>Revaluation reserve - additions</t>
  </si>
  <si>
    <t>Revaluation reserve - transfer</t>
  </si>
  <si>
    <t>First time adoption of IFRS for SMES</t>
  </si>
  <si>
    <t>If Yes, could it have a material effect on the comparative figures, had the</t>
  </si>
  <si>
    <t>standard for SMES been applied the previous period?</t>
  </si>
  <si>
    <t>If Yes, supply details of the effect</t>
  </si>
  <si>
    <t>These Financial Statements have been prepared in accordance with the International Financial</t>
  </si>
  <si>
    <t>Reporting Standard for Small- and Medium-sized Entities issued by the International Accounting</t>
  </si>
  <si>
    <t>The Financial Statements have been prepared on the historical cost basis, except where stated</t>
  </si>
  <si>
    <t>otherwise and incorporate the principal policies set out below.</t>
  </si>
  <si>
    <t xml:space="preserve">Standard for Small- and Medium-sized Entities and that no material difference could be </t>
  </si>
  <si>
    <t>identified with the comparative figures had the standard been applied the previous period,</t>
  </si>
  <si>
    <t>except for as disclosed in note 2.</t>
  </si>
  <si>
    <t>This is the first time that the Company adopts the International Financial Reporting</t>
  </si>
  <si>
    <t>CHANGES IN ACCOUNTING POLICIES</t>
  </si>
  <si>
    <t>information has accordingly remained unchanged since the prior reporting period.</t>
  </si>
  <si>
    <t>Revenue is measured at the fair value of the consideration received or receivable and represents</t>
  </si>
  <si>
    <t>the amounts receivable for goods and services provided in the normal course of business, net of</t>
  </si>
  <si>
    <t xml:space="preserve">Revenue is recognised when the goods are delivered and the significant risks and rewards of </t>
  </si>
  <si>
    <t>ownership have passed to the buyer.</t>
  </si>
  <si>
    <t xml:space="preserve">Revenue is recognised with reference to the stage of completion provided that the amount of </t>
  </si>
  <si>
    <t>revenue and its related costs can be measured reliably and it is probable that the economic</t>
  </si>
  <si>
    <t>benefits associated with the transaction will flow to the Company.</t>
  </si>
  <si>
    <t>Current tax assets and liabilities</t>
  </si>
  <si>
    <t xml:space="preserve">Current tax for current and prior periods is, to the extent unpaid, recognised as a liability. If the </t>
  </si>
  <si>
    <t xml:space="preserve">amount already paid in respect of current and prior periods exceeds the amount due for those </t>
  </si>
  <si>
    <t>periods, the excess is recognised as an asset, limited to the extent that it is probable that taxable</t>
  </si>
  <si>
    <t>profits will be available against which those deductible temporary differences can be utilised.</t>
  </si>
  <si>
    <t>Deferred Tax</t>
  </si>
  <si>
    <t>Deferred tax is recognised on differences between the carrying amounts of assets and liabilities</t>
  </si>
  <si>
    <t>recognised for all temporary differences that are expected to increase taxable profit in the</t>
  </si>
  <si>
    <t>future. Deferred tax assets are recognised for all temporary differences that are expected to</t>
  </si>
  <si>
    <t>reduce taxable profit in the future, and any unused tax losses or unused tax credits, limited to the</t>
  </si>
  <si>
    <t>extent that it is probable that taxable profits will be available against which those deductible</t>
  </si>
  <si>
    <t>temporary differences can be utilised.</t>
  </si>
  <si>
    <t>Tax Expense</t>
  </si>
  <si>
    <t>Income tax expense represents the sum of the tax currently payable and deferred tax movement for</t>
  </si>
  <si>
    <t>the current period. The tax currently payable is based on taxable profit for the year.</t>
  </si>
  <si>
    <t xml:space="preserve">Property, plant and equipment are initially measured at cost. Cost includes all costs directly </t>
  </si>
  <si>
    <t>attributable to bringing the assets to working condition for their intended use and subsequently to</t>
  </si>
  <si>
    <t xml:space="preserve">add or replace part of the assets, if it is probable that future economic benefits associated with </t>
  </si>
  <si>
    <t>Property, plant and equipment are tangible assets which the Company holds in the long term for</t>
  </si>
  <si>
    <t xml:space="preserve">its own use or for rental purposes and are not held for short term speculative reasons. </t>
  </si>
  <si>
    <t xml:space="preserve">the expenditure will flow to the Company. Property, plant and equipment are subsequently stated </t>
  </si>
  <si>
    <t>at cost less accumulated depreciation.</t>
  </si>
  <si>
    <t>Depreciation is calculated to write off the cost of property, plant and equipment over their useful</t>
  </si>
  <si>
    <t>economic life to its estimated residual value, when the asset is available for and taken into use,</t>
  </si>
  <si>
    <t>at the following rates per annum:</t>
  </si>
  <si>
    <t>Property</t>
  </si>
  <si>
    <t>Assets with a unit cost of less than R 7 000 are recognised directly as an expense upon acquisition.</t>
  </si>
  <si>
    <t>INVESTMENT PROPERTY</t>
  </si>
  <si>
    <t>Investment property whose fair value can be measured reliably is recorded initially at its cost and</t>
  </si>
  <si>
    <t xml:space="preserve">subsequently at its fair value, with the changes in the fair value going through profit and loss. </t>
  </si>
  <si>
    <t xml:space="preserve">If the fair value is not reliably measurable without undue cost or effort the property is then </t>
  </si>
  <si>
    <t>included in property, plant and equipment.</t>
  </si>
  <si>
    <t>Goodwill</t>
  </si>
  <si>
    <t>Amortisation period (max. 10 years)</t>
  </si>
  <si>
    <t>years</t>
  </si>
  <si>
    <t>An intangible asset is an identifiable non-monetary asset without physical substance.</t>
  </si>
  <si>
    <t>Prepaid lease agreements</t>
  </si>
  <si>
    <t xml:space="preserve">Prepaid lease agreements are initially recognised at cost and subsequently carried at cost less </t>
  </si>
  <si>
    <t>accumulated amortisation. Amortisation is calculated by applying the straight-line method over</t>
  </si>
  <si>
    <t>the period according to the terms of the agreement.</t>
  </si>
  <si>
    <t>Goodwill acquired in a business combination is recognised as an asset and is initially measured</t>
  </si>
  <si>
    <t>at its cost. Subsequent to initial recognition goodwill is carried at cost less accumulated</t>
  </si>
  <si>
    <t>amortisation and net of accumulated impairment losses.</t>
  </si>
  <si>
    <t>Amortisation is provided to write down the goodwill on a straight line basis, as follows:</t>
  </si>
  <si>
    <t>LEASES</t>
  </si>
  <si>
    <t xml:space="preserve">Leases are classified as finance leases when the terms of the lease transfer substantially all the </t>
  </si>
  <si>
    <t xml:space="preserve">risks and rewards of ownership of the leased asset to the lessee. All other leases are classified </t>
  </si>
  <si>
    <t>as operating leases.</t>
  </si>
  <si>
    <t>Finance Lease - Lessee</t>
  </si>
  <si>
    <t>Rights to assets held under finance leases are recognised as assets at the fair value of the leased</t>
  </si>
  <si>
    <t>Operating Lease – Lessee</t>
  </si>
  <si>
    <t>Rentals payable under operating leases are charged to profit or loss on a straight-line basis over</t>
  </si>
  <si>
    <t>the term of the relevant lease.</t>
  </si>
  <si>
    <t>Inventories are stated at the lower of cost and selling price less costs to complete and sell.</t>
  </si>
  <si>
    <t>Cost is calculated using the first-in, first-out (FIFO) method.</t>
  </si>
  <si>
    <t>INVESTMENT PROPERTY - COST</t>
  </si>
  <si>
    <t>Investment property - cost b/fwd</t>
  </si>
  <si>
    <t>Investment property - additions</t>
  </si>
  <si>
    <t>Investment property - cost of sales</t>
  </si>
  <si>
    <t>Investment property - transfer from property</t>
  </si>
  <si>
    <t>6100/004</t>
  </si>
  <si>
    <t>OPERATING EXPENSES</t>
  </si>
  <si>
    <t>LESS: OPERATING EXPENSES</t>
  </si>
  <si>
    <t xml:space="preserve">Financial instruments are initially measured at the transaction price (including transaction costs </t>
  </si>
  <si>
    <t>through profit and loss), unless the arrangement constitutes, in effect, a financing transaction in</t>
  </si>
  <si>
    <t>which case it is measured at the present value of the future payments discounted at a market rate</t>
  </si>
  <si>
    <t xml:space="preserve">expected to be received or paid, unless the arrangement effectively constitutes a financing </t>
  </si>
  <si>
    <t>transaction. At each reporting date, the carrying amounts of assets held in this category are</t>
  </si>
  <si>
    <t xml:space="preserve">reviewed to determine whether there is any objective evidence of impairment. If there is </t>
  </si>
  <si>
    <t>objective evidence, the recoverable amount is estimated and compared with the carrying amount.</t>
  </si>
  <si>
    <t>Financial instruments at amortised cost</t>
  </si>
  <si>
    <t>Where necessary comparative figures have been reclassified.</t>
  </si>
  <si>
    <t>No comparative figures are given as these are the first Financial Statements of the company.</t>
  </si>
  <si>
    <t>Standards Board.</t>
  </si>
  <si>
    <t>discounts, volume rebates and sales-related taxes (if registered for such taxes).</t>
  </si>
  <si>
    <t>in the Financial Statements and their corresponding tax bases. Deferred tax liabilities are</t>
  </si>
  <si>
    <t>If the estimated recoverable amount is lower, the carrying amount is reduced to its estimated</t>
  </si>
  <si>
    <t>asset at the inception of the lease.</t>
  </si>
  <si>
    <t>BASIS OF PREPARATION AND ACCOUNTING POLICIES</t>
  </si>
  <si>
    <t>PROPERTY</t>
  </si>
  <si>
    <t>CARRYING VALUE</t>
  </si>
  <si>
    <t xml:space="preserve">FINANCE LEASE ASSETS INCLUDED IN PLANT AND EQUIPMENT </t>
  </si>
  <si>
    <t>PREVIOUS YEAR</t>
  </si>
  <si>
    <t>Previous Year</t>
  </si>
  <si>
    <t>Audit, review or compilation report</t>
  </si>
  <si>
    <t>INDEPENDENT AUDITOR'S REPORT</t>
  </si>
  <si>
    <t>Report on the Audit of the Financial Statements</t>
  </si>
  <si>
    <t xml:space="preserve">Opinion </t>
  </si>
  <si>
    <t>Auditor</t>
  </si>
  <si>
    <t>summary of significant accounting policies and other explanatory information.</t>
  </si>
  <si>
    <t xml:space="preserve">statement of cash flows for the year then ended and notes to the Financial Statements, including a </t>
  </si>
  <si>
    <t xml:space="preserve">In our opinion, the Financial Statements present fairly, in all material respects, the financial </t>
  </si>
  <si>
    <t>South Africa.</t>
  </si>
  <si>
    <t>performance and cash flows for the year then ended in accordance with the International Financial</t>
  </si>
  <si>
    <t>Act of South Africa.</t>
  </si>
  <si>
    <t>Reporting Standard for Small- and Medium-sized Entities and the requirements of the Companies</t>
  </si>
  <si>
    <t>INDEPENDENT REVIEWER'S REPORT</t>
  </si>
  <si>
    <t>Independent Reviewer’s responsibility</t>
  </si>
  <si>
    <t>Conclusion</t>
  </si>
  <si>
    <t>including a summary of significant accounting policies and other explanatory information.</t>
  </si>
  <si>
    <t>and statement of cash flows for the year then ended and notes to the Financial Statements,</t>
  </si>
  <si>
    <t xml:space="preserve">Our responsibility is to express a conclusion on these Financial Statements. We conducted our </t>
  </si>
  <si>
    <t>review in accordance with the International Standard on Review Engagements (ISRE) 2400</t>
  </si>
  <si>
    <t xml:space="preserve">(revised), Engagements to Review Historical Financial Statements (ISRE 2400 (revised)). </t>
  </si>
  <si>
    <t>ISRE 2400 (revised) requires us to conclude whether anything has come to our attention that</t>
  </si>
  <si>
    <t>causes us to believe that the Financial Statements, taken as a whole, are not prepared in all</t>
  </si>
  <si>
    <t>This Standard also requires us to comply with relevant ethical requirements.</t>
  </si>
  <si>
    <t>material respects in accordance with the applicable financial reporting framework.</t>
  </si>
  <si>
    <t>A review of Financial Statements in accordance with ISRE 2400 (revised) is a limited assurance</t>
  </si>
  <si>
    <t xml:space="preserve">engagement. The Independent Reviewer performs procedures, primarily consisting of making </t>
  </si>
  <si>
    <t>procedures and evaluates the evidence obtained.</t>
  </si>
  <si>
    <t>inquiries of management and others within the entity, as appropriate and applying analytical</t>
  </si>
  <si>
    <t>The procedures performed in a review are substantially less than those performed in an audit</t>
  </si>
  <si>
    <t>express an audit opinion on these Financial Statements.</t>
  </si>
  <si>
    <t xml:space="preserve">conducted in accordance with International Standards on Auditing. Accordingly, we do not </t>
  </si>
  <si>
    <t>Financial Statements do not present fairly, in all material respects, the financial position of</t>
  </si>
  <si>
    <t>Based on our review, nothing has come to our attention that causes us to believe that these</t>
  </si>
  <si>
    <t xml:space="preserve">and cash flows for the year then ended in accordance with the International Financial Reporting </t>
  </si>
  <si>
    <t>Standard for Small- and Medium-sized entities and the requirements of the Companies Act of</t>
  </si>
  <si>
    <t>preparation and presentation of these Financial Statements in accordance with the International</t>
  </si>
  <si>
    <t>Financial Reporting Standard for Small- and Medium-sized Entities. We have complied with</t>
  </si>
  <si>
    <t>relevant ethical requirements, including principles of integrity, objectivity, professional</t>
  </si>
  <si>
    <t>competence and due care.</t>
  </si>
  <si>
    <t>these Financial Statements are prepared in accordance with the International Financial Reporting</t>
  </si>
  <si>
    <t>Standard for Small- and Medium-sized Entities.</t>
  </si>
  <si>
    <t xml:space="preserve">relevant ethical requirements, including principles of integrity, objectivity, professional </t>
  </si>
  <si>
    <t>the International Financial Reporting Standard for Small- and Medium-sized Entities and the</t>
  </si>
  <si>
    <t>The  Financial Statements have been prepared in accordance with the International Financial</t>
  </si>
  <si>
    <t>Authorised share capital</t>
  </si>
  <si>
    <t>Authorised</t>
  </si>
  <si>
    <t>Amortisation of prepaid lease agreement</t>
  </si>
  <si>
    <t xml:space="preserve">   Amortisation of prepaid lease agreement</t>
  </si>
  <si>
    <t>Impairment losses</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</si>
  <si>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</si>
  <si>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</si>
  <si>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</si>
  <si>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</si>
  <si>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</si>
  <si>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</si>
  <si>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</si>
  <si>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</si>
  <si>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</si>
  <si>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</si>
  <si>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</si>
  <si>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</si>
  <si>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</si>
  <si>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</si>
  <si>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</si>
  <si>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</si>
  <si>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</si>
  <si>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</si>
  <si>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</si>
  <si>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</si>
  <si>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</si>
  <si>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</si>
  <si>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</si>
  <si>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</si>
  <si>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</si>
  <si>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</si>
  <si>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</si>
  <si>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</si>
  <si>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</si>
  <si>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</si>
  <si>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</si>
  <si>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</si>
  <si>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</si>
  <si>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</si>
  <si>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</si>
  <si>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GOODWILL</t>
  </si>
  <si>
    <t>Carrying value at beginning of year</t>
  </si>
  <si>
    <t xml:space="preserve">  Less: Accumulated amortisation</t>
  </si>
  <si>
    <t xml:space="preserve">  Less: Accumulated impairment loss</t>
  </si>
  <si>
    <t>Annual amortisation</t>
  </si>
  <si>
    <t>Impairment loss</t>
  </si>
  <si>
    <t>Carrying value at the end of year</t>
  </si>
  <si>
    <t>PREPAID LEASE AGREEMENT</t>
  </si>
  <si>
    <t>Intangible assets</t>
  </si>
  <si>
    <t>Dividends received - Associates</t>
  </si>
  <si>
    <t>(Increase) / Decrease in intangibles</t>
  </si>
  <si>
    <t xml:space="preserve">   Amortisation of goodwill</t>
  </si>
  <si>
    <t xml:space="preserve">   Impairment losses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</si>
  <si>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</si>
  <si>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</si>
  <si>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</si>
  <si>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</si>
  <si>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</si>
  <si>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</si>
  <si>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</si>
  <si>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</si>
  <si>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</si>
  <si>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</si>
  <si>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</si>
  <si>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</si>
  <si>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</si>
  <si>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</si>
  <si>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 xml:space="preserve">   Recoupment of depreciation</t>
  </si>
  <si>
    <t>Investment property</t>
  </si>
  <si>
    <t>Less: Transfers to investment property</t>
  </si>
  <si>
    <t>When you have property that was depreciated and a transfer is made to Investment property,</t>
  </si>
  <si>
    <t>4750/020</t>
  </si>
  <si>
    <t>Reversal - revaluation of investment property</t>
  </si>
  <si>
    <t>6100/005</t>
  </si>
  <si>
    <t>6100/035</t>
  </si>
  <si>
    <t>Investment property - transfer to property</t>
  </si>
  <si>
    <t>When investment property is no longer revalued and a transfer is made to property and a reduction</t>
  </si>
  <si>
    <t>of the revaluation amount is made - use the line item "Reversal - revaluation of investment property"</t>
  </si>
  <si>
    <t xml:space="preserve">   Reversal - revaluation of investment property</t>
  </si>
  <si>
    <t>Transfers from investment property</t>
  </si>
  <si>
    <t>Investment property - valuation reduction on sales</t>
  </si>
  <si>
    <t>6100/044</t>
  </si>
  <si>
    <t>Investment property - valuation reduction on transfers</t>
  </si>
  <si>
    <t xml:space="preserve">  Revaluation </t>
  </si>
  <si>
    <t>Add: Transfers from property (cost)</t>
  </si>
  <si>
    <t>Add: Fair value changes (revaluation)</t>
  </si>
  <si>
    <t>Less: Transfers to property</t>
  </si>
  <si>
    <t>When you have Intangible assets, write down to R1 and not zero.</t>
  </si>
  <si>
    <t>in the Notes section to fit the info on one page. Also delete the Accounting policies not applicable.</t>
  </si>
  <si>
    <t>Transfer from inv. prop</t>
  </si>
  <si>
    <t>Transfer to inv. prop</t>
  </si>
  <si>
    <t>REVALUATION</t>
  </si>
  <si>
    <t>Transfer to property</t>
  </si>
  <si>
    <t>Transfer from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</si>
  <si>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</si>
  <si>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</si>
  <si>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</si>
  <si>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</si>
  <si>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</si>
  <si>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29 FEBRUARY 2024</t>
  </si>
  <si>
    <t>Financial years ending on any date between 1 April 2022 and 31 March 2023</t>
  </si>
  <si>
    <t>Financial years ending on any date between 1 April 2023 and 31 March 2024</t>
  </si>
  <si>
    <t>Income tax rate</t>
  </si>
  <si>
    <t xml:space="preserve">Tax at the applicable rate </t>
  </si>
  <si>
    <t>Tax at the applicable rate</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</si>
  <si>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</si>
  <si>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</si>
  <si>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</si>
  <si>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</si>
  <si>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</si>
  <si>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</si>
  <si>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</si>
  <si>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</si>
  <si>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</si>
  <si>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</si>
  <si>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</si>
  <si>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</si>
  <si>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Dividends amounting to R100,000 were declared on 29 February 2024 (2023 - R80,000).</t>
  </si>
  <si>
    <t>(Note 8.3 on FS sheet) - permanent difference at the applicable tax rate</t>
  </si>
  <si>
    <t>Rounding difference current year (Note 8.3 on FS sheet - column V), if any</t>
  </si>
  <si>
    <t>Tax rate change</t>
  </si>
  <si>
    <t>Income tax rate change</t>
  </si>
  <si>
    <t xml:space="preserve">   Adjustment for income tax rate change</t>
  </si>
  <si>
    <t>Effect of income tax rate change</t>
  </si>
  <si>
    <t>Property, plant and equipment (at carrying value)</t>
  </si>
  <si>
    <t>Property, plant and equipment (at cost)</t>
  </si>
  <si>
    <t>OBLIGATIONS UNDER FINANCE LEASES</t>
  </si>
  <si>
    <t>The future minimum lease payments are as follows:</t>
  </si>
  <si>
    <t>Within one year</t>
  </si>
  <si>
    <t>Later than one year but within five years</t>
  </si>
  <si>
    <t>Later than five years</t>
  </si>
  <si>
    <t>Finance leases (if applicable)</t>
  </si>
  <si>
    <t>Future minimum lease payments</t>
  </si>
  <si>
    <t>One to five years</t>
  </si>
  <si>
    <t>Operating leases (if applicable)</t>
  </si>
  <si>
    <t>COMMITMENTS UNDER OPERATING LEASES</t>
  </si>
  <si>
    <t>leases that fall due as follows:</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</si>
  <si>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</si>
  <si>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</si>
  <si>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</si>
  <si>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</si>
  <si>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</si>
  <si>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</si>
  <si>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</si>
  <si>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</si>
  <si>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</si>
  <si>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</si>
  <si>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</si>
  <si>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</si>
  <si>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</si>
  <si>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Investment property</t>
  </si>
  <si>
    <t>Per Fixed Asset register -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</si>
  <si>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</si>
  <si>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</si>
  <si>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</si>
  <si>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</si>
  <si>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</si>
  <si>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</si>
  <si>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</si>
  <si>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</si>
  <si>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</si>
  <si>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</si>
  <si>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</si>
  <si>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</si>
  <si>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</si>
  <si>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</si>
  <si>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</si>
  <si>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</si>
  <si>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</si>
  <si>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</si>
  <si>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</si>
  <si>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</si>
  <si>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</si>
  <si>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</si>
  <si>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</si>
  <si>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At year-end, the Company has outstanding commitments under non-cancellable operating</t>
  </si>
  <si>
    <t>Delete if not applicable</t>
  </si>
  <si>
    <t>Shareholders (optional)</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</si>
  <si>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</si>
  <si>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</si>
  <si>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</si>
  <si>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</si>
  <si>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</si>
  <si>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</si>
  <si>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Statements and is a very good control measure to ensure your tax and deferred tax calculations are correct.</t>
  </si>
  <si>
    <t>Increase / (Decrease) in short term loans</t>
  </si>
  <si>
    <t>(Commitments under non-cancellable contracts)</t>
  </si>
  <si>
    <t>Index reference, the Cash Flow Statement, the note to the Cash Flow Statement - Reconciliation of</t>
  </si>
  <si>
    <r>
      <t xml:space="preserve">profit before taxation to cash generated from operations and the second part of </t>
    </r>
    <r>
      <rPr>
        <sz val="11"/>
        <color rgb="FFFF0000"/>
        <rFont val="Calibri"/>
        <family val="2"/>
      </rPr>
      <t>Note 19</t>
    </r>
    <r>
      <rPr>
        <sz val="11"/>
        <rFont val="Calibri"/>
        <family val="2"/>
      </rPr>
      <t>.</t>
    </r>
  </si>
  <si>
    <t>you have provided. These Financial Statements comprise the statement of financial position of</t>
  </si>
  <si>
    <t>The 2024 file can be used for previous years' Financial Statements due to the option to choose on the</t>
  </si>
  <si>
    <t>Criteria sheet the current year and previous year's tax rate.</t>
  </si>
  <si>
    <r>
      <t>Fill in (or copy from your own previous year Asset register) the details in columns</t>
    </r>
    <r>
      <rPr>
        <sz val="11"/>
        <color rgb="FFFF0000"/>
        <rFont val="Calibri"/>
        <family val="2"/>
      </rPr>
      <t xml:space="preserve"> 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</si>
  <si>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</si>
  <si>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</si>
  <si>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</si>
  <si>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</si>
  <si>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and deferred tax journals</t>
    </r>
    <r>
      <rPr>
        <sz val="11"/>
        <rFont val="Calibri"/>
        <family val="2"/>
      </rPr>
      <t xml:space="preserve"> for automatic update when further</t>
    </r>
  </si>
  <si>
    <t>adjustment are made to the Trial Balances, Income tax and deferred tax calculations.</t>
  </si>
  <si>
    <r>
      <t xml:space="preserve">Highlight columns </t>
    </r>
    <r>
      <rPr>
        <sz val="11"/>
        <color rgb="FFFF0000"/>
        <rFont val="Calibri"/>
        <family val="2"/>
      </rPr>
      <t>AA and AB</t>
    </r>
    <r>
      <rPr>
        <sz val="11"/>
        <rFont val="Calibri"/>
        <family val="2"/>
      </rPr>
      <t xml:space="preserve"> and copy, paste special, values for each section to column</t>
    </r>
  </si>
  <si>
    <t>of the company, the total shares and the percentage interest.</t>
  </si>
  <si>
    <t>the Investment account.</t>
  </si>
  <si>
    <r>
      <t xml:space="preserve">The </t>
    </r>
    <r>
      <rPr>
        <b/>
        <sz val="11"/>
        <rFont val="Calibri"/>
        <family val="2"/>
      </rPr>
      <t>"Effect of permanent differences"</t>
    </r>
    <r>
      <rPr>
        <sz val="11"/>
        <rFont val="Calibri"/>
        <family val="2"/>
      </rPr>
      <t xml:space="preserve"> line on the Tax expense reconciliation note to the Financial</t>
    </r>
  </si>
  <si>
    <t>Difference between carrying values and tax bases of property,</t>
  </si>
  <si>
    <t>plant and equipment</t>
  </si>
  <si>
    <t>Temporary differences on property, plant and equipment</t>
  </si>
  <si>
    <t>The following are the deferred tax liabilities (assets) recognised by the Company:</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</si>
  <si>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</si>
  <si>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</si>
  <si>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</si>
  <si>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</si>
  <si>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</si>
  <si>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</si>
  <si>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</si>
  <si>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</si>
  <si>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</si>
  <si>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</si>
  <si>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</si>
  <si>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</si>
  <si>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</si>
  <si>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</si>
  <si>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</si>
  <si>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</si>
  <si>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(If sock figure is not provided by client)</t>
  </si>
  <si>
    <t>Amount</t>
  </si>
  <si>
    <t>increase/(decrease)</t>
  </si>
  <si>
    <r>
      <t>Complete the Tax</t>
    </r>
    <r>
      <rPr>
        <b/>
        <sz val="11"/>
        <rFont val="Calibri"/>
        <family val="2"/>
      </rPr>
      <t xml:space="preserve"> Asset Register </t>
    </r>
    <r>
      <rPr>
        <sz val="11"/>
        <rFont val="Calibri"/>
        <family val="2"/>
      </rPr>
      <t>if different than the Fixed Asset Register.</t>
    </r>
  </si>
  <si>
    <t>Go to the Deferred tax sheet and review the calculation.</t>
  </si>
  <si>
    <t>Client's markup %</t>
  </si>
  <si>
    <t>Estimated stock figure in Financial Statements</t>
  </si>
  <si>
    <t>Do this for operating and administration expenses separately.</t>
  </si>
  <si>
    <t>When you have Property, the Tax Asset register needs to be completed for the Property section, due to</t>
  </si>
  <si>
    <t>Statement is provided with a formula with reference to the tax calculation on the Financial</t>
  </si>
  <si>
    <r>
      <t xml:space="preserve">If you make use of the </t>
    </r>
    <r>
      <rPr>
        <b/>
        <sz val="11"/>
        <rFont val="Calibri"/>
        <family val="2"/>
      </rPr>
      <t>Consolidated Financial Statements</t>
    </r>
    <r>
      <rPr>
        <sz val="11"/>
        <rFont val="Calibri"/>
        <family val="2"/>
      </rPr>
      <t>, complete the Master Company file for each</t>
    </r>
  </si>
  <si>
    <t>and then to consolidate the subsidiaries using the other trading activities Trial Balances.</t>
  </si>
  <si>
    <r>
      <t xml:space="preserve">Fill in your </t>
    </r>
    <r>
      <rPr>
        <b/>
        <sz val="11"/>
        <rFont val="Calibri"/>
        <family val="2"/>
      </rPr>
      <t>practice details</t>
    </r>
    <r>
      <rPr>
        <sz val="11"/>
        <rFont val="Calibri"/>
        <family val="2"/>
      </rPr>
      <t xml:space="preserve"> on the FS sheet - cell </t>
    </r>
    <r>
      <rPr>
        <sz val="11"/>
        <color rgb="FFFF0000"/>
        <rFont val="Calibri"/>
        <family val="2"/>
      </rPr>
      <t>D158.</t>
    </r>
  </si>
  <si>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</si>
  <si>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</si>
  <si>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rPr>
        <sz val="11"/>
        <color rgb="FFFF0000"/>
        <rFont val="Calibri"/>
        <family val="2"/>
      </rPr>
      <t>L102</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</si>
  <si>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K358</t>
    </r>
    <r>
      <rPr>
        <sz val="11"/>
        <rFont val="Calibri"/>
        <family val="2"/>
      </rPr>
      <t>,</t>
    </r>
  </si>
  <si>
    <r>
      <t xml:space="preserve">Make sure that the Fixed Asset register balances with the Trial Balance - row </t>
    </r>
    <r>
      <rPr>
        <sz val="11"/>
        <color rgb="FFFF0000"/>
        <rFont val="Calibri"/>
        <family val="2"/>
      </rPr>
      <t>19</t>
    </r>
    <r>
      <rPr>
        <sz val="11"/>
        <rFont val="Calibri"/>
        <family val="2"/>
      </rPr>
      <t>.</t>
    </r>
  </si>
  <si>
    <r>
      <t xml:space="preserve">If you want the </t>
    </r>
    <r>
      <rPr>
        <b/>
        <sz val="11"/>
        <rFont val="Calibri"/>
        <family val="2"/>
      </rPr>
      <t>notes</t>
    </r>
    <r>
      <rPr>
        <sz val="11"/>
        <rFont val="Calibri"/>
        <family val="2"/>
      </rPr>
      <t xml:space="preserve"> (cell </t>
    </r>
    <r>
      <rPr>
        <sz val="11"/>
        <color rgb="FFFF0000"/>
        <rFont val="Calibri"/>
        <family val="2"/>
      </rPr>
      <t>G256</t>
    </r>
    <r>
      <rPr>
        <sz val="11"/>
        <rFont val="Calibri"/>
        <family val="2"/>
      </rPr>
      <t xml:space="preserve"> and </t>
    </r>
    <r>
      <rPr>
        <sz val="11"/>
        <color rgb="FFFF0000"/>
        <rFont val="Calibri"/>
        <family val="2"/>
      </rPr>
      <t>F307</t>
    </r>
    <r>
      <rPr>
        <sz val="11"/>
        <rFont val="Calibri"/>
        <family val="2"/>
      </rPr>
      <t xml:space="preserve"> on the Criteria sheet) to show on the Financial</t>
    </r>
  </si>
  <si>
    <r>
      <t xml:space="preserve">The same can be done with the Cash Flow Statement - highlight cells </t>
    </r>
    <r>
      <rPr>
        <sz val="11"/>
        <color rgb="FFFF0000"/>
        <rFont val="Calibri"/>
        <family val="2"/>
      </rPr>
      <t>M731</t>
    </r>
    <r>
      <rPr>
        <sz val="11"/>
        <rFont val="Calibri"/>
        <family val="2"/>
      </rPr>
      <t xml:space="preserve"> to </t>
    </r>
    <r>
      <rPr>
        <sz val="11"/>
        <color rgb="FFFF0000"/>
        <rFont val="Calibri"/>
        <family val="2"/>
      </rPr>
      <t>M784</t>
    </r>
    <r>
      <rPr>
        <sz val="11"/>
        <rFont val="Calibri"/>
        <family val="2"/>
      </rPr>
      <t xml:space="preserve"> on the</t>
    </r>
  </si>
  <si>
    <r>
      <t xml:space="preserve">FS sheet and copy, paste special, values to the Criteria sheet cell </t>
    </r>
    <r>
      <rPr>
        <sz val="11"/>
        <color rgb="FFFF0000"/>
        <rFont val="Calibri"/>
        <family val="2"/>
      </rPr>
      <t>H409</t>
    </r>
    <r>
      <rPr>
        <sz val="11"/>
        <rFont val="Calibri"/>
        <family val="2"/>
      </rPr>
      <t>.</t>
    </r>
  </si>
  <si>
    <t>Subsidiary and for the holding company for bank and tax purposes.</t>
  </si>
  <si>
    <t>Any income received, for example: dividends, are transacted to the loan account of the entity and not</t>
  </si>
  <si>
    <r>
      <t xml:space="preserve">use the "Recoupment of depreciation" line item on the Trial Balance - </t>
    </r>
    <r>
      <rPr>
        <sz val="11"/>
        <color rgb="FFFF0000"/>
        <rFont val="Calibri"/>
        <family val="2"/>
      </rPr>
      <t>C33 and C238.</t>
    </r>
  </si>
  <si>
    <t>C155 and C249.</t>
  </si>
  <si>
    <t>If it does not compare, the problem can be with the Fix asset or Tax asset registers.</t>
  </si>
  <si>
    <t>If you do not find the problem, we will be happy to assist you.</t>
  </si>
  <si>
    <t>The company's main objective is trading in the restaurant industry.</t>
  </si>
  <si>
    <t>Bank overdrafts are now classified as Cash and cash equivalents and not shown under short term loans</t>
  </si>
  <si>
    <t>on the Cash Flow Statement. When you copy the cash flow from the previous period to the current</t>
  </si>
  <si>
    <t>year Criteria, you'll have to adjust the overdrafts included in Increase/(decrease) of short term loans.</t>
  </si>
  <si>
    <t>Share premium at the beginning of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</si>
</sst>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 numFmtId="174" formatCode="_(* #,##0.0000_);_(* \(#,##0.0000\);_(* &quot;-&quot;??_);_(@_)"/>
  </numFmts>
  <fonts count="94"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b/>
      <u/>
      <sz val="11"/>
      <name val="Calibri"/>
      <family val="2"/>
    </font>
    <font>
      <sz val="11"/>
      <name val="Calibri"/>
      <family val="2"/>
    </font>
    <font>
      <b/>
      <sz val="11"/>
      <name val="Calibri"/>
      <family val="2"/>
    </font>
    <font>
      <sz val="10"/>
      <color indexed="10"/>
      <name val="Times New Roman"/>
      <family val="1"/>
    </font>
    <font>
      <b/>
      <u/>
      <sz val="14"/>
      <name val="Times New Roman"/>
      <family val="1"/>
    </font>
    <font>
      <sz val="12"/>
      <color theme="3"/>
      <name val="Times New Roman"/>
      <family val="1"/>
    </font>
    <font>
      <sz val="10"/>
      <color theme="3"/>
      <name val="Times New Roman"/>
      <family val="1"/>
    </font>
    <font>
      <sz val="12"/>
      <name val="Calibri"/>
      <family val="2"/>
    </font>
    <font>
      <sz val="24"/>
      <name val="Bodoni MT"/>
      <family val="1"/>
    </font>
    <font>
      <sz val="12"/>
      <color rgb="FFFF0000"/>
      <name val="Times New Roman"/>
      <family val="1"/>
    </font>
    <font>
      <u/>
      <sz val="12"/>
      <color indexed="12"/>
      <name val="Calibri"/>
      <family val="2"/>
    </font>
    <font>
      <sz val="21"/>
      <name val="Times New Roman"/>
      <family val="1"/>
    </font>
    <font>
      <b/>
      <sz val="21"/>
      <name val="Times New Roman"/>
      <family val="1"/>
    </font>
    <font>
      <b/>
      <sz val="10"/>
      <color rgb="FFFF0000"/>
      <name val="Times New Roman"/>
      <family val="1"/>
    </font>
    <font>
      <b/>
      <u/>
      <sz val="11"/>
      <name val="Tempus Sans ITC"/>
      <family val="5"/>
    </font>
    <font>
      <sz val="11"/>
      <color rgb="FFFF0000"/>
      <name val="Calibri"/>
      <family val="2"/>
    </font>
    <font>
      <u/>
      <sz val="12"/>
      <color indexed="12"/>
      <name val="Times New Roman"/>
      <family val="1"/>
    </font>
    <font>
      <sz val="12"/>
      <color rgb="FFC00000"/>
      <name val="Times New Roman"/>
      <family val="1"/>
    </font>
    <font>
      <u/>
      <sz val="12"/>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u/>
      <sz val="25"/>
      <name val="Times New Roman"/>
      <family val="1"/>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b/>
      <sz val="24"/>
      <name val="Times New Roman"/>
      <family val="1"/>
    </font>
    <font>
      <sz val="20"/>
      <name val="Times New Roman"/>
      <family val="1"/>
    </font>
    <font>
      <b/>
      <sz val="20"/>
      <name val="Times New Roman"/>
      <family val="1"/>
    </font>
    <font>
      <sz val="23"/>
      <name val="Times New Roman"/>
      <family val="1"/>
    </font>
    <font>
      <sz val="27"/>
      <name val="Times New Roman"/>
      <family val="1"/>
    </font>
    <font>
      <sz val="20"/>
      <name val="Arial"/>
      <family val="2"/>
    </font>
  </fonts>
  <fills count="2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
      <patternFill patternType="solid">
        <fgColor theme="8" tint="0.39997558519241921"/>
        <bgColor indexed="64"/>
      </patternFill>
    </fill>
  </fills>
  <borders count="30">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24" fillId="0" borderId="0" applyFont="0" applyFill="0" applyBorder="0" applyAlignment="0" applyProtection="0"/>
    <xf numFmtId="172" fontId="17" fillId="0" borderId="0" applyFill="0" applyBorder="0" applyAlignment="0" applyProtection="0"/>
    <xf numFmtId="164" fontId="25" fillId="0" borderId="0" applyFont="0" applyFill="0" applyBorder="0" applyAlignment="0" applyProtection="0"/>
    <xf numFmtId="171" fontId="17" fillId="0" borderId="0" applyFill="0" applyBorder="0" applyAlignment="0" applyProtection="0"/>
    <xf numFmtId="164" fontId="26"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34" fillId="0" borderId="0" applyFont="0" applyFill="0" applyBorder="0" applyAlignment="0" applyProtection="0"/>
    <xf numFmtId="0" fontId="33" fillId="0" borderId="0"/>
    <xf numFmtId="0" fontId="11" fillId="0" borderId="0" applyNumberFormat="0" applyFill="0" applyBorder="0" applyAlignment="0" applyProtection="0">
      <alignment vertical="top"/>
      <protection locked="0"/>
    </xf>
    <xf numFmtId="0" fontId="17" fillId="0" borderId="0"/>
    <xf numFmtId="0" fontId="35"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4" fillId="0" borderId="0" applyFont="0" applyFill="0" applyBorder="0" applyAlignment="0" applyProtection="0"/>
    <xf numFmtId="0" fontId="2" fillId="0" borderId="0"/>
    <xf numFmtId="164" fontId="2" fillId="0" borderId="0" applyFont="0" applyFill="0" applyBorder="0" applyAlignment="0" applyProtection="0"/>
    <xf numFmtId="0" fontId="45" fillId="0" borderId="0"/>
    <xf numFmtId="0" fontId="1" fillId="0" borderId="0"/>
    <xf numFmtId="0" fontId="2" fillId="0" borderId="0"/>
    <xf numFmtId="9" fontId="2" fillId="0" borderId="0" applyFont="0" applyFill="0" applyBorder="0" applyAlignment="0" applyProtection="0"/>
  </cellStyleXfs>
  <cellXfs count="717">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5" fillId="0" borderId="9" xfId="0" applyFont="1" applyBorder="1"/>
    <xf numFmtId="0" fontId="9" fillId="0" borderId="0" xfId="0" applyFont="1"/>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1" fillId="0" borderId="0" xfId="0" applyFont="1"/>
    <xf numFmtId="0" fontId="22" fillId="0" borderId="0" xfId="0"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9"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0" fontId="29" fillId="0" borderId="0" xfId="0" quotePrefix="1" applyFont="1"/>
    <xf numFmtId="164" fontId="27" fillId="0" borderId="0" xfId="0" applyNumberFormat="1" applyFont="1"/>
    <xf numFmtId="165" fontId="27" fillId="0" borderId="0" xfId="0" applyNumberFormat="1" applyFont="1"/>
    <xf numFmtId="171" fontId="19" fillId="0" borderId="0" xfId="3" applyFont="1"/>
    <xf numFmtId="0" fontId="28" fillId="0" borderId="0" xfId="16" applyFont="1"/>
    <xf numFmtId="164" fontId="4" fillId="0" borderId="1" xfId="2" applyFont="1" applyBorder="1"/>
    <xf numFmtId="168" fontId="4" fillId="0" borderId="1" xfId="2" applyNumberFormat="1" applyFont="1" applyBorder="1"/>
    <xf numFmtId="0" fontId="6" fillId="0" borderId="0" xfId="0" quotePrefix="1" applyFont="1"/>
    <xf numFmtId="0" fontId="5" fillId="0" borderId="11" xfId="0" applyFont="1" applyBorder="1"/>
    <xf numFmtId="0" fontId="2" fillId="0" borderId="0" xfId="0" quotePrefix="1" applyFont="1"/>
    <xf numFmtId="164" fontId="36" fillId="3" borderId="0" xfId="1" applyFont="1" applyFill="1"/>
    <xf numFmtId="164" fontId="31" fillId="0" borderId="0" xfId="1" applyFont="1"/>
    <xf numFmtId="164" fontId="37" fillId="0" borderId="0" xfId="1" applyFont="1"/>
    <xf numFmtId="164" fontId="37" fillId="0" borderId="0" xfId="1" applyFont="1" applyAlignment="1">
      <alignment horizontal="center"/>
    </xf>
    <xf numFmtId="168" fontId="5" fillId="0" borderId="0" xfId="0" applyNumberFormat="1" applyFont="1"/>
    <xf numFmtId="164" fontId="38"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9" fillId="0" borderId="0" xfId="0" applyNumberFormat="1" applyFont="1"/>
    <xf numFmtId="171" fontId="9" fillId="0" borderId="1" xfId="10" applyFont="1" applyBorder="1"/>
    <xf numFmtId="165" fontId="39" fillId="0" borderId="1" xfId="0" applyNumberFormat="1" applyFont="1" applyBorder="1"/>
    <xf numFmtId="0" fontId="39" fillId="0" borderId="6" xfId="0" applyFont="1" applyBorder="1"/>
    <xf numFmtId="0" fontId="39" fillId="0" borderId="0" xfId="0" applyFont="1"/>
    <xf numFmtId="164" fontId="39" fillId="0" borderId="0" xfId="0" applyNumberFormat="1" applyFont="1"/>
    <xf numFmtId="165" fontId="40"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1" fillId="0" borderId="0" xfId="0" applyFont="1"/>
    <xf numFmtId="0" fontId="4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8" applyFont="1"/>
    <xf numFmtId="9" fontId="5" fillId="0" borderId="0" xfId="17" applyFont="1"/>
    <xf numFmtId="9" fontId="5" fillId="12" borderId="0" xfId="0" applyNumberFormat="1" applyFont="1" applyFill="1"/>
    <xf numFmtId="164" fontId="6" fillId="0" borderId="0" xfId="0" applyNumberFormat="1" applyFont="1"/>
    <xf numFmtId="0" fontId="5" fillId="13" borderId="0" xfId="0" applyFont="1" applyFill="1"/>
    <xf numFmtId="15" fontId="5" fillId="0" borderId="0" xfId="0" applyNumberFormat="1" applyFont="1" applyAlignment="1">
      <alignment horizontal="center"/>
    </xf>
    <xf numFmtId="0" fontId="43" fillId="0" borderId="0" xfId="0" applyFont="1"/>
    <xf numFmtId="0" fontId="44"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5" fontId="5" fillId="0" borderId="0" xfId="0" applyNumberFormat="1" applyFont="1"/>
    <xf numFmtId="164" fontId="3" fillId="0" borderId="0" xfId="24" applyFont="1"/>
    <xf numFmtId="168" fontId="3" fillId="0" borderId="0" xfId="24" applyNumberFormat="1" applyFont="1"/>
    <xf numFmtId="164" fontId="31"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70" fontId="3" fillId="0" borderId="0" xfId="14" applyNumberFormat="1" applyFont="1"/>
    <xf numFmtId="168" fontId="3" fillId="0" borderId="0" xfId="24" applyNumberFormat="1" applyFont="1" applyAlignment="1">
      <alignment horizontal="center"/>
    </xf>
    <xf numFmtId="0" fontId="3" fillId="0" borderId="0" xfId="14" applyFont="1"/>
    <xf numFmtId="170"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6"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7" fillId="0" borderId="0" xfId="0" applyFont="1"/>
    <xf numFmtId="164" fontId="3" fillId="0" borderId="0" xfId="13" applyNumberFormat="1" applyFont="1" applyAlignment="1" applyProtection="1"/>
    <xf numFmtId="165" fontId="3" fillId="0" borderId="0" xfId="8" applyNumberFormat="1" applyFont="1"/>
    <xf numFmtId="0" fontId="48" fillId="0" borderId="0" xfId="15" quotePrefix="1" applyFont="1"/>
    <xf numFmtId="0" fontId="49" fillId="0" borderId="0" xfId="15" quotePrefix="1" applyFont="1"/>
    <xf numFmtId="0" fontId="50"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42" fillId="0" borderId="0" xfId="1" applyNumberFormat="1" applyFont="1"/>
    <xf numFmtId="170" fontId="3" fillId="0" borderId="0" xfId="8" applyNumberFormat="1" applyFont="1"/>
    <xf numFmtId="170" fontId="3" fillId="0" borderId="0" xfId="8" quotePrefix="1" applyNumberFormat="1" applyFont="1"/>
    <xf numFmtId="170" fontId="48"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8" fontId="3" fillId="0" borderId="0" xfId="24" applyNumberFormat="1" applyFont="1" applyBorder="1" applyAlignment="1">
      <alignment horizontal="center"/>
    </xf>
    <xf numFmtId="173" fontId="3" fillId="0" borderId="0" xfId="0" applyNumberFormat="1" applyFont="1"/>
    <xf numFmtId="164" fontId="3" fillId="0" borderId="0" xfId="24" applyFont="1" applyBorder="1"/>
    <xf numFmtId="164" fontId="3" fillId="0" borderId="0" xfId="1" applyFont="1" applyBorder="1"/>
    <xf numFmtId="173" fontId="3" fillId="0" borderId="0" xfId="14" applyNumberFormat="1" applyFont="1"/>
    <xf numFmtId="173" fontId="3" fillId="0" borderId="0" xfId="24" applyNumberFormat="1" applyFont="1" applyBorder="1" applyAlignment="1">
      <alignment horizontal="center"/>
    </xf>
    <xf numFmtId="164" fontId="3" fillId="0" borderId="0" xfId="24" quotePrefix="1" applyFont="1" applyBorder="1"/>
    <xf numFmtId="168" fontId="3" fillId="0" borderId="0" xfId="24" applyNumberFormat="1" applyFont="1" applyBorder="1"/>
    <xf numFmtId="170" fontId="3" fillId="0" borderId="0" xfId="24" applyNumberFormat="1" applyFont="1" applyBorder="1"/>
    <xf numFmtId="15" fontId="3" fillId="0" borderId="0" xfId="0" applyNumberFormat="1" applyFont="1"/>
    <xf numFmtId="164" fontId="51" fillId="0" borderId="0" xfId="1" applyFont="1" applyBorder="1"/>
    <xf numFmtId="164" fontId="3" fillId="0" borderId="0" xfId="2" applyFont="1" applyBorder="1"/>
    <xf numFmtId="0" fontId="52" fillId="0" borderId="0" xfId="0" applyFont="1"/>
    <xf numFmtId="0" fontId="53" fillId="0" borderId="0" xfId="0" applyFont="1"/>
    <xf numFmtId="0" fontId="54" fillId="0" borderId="0" xfId="0" applyFont="1"/>
    <xf numFmtId="0" fontId="55" fillId="0" borderId="0" xfId="0" applyFont="1"/>
    <xf numFmtId="168" fontId="55" fillId="0" borderId="14" xfId="1" applyNumberFormat="1" applyFont="1" applyBorder="1"/>
    <xf numFmtId="168" fontId="55" fillId="0" borderId="0" xfId="1" applyNumberFormat="1" applyFont="1" applyBorder="1"/>
    <xf numFmtId="0" fontId="52" fillId="0" borderId="1" xfId="0" applyFont="1" applyBorder="1"/>
    <xf numFmtId="0" fontId="55" fillId="7" borderId="0" xfId="0" applyFont="1" applyFill="1"/>
    <xf numFmtId="0" fontId="52" fillId="7" borderId="0" xfId="0" applyFont="1" applyFill="1"/>
    <xf numFmtId="0" fontId="55" fillId="12" borderId="0" xfId="0" applyFont="1" applyFill="1"/>
    <xf numFmtId="0" fontId="52" fillId="12" borderId="0" xfId="0" applyFont="1" applyFill="1"/>
    <xf numFmtId="0" fontId="52" fillId="0" borderId="25" xfId="0" applyFont="1" applyBorder="1"/>
    <xf numFmtId="168" fontId="52" fillId="0" borderId="26" xfId="1" applyNumberFormat="1" applyFont="1" applyBorder="1"/>
    <xf numFmtId="168" fontId="52" fillId="0" borderId="25" xfId="1" applyNumberFormat="1" applyFont="1" applyBorder="1"/>
    <xf numFmtId="0" fontId="52" fillId="0" borderId="2" xfId="0" applyFont="1" applyBorder="1" applyAlignment="1">
      <alignment vertical="top"/>
    </xf>
    <xf numFmtId="168" fontId="52" fillId="0" borderId="3" xfId="1" applyNumberFormat="1" applyFont="1" applyBorder="1" applyAlignment="1">
      <alignment vertical="top"/>
    </xf>
    <xf numFmtId="0" fontId="52" fillId="0" borderId="13" xfId="0" applyFont="1" applyBorder="1" applyAlignment="1">
      <alignment vertical="top"/>
    </xf>
    <xf numFmtId="168" fontId="52" fillId="0" borderId="4" xfId="1" applyNumberFormat="1" applyFont="1" applyBorder="1" applyAlignment="1">
      <alignment vertical="top"/>
    </xf>
    <xf numFmtId="0" fontId="52" fillId="0" borderId="5" xfId="0" applyFont="1" applyBorder="1" applyAlignment="1">
      <alignment vertical="top"/>
    </xf>
    <xf numFmtId="168" fontId="52" fillId="0" borderId="6" xfId="1" applyNumberFormat="1" applyFont="1" applyBorder="1" applyAlignment="1">
      <alignment vertical="top"/>
    </xf>
    <xf numFmtId="168" fontId="56" fillId="0" borderId="0" xfId="0" applyNumberFormat="1" applyFont="1"/>
    <xf numFmtId="168" fontId="55" fillId="0" borderId="25" xfId="1" applyNumberFormat="1" applyFont="1" applyBorder="1"/>
    <xf numFmtId="168" fontId="55" fillId="0" borderId="26" xfId="1" applyNumberFormat="1" applyFont="1" applyBorder="1"/>
    <xf numFmtId="164" fontId="56" fillId="0" borderId="0" xfId="1" applyFont="1"/>
    <xf numFmtId="168" fontId="52" fillId="0" borderId="3" xfId="1" applyNumberFormat="1" applyFont="1" applyFill="1" applyBorder="1" applyAlignment="1">
      <alignment vertical="top"/>
    </xf>
    <xf numFmtId="168" fontId="52" fillId="0" borderId="4" xfId="1" applyNumberFormat="1" applyFont="1" applyFill="1" applyBorder="1" applyAlignment="1">
      <alignment vertical="top"/>
    </xf>
    <xf numFmtId="0" fontId="52" fillId="0" borderId="6" xfId="0" applyFont="1" applyBorder="1" applyAlignment="1">
      <alignment vertical="top"/>
    </xf>
    <xf numFmtId="168" fontId="52" fillId="0" borderId="0" xfId="0" applyNumberFormat="1" applyFont="1"/>
    <xf numFmtId="0" fontId="52" fillId="0" borderId="14" xfId="0" applyFont="1" applyBorder="1"/>
    <xf numFmtId="0" fontId="55" fillId="0" borderId="25" xfId="0" applyFont="1" applyBorder="1"/>
    <xf numFmtId="168" fontId="55" fillId="0" borderId="0" xfId="0" applyNumberFormat="1" applyFont="1"/>
    <xf numFmtId="0" fontId="60" fillId="0" borderId="0" xfId="0" applyFont="1"/>
    <xf numFmtId="0" fontId="61" fillId="0" borderId="0" xfId="0" applyFont="1"/>
    <xf numFmtId="168" fontId="0" fillId="0" borderId="0" xfId="0" applyNumberFormat="1"/>
    <xf numFmtId="164" fontId="62" fillId="0" borderId="10" xfId="1" applyFont="1" applyBorder="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27" xfId="1" applyFont="1" applyFill="1" applyBorder="1"/>
    <xf numFmtId="164" fontId="4" fillId="7" borderId="28" xfId="1" applyFont="1" applyFill="1" applyBorder="1"/>
    <xf numFmtId="164" fontId="51" fillId="0" borderId="0" xfId="1" applyFont="1"/>
    <xf numFmtId="164" fontId="63" fillId="0" borderId="0" xfId="1" applyFont="1"/>
    <xf numFmtId="164" fontId="63" fillId="0" borderId="0" xfId="8" applyFont="1"/>
    <xf numFmtId="164" fontId="63"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8" fontId="5" fillId="16" borderId="0" xfId="1" applyNumberFormat="1" applyFont="1" applyFill="1"/>
    <xf numFmtId="0" fontId="5" fillId="8" borderId="0" xfId="0" applyFont="1" applyFill="1"/>
    <xf numFmtId="164" fontId="6" fillId="0" borderId="0" xfId="1" applyFont="1" applyBorder="1" applyAlignment="1">
      <alignment horizontal="center"/>
    </xf>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168" fontId="6" fillId="0" borderId="0" xfId="0" applyNumberFormat="1" applyFont="1"/>
    <xf numFmtId="168" fontId="5" fillId="0" borderId="9" xfId="0" applyNumberFormat="1" applyFont="1" applyBorder="1"/>
    <xf numFmtId="168" fontId="5" fillId="0" borderId="11" xfId="0" applyNumberFormat="1" applyFont="1" applyBorder="1"/>
    <xf numFmtId="168" fontId="5" fillId="0" borderId="11" xfId="1" applyNumberFormat="1" applyFont="1" applyBorder="1" applyAlignment="1">
      <alignment horizontal="center"/>
    </xf>
    <xf numFmtId="168" fontId="5" fillId="0" borderId="12" xfId="1" applyNumberFormat="1" applyFont="1" applyBorder="1" applyAlignment="1">
      <alignment horizontal="center"/>
    </xf>
    <xf numFmtId="168" fontId="5" fillId="0" borderId="9" xfId="1" applyNumberFormat="1" applyFont="1" applyBorder="1" applyAlignment="1">
      <alignment horizontal="center"/>
    </xf>
    <xf numFmtId="168" fontId="5" fillId="0" borderId="14" xfId="1" applyNumberFormat="1" applyFont="1" applyBorder="1" applyAlignment="1">
      <alignment horizontal="center"/>
    </xf>
    <xf numFmtId="168" fontId="5" fillId="0" borderId="0" xfId="1" applyNumberFormat="1" applyFont="1" applyAlignment="1">
      <alignment horizontal="center"/>
    </xf>
    <xf numFmtId="168" fontId="6" fillId="0" borderId="0" xfId="1" applyNumberFormat="1" applyFont="1" applyAlignment="1">
      <alignment horizontal="center"/>
    </xf>
    <xf numFmtId="168" fontId="5" fillId="0" borderId="15" xfId="1" applyNumberFormat="1" applyFont="1" applyBorder="1" applyAlignment="1">
      <alignment horizontal="center"/>
    </xf>
    <xf numFmtId="168" fontId="5" fillId="0" borderId="1" xfId="1" applyNumberFormat="1" applyFont="1" applyBorder="1" applyAlignment="1">
      <alignment horizontal="center"/>
    </xf>
    <xf numFmtId="168" fontId="5" fillId="0" borderId="8" xfId="1" applyNumberFormat="1" applyFont="1" applyBorder="1" applyAlignment="1">
      <alignment horizontal="center"/>
    </xf>
    <xf numFmtId="164" fontId="6" fillId="0" borderId="10" xfId="0" applyNumberFormat="1" applyFont="1" applyBorder="1"/>
    <xf numFmtId="164" fontId="66" fillId="0" borderId="0" xfId="0" applyNumberFormat="1" applyFont="1"/>
    <xf numFmtId="164" fontId="66" fillId="0" borderId="0" xfId="1" applyFont="1"/>
    <xf numFmtId="0" fontId="58" fillId="0" borderId="0" xfId="27" applyFont="1"/>
    <xf numFmtId="0" fontId="57" fillId="0" borderId="0" xfId="27" applyFont="1"/>
    <xf numFmtId="0" fontId="59" fillId="0" borderId="0" xfId="27" applyFont="1" applyAlignment="1">
      <alignment horizontal="center" vertical="center"/>
    </xf>
    <xf numFmtId="0" fontId="58" fillId="0" borderId="0" xfId="27" quotePrefix="1" applyFont="1"/>
    <xf numFmtId="0" fontId="64" fillId="19" borderId="0" xfId="27" applyFont="1" applyFill="1" applyAlignment="1">
      <alignment horizontal="center" vertical="center"/>
    </xf>
    <xf numFmtId="0" fontId="58" fillId="19" borderId="0" xfId="27" applyFont="1" applyFill="1"/>
    <xf numFmtId="0" fontId="65" fillId="19" borderId="0" xfId="27" applyFont="1" applyFill="1" applyAlignment="1">
      <alignment horizontal="center"/>
    </xf>
    <xf numFmtId="0" fontId="67" fillId="19" borderId="0" xfId="13" applyFont="1" applyFill="1" applyBorder="1" applyAlignment="1" applyProtection="1">
      <alignment horizontal="center"/>
    </xf>
    <xf numFmtId="10" fontId="3" fillId="2" borderId="0" xfId="17" applyNumberFormat="1" applyFont="1" applyFill="1"/>
    <xf numFmtId="0" fontId="68" fillId="0" borderId="0" xfId="0" applyFont="1" applyAlignment="1">
      <alignment horizontal="center"/>
    </xf>
    <xf numFmtId="164" fontId="70" fillId="0" borderId="0" xfId="1" applyFont="1"/>
    <xf numFmtId="0" fontId="19" fillId="8" borderId="0" xfId="0" applyFont="1" applyFill="1"/>
    <xf numFmtId="0" fontId="71" fillId="0" borderId="0" xfId="27" applyFont="1"/>
    <xf numFmtId="168" fontId="52" fillId="0" borderId="0" xfId="1" applyNumberFormat="1" applyFont="1" applyBorder="1"/>
    <xf numFmtId="168" fontId="52" fillId="0" borderId="0" xfId="1" applyNumberFormat="1" applyFont="1" applyFill="1" applyBorder="1"/>
    <xf numFmtId="0" fontId="52" fillId="0" borderId="0" xfId="0" applyFont="1" applyAlignment="1">
      <alignment vertical="top"/>
    </xf>
    <xf numFmtId="168" fontId="52" fillId="0" borderId="0" xfId="1" applyNumberFormat="1" applyFont="1" applyFill="1" applyBorder="1" applyAlignment="1">
      <alignment vertical="top"/>
    </xf>
    <xf numFmtId="168" fontId="55" fillId="0" borderId="0" xfId="1" applyNumberFormat="1" applyFont="1" applyFill="1" applyBorder="1"/>
    <xf numFmtId="168" fontId="52" fillId="0" borderId="1" xfId="1" applyNumberFormat="1" applyFont="1" applyBorder="1"/>
    <xf numFmtId="168" fontId="52" fillId="0" borderId="1" xfId="1" applyNumberFormat="1" applyFont="1" applyFill="1" applyBorder="1"/>
    <xf numFmtId="168" fontId="52" fillId="0" borderId="0" xfId="1" applyNumberFormat="1" applyFont="1" applyBorder="1" applyAlignment="1">
      <alignment vertical="top"/>
    </xf>
    <xf numFmtId="164" fontId="18" fillId="6" borderId="0" xfId="1" applyFont="1" applyFill="1" applyProtection="1"/>
    <xf numFmtId="0" fontId="6" fillId="0" borderId="29" xfId="0" applyFont="1" applyBorder="1" applyAlignment="1">
      <alignment horizontal="center"/>
    </xf>
    <xf numFmtId="0" fontId="73" fillId="0" borderId="0" xfId="13" applyFont="1" applyAlignment="1" applyProtection="1"/>
    <xf numFmtId="9" fontId="5" fillId="0" borderId="0" xfId="17" applyFont="1" applyAlignment="1">
      <alignment horizontal="center"/>
    </xf>
    <xf numFmtId="0" fontId="74" fillId="0" borderId="0" xfId="0" applyFont="1"/>
    <xf numFmtId="0" fontId="75" fillId="0" borderId="0" xfId="0" applyFont="1"/>
    <xf numFmtId="0" fontId="5" fillId="20" borderId="0" xfId="0" applyFont="1" applyFill="1" applyAlignment="1">
      <alignment horizontal="center"/>
    </xf>
    <xf numFmtId="0" fontId="76" fillId="0" borderId="0" xfId="13" applyFont="1" applyFill="1" applyAlignment="1" applyProtection="1"/>
    <xf numFmtId="164" fontId="6" fillId="0" borderId="0" xfId="0" applyNumberFormat="1" applyFont="1" applyAlignment="1">
      <alignment horizontal="center"/>
    </xf>
    <xf numFmtId="9" fontId="6" fillId="0" borderId="0" xfId="17" applyFont="1" applyAlignment="1">
      <alignment horizontal="center"/>
    </xf>
    <xf numFmtId="0" fontId="5" fillId="0" borderId="0" xfId="13" applyFont="1" applyAlignment="1" applyProtection="1"/>
    <xf numFmtId="0" fontId="5" fillId="0" borderId="1" xfId="13" applyFont="1" applyBorder="1" applyAlignment="1" applyProtection="1"/>
    <xf numFmtId="9" fontId="5" fillId="0" borderId="1" xfId="17" applyFont="1" applyBorder="1" applyAlignment="1">
      <alignment horizontal="center"/>
    </xf>
    <xf numFmtId="10" fontId="5" fillId="0" borderId="0" xfId="17" applyNumberFormat="1" applyFont="1" applyAlignment="1">
      <alignment horizontal="center"/>
    </xf>
    <xf numFmtId="0" fontId="77"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8" fontId="5" fillId="13" borderId="0" xfId="1" applyNumberFormat="1" applyFont="1" applyFill="1" applyProtection="1">
      <protection locked="0"/>
    </xf>
    <xf numFmtId="168" fontId="5" fillId="13" borderId="11" xfId="1" applyNumberFormat="1" applyFont="1" applyFill="1" applyBorder="1" applyAlignment="1" applyProtection="1">
      <alignment horizontal="center"/>
      <protection locked="0"/>
    </xf>
    <xf numFmtId="0" fontId="5" fillId="0" borderId="0" xfId="0" applyFont="1" applyProtection="1">
      <protection locked="0"/>
    </xf>
    <xf numFmtId="168" fontId="5" fillId="16" borderId="0" xfId="1" applyNumberFormat="1" applyFont="1" applyFill="1" applyAlignment="1" applyProtection="1">
      <alignment horizontal="center"/>
      <protection locked="0"/>
    </xf>
    <xf numFmtId="9" fontId="5" fillId="16" borderId="0" xfId="17" applyFont="1" applyFill="1" applyAlignment="1" applyProtection="1">
      <alignment horizontal="center"/>
      <protection locked="0"/>
    </xf>
    <xf numFmtId="164" fontId="17" fillId="14" borderId="0" xfId="2" applyFill="1" applyProtection="1">
      <protection locked="0"/>
    </xf>
    <xf numFmtId="0" fontId="17" fillId="0" borderId="0" xfId="0" quotePrefix="1" applyFont="1" applyProtection="1">
      <protection locked="0"/>
    </xf>
    <xf numFmtId="0" fontId="2" fillId="0" borderId="0" xfId="0" applyFont="1" applyProtection="1">
      <protection locked="0"/>
    </xf>
    <xf numFmtId="0" fontId="10" fillId="0" borderId="0" xfId="0" quotePrefix="1"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9"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36"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164" fontId="11" fillId="0" borderId="0" xfId="13" applyNumberFormat="1" applyAlignment="1" applyProtection="1">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30"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0" fillId="0" borderId="0" xfId="1" applyFont="1" applyProtection="1">
      <protection locked="0"/>
    </xf>
    <xf numFmtId="164" fontId="29" fillId="0" borderId="0" xfId="1" quotePrefix="1" applyFont="1" applyProtection="1">
      <protection locked="0"/>
    </xf>
    <xf numFmtId="164" fontId="32" fillId="0" borderId="0" xfId="1" applyFont="1" applyProtection="1">
      <protection locked="0"/>
    </xf>
    <xf numFmtId="164" fontId="18" fillId="0" borderId="0" xfId="1" applyFont="1" applyProtection="1">
      <protection locked="0"/>
    </xf>
    <xf numFmtId="0" fontId="11" fillId="0" borderId="0" xfId="13" applyAlignment="1" applyProtection="1">
      <alignment horizontal="center"/>
      <protection locked="0"/>
    </xf>
    <xf numFmtId="0" fontId="10" fillId="0" borderId="0" xfId="0" quotePrefix="1" applyFont="1" applyAlignment="1" applyProtection="1">
      <alignment horizontal="center"/>
      <protection locked="0"/>
    </xf>
    <xf numFmtId="164" fontId="30"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78" fillId="0" borderId="0" xfId="0" applyFont="1"/>
    <xf numFmtId="0" fontId="79" fillId="0" borderId="0" xfId="0" applyFont="1"/>
    <xf numFmtId="0" fontId="78" fillId="0" borderId="0" xfId="0" applyFont="1" applyAlignment="1">
      <alignment horizontal="center"/>
    </xf>
    <xf numFmtId="0" fontId="80" fillId="0" borderId="0" xfId="0" applyFont="1"/>
    <xf numFmtId="0" fontId="78" fillId="0" borderId="17" xfId="0" applyFont="1" applyBorder="1"/>
    <xf numFmtId="0" fontId="78" fillId="0" borderId="18" xfId="0" applyFont="1" applyBorder="1"/>
    <xf numFmtId="0" fontId="78" fillId="0" borderId="22" xfId="0" applyFont="1" applyBorder="1"/>
    <xf numFmtId="0" fontId="78" fillId="0" borderId="23" xfId="0" applyFont="1" applyBorder="1"/>
    <xf numFmtId="164" fontId="79" fillId="0" borderId="0" xfId="1" applyFont="1" applyAlignment="1">
      <alignment horizontal="center"/>
    </xf>
    <xf numFmtId="0" fontId="78" fillId="0" borderId="0" xfId="1" applyNumberFormat="1" applyFont="1" applyAlignment="1">
      <alignment horizontal="center"/>
    </xf>
    <xf numFmtId="164" fontId="78" fillId="0" borderId="0" xfId="1" applyFont="1" applyAlignment="1">
      <alignment horizontal="center"/>
    </xf>
    <xf numFmtId="0" fontId="78" fillId="0" borderId="0" xfId="0" applyFont="1" applyAlignment="1">
      <alignment horizontal="left"/>
    </xf>
    <xf numFmtId="0" fontId="78" fillId="0" borderId="1" xfId="0" applyFont="1" applyBorder="1"/>
    <xf numFmtId="0" fontId="81" fillId="0" borderId="0" xfId="0" applyFont="1"/>
    <xf numFmtId="0" fontId="78" fillId="0" borderId="0" xfId="13" applyFont="1" applyAlignment="1" applyProtection="1"/>
    <xf numFmtId="168" fontId="78" fillId="0" borderId="0" xfId="0" applyNumberFormat="1" applyFont="1"/>
    <xf numFmtId="0" fontId="78" fillId="0" borderId="2" xfId="0" applyFont="1" applyBorder="1"/>
    <xf numFmtId="0" fontId="78" fillId="0" borderId="7" xfId="0" applyFont="1" applyBorder="1"/>
    <xf numFmtId="0" fontId="78" fillId="0" borderId="3" xfId="0" applyFont="1" applyBorder="1"/>
    <xf numFmtId="0" fontId="78" fillId="0" borderId="13" xfId="0" applyFont="1" applyBorder="1"/>
    <xf numFmtId="0" fontId="78" fillId="0" borderId="4" xfId="0" applyFont="1" applyBorder="1"/>
    <xf numFmtId="168" fontId="78" fillId="0" borderId="0" xfId="1" applyNumberFormat="1" applyFont="1" applyAlignment="1">
      <alignment horizontal="center"/>
    </xf>
    <xf numFmtId="168" fontId="78" fillId="0" borderId="7" xfId="1" applyNumberFormat="1" applyFont="1" applyBorder="1" applyAlignment="1">
      <alignment horizontal="center"/>
    </xf>
    <xf numFmtId="168" fontId="78" fillId="0" borderId="5" xfId="1" applyNumberFormat="1" applyFont="1" applyBorder="1" applyAlignment="1">
      <alignment horizontal="center"/>
    </xf>
    <xf numFmtId="168" fontId="78" fillId="0" borderId="1" xfId="1" applyNumberFormat="1" applyFont="1" applyBorder="1" applyAlignment="1">
      <alignment horizontal="center"/>
    </xf>
    <xf numFmtId="168" fontId="78" fillId="0" borderId="8" xfId="1" applyNumberFormat="1" applyFont="1" applyBorder="1" applyAlignment="1">
      <alignment horizontal="center"/>
    </xf>
    <xf numFmtId="168" fontId="78" fillId="0" borderId="0" xfId="13" applyNumberFormat="1" applyFont="1" applyAlignment="1" applyProtection="1">
      <alignment horizontal="center"/>
    </xf>
    <xf numFmtId="37" fontId="78" fillId="0" borderId="0" xfId="0" applyNumberFormat="1" applyFont="1"/>
    <xf numFmtId="0" fontId="78" fillId="0" borderId="5" xfId="0" applyFont="1" applyBorder="1"/>
    <xf numFmtId="37" fontId="78" fillId="0" borderId="1" xfId="0" applyNumberFormat="1" applyFont="1" applyBorder="1"/>
    <xf numFmtId="0" fontId="78" fillId="0" borderId="6" xfId="0" applyFont="1" applyBorder="1"/>
    <xf numFmtId="0" fontId="78" fillId="0" borderId="7" xfId="1" applyNumberFormat="1" applyFont="1" applyBorder="1" applyAlignment="1">
      <alignment horizontal="center"/>
    </xf>
    <xf numFmtId="168" fontId="78" fillId="0" borderId="0" xfId="13" applyNumberFormat="1" applyFont="1" applyAlignment="1" applyProtection="1"/>
    <xf numFmtId="9" fontId="78" fillId="0" borderId="0" xfId="17" applyFont="1" applyAlignment="1">
      <alignment horizontal="center"/>
    </xf>
    <xf numFmtId="0" fontId="78" fillId="0" borderId="1" xfId="0" applyFont="1" applyBorder="1" applyAlignment="1">
      <alignment horizontal="center"/>
    </xf>
    <xf numFmtId="164" fontId="78" fillId="0" borderId="1" xfId="1" applyFont="1" applyBorder="1" applyAlignment="1">
      <alignment horizontal="center"/>
    </xf>
    <xf numFmtId="0" fontId="78" fillId="0" borderId="13" xfId="0" applyFont="1" applyBorder="1" applyAlignment="1">
      <alignment horizontal="center"/>
    </xf>
    <xf numFmtId="164" fontId="78" fillId="0" borderId="0" xfId="2" applyFont="1" applyAlignment="1">
      <alignment horizontal="center"/>
    </xf>
    <xf numFmtId="168" fontId="78" fillId="0" borderId="0" xfId="2" applyNumberFormat="1" applyFont="1" applyAlignment="1">
      <alignment horizontal="center"/>
    </xf>
    <xf numFmtId="168" fontId="78" fillId="0" borderId="1" xfId="2" applyNumberFormat="1" applyFont="1" applyBorder="1" applyAlignment="1">
      <alignment horizontal="center"/>
    </xf>
    <xf numFmtId="168" fontId="78" fillId="0" borderId="8" xfId="2" applyNumberFormat="1" applyFont="1" applyBorder="1" applyAlignment="1">
      <alignment horizontal="center"/>
    </xf>
    <xf numFmtId="168" fontId="78" fillId="0" borderId="0" xfId="2" applyNumberFormat="1" applyFont="1" applyBorder="1" applyAlignment="1">
      <alignment horizontal="center"/>
    </xf>
    <xf numFmtId="168" fontId="78" fillId="0" borderId="0" xfId="1" applyNumberFormat="1" applyFont="1" applyBorder="1" applyAlignment="1">
      <alignment horizontal="center"/>
    </xf>
    <xf numFmtId="0" fontId="79" fillId="0" borderId="0" xfId="13" applyFont="1" applyAlignment="1" applyProtection="1"/>
    <xf numFmtId="0" fontId="78" fillId="0" borderId="2" xfId="0" applyFont="1" applyBorder="1" applyAlignment="1">
      <alignment horizontal="center"/>
    </xf>
    <xf numFmtId="164" fontId="78" fillId="0" borderId="3" xfId="1" applyFont="1" applyBorder="1" applyAlignment="1">
      <alignment horizontal="center"/>
    </xf>
    <xf numFmtId="164" fontId="78" fillId="0" borderId="4" xfId="1" applyFont="1" applyBorder="1" applyAlignment="1">
      <alignment horizontal="center"/>
    </xf>
    <xf numFmtId="168" fontId="78" fillId="0" borderId="15" xfId="1" applyNumberFormat="1" applyFont="1" applyBorder="1" applyAlignment="1">
      <alignment horizontal="center"/>
    </xf>
    <xf numFmtId="0" fontId="78" fillId="0" borderId="5" xfId="0" applyFont="1" applyBorder="1" applyAlignment="1">
      <alignment horizontal="center"/>
    </xf>
    <xf numFmtId="164" fontId="78" fillId="0" borderId="6" xfId="1" applyFont="1" applyBorder="1" applyAlignment="1">
      <alignment horizontal="center"/>
    </xf>
    <xf numFmtId="0" fontId="78" fillId="0" borderId="8" xfId="0" applyFont="1" applyBorder="1"/>
    <xf numFmtId="10" fontId="78" fillId="0" borderId="0" xfId="0" applyNumberFormat="1" applyFont="1" applyAlignment="1">
      <alignment horizontal="center"/>
    </xf>
    <xf numFmtId="9" fontId="78" fillId="0" borderId="0" xfId="0" applyNumberFormat="1" applyFont="1" applyAlignment="1">
      <alignment horizontal="center"/>
    </xf>
    <xf numFmtId="0" fontId="79" fillId="0" borderId="1" xfId="0" applyFont="1" applyBorder="1"/>
    <xf numFmtId="0" fontId="79" fillId="0" borderId="7" xfId="0" applyFont="1" applyBorder="1"/>
    <xf numFmtId="15" fontId="78" fillId="0" borderId="0" xfId="1" applyNumberFormat="1" applyFont="1" applyAlignment="1">
      <alignment horizontal="center"/>
    </xf>
    <xf numFmtId="168" fontId="78" fillId="0" borderId="1" xfId="0" applyNumberFormat="1" applyFont="1" applyBorder="1"/>
    <xf numFmtId="164" fontId="78" fillId="0" borderId="7" xfId="1" applyFont="1" applyBorder="1" applyAlignment="1">
      <alignment horizontal="center"/>
    </xf>
    <xf numFmtId="168" fontId="78" fillId="0" borderId="7" xfId="0" applyNumberFormat="1" applyFont="1" applyBorder="1"/>
    <xf numFmtId="0" fontId="78" fillId="0" borderId="0" xfId="1" applyNumberFormat="1" applyFont="1" applyBorder="1" applyAlignment="1">
      <alignment horizontal="center"/>
    </xf>
    <xf numFmtId="0" fontId="78" fillId="0" borderId="0" xfId="13" applyFont="1" applyBorder="1" applyAlignment="1" applyProtection="1"/>
    <xf numFmtId="164" fontId="78" fillId="0" borderId="0" xfId="0" applyNumberFormat="1" applyFont="1"/>
    <xf numFmtId="0" fontId="78" fillId="0" borderId="7" xfId="0" applyFont="1" applyBorder="1" applyAlignment="1">
      <alignment horizontal="center"/>
    </xf>
    <xf numFmtId="0" fontId="82" fillId="0" borderId="0" xfId="0" applyFont="1"/>
    <xf numFmtId="0" fontId="21" fillId="0" borderId="0" xfId="0" applyFont="1" applyAlignment="1">
      <alignment horizontal="center"/>
    </xf>
    <xf numFmtId="0" fontId="83" fillId="0" borderId="0" xfId="0" applyFont="1"/>
    <xf numFmtId="0" fontId="84" fillId="0" borderId="0" xfId="0" applyFont="1" applyAlignment="1">
      <alignment horizontal="center"/>
    </xf>
    <xf numFmtId="0" fontId="82" fillId="0" borderId="0" xfId="0" applyFont="1" applyAlignment="1">
      <alignment horizontal="center"/>
    </xf>
    <xf numFmtId="168" fontId="21" fillId="0" borderId="0" xfId="0" applyNumberFormat="1" applyFont="1" applyAlignment="1">
      <alignment horizontal="center"/>
    </xf>
    <xf numFmtId="164" fontId="21" fillId="0" borderId="0" xfId="0" applyNumberFormat="1" applyFont="1" applyAlignment="1">
      <alignment horizontal="center"/>
    </xf>
    <xf numFmtId="0" fontId="85" fillId="0" borderId="0" xfId="0" applyFont="1" applyAlignment="1">
      <alignment horizontal="center"/>
    </xf>
    <xf numFmtId="164" fontId="82" fillId="0" borderId="0" xfId="0" applyNumberFormat="1" applyFont="1"/>
    <xf numFmtId="0" fontId="83" fillId="0" borderId="0" xfId="0" applyFont="1" applyAlignment="1">
      <alignment horizontal="center"/>
    </xf>
    <xf numFmtId="0" fontId="21" fillId="0" borderId="0" xfId="13" applyFont="1" applyAlignment="1" applyProtection="1">
      <alignment horizontal="center"/>
    </xf>
    <xf numFmtId="0" fontId="86" fillId="0" borderId="0" xfId="0" applyFont="1" applyAlignment="1">
      <alignment horizontal="center"/>
    </xf>
    <xf numFmtId="164" fontId="88" fillId="0" borderId="0" xfId="1" applyFont="1" applyAlignment="1">
      <alignment horizontal="center"/>
    </xf>
    <xf numFmtId="0" fontId="87" fillId="0" borderId="0" xfId="1" applyNumberFormat="1" applyFont="1" applyAlignment="1">
      <alignment horizontal="center"/>
    </xf>
    <xf numFmtId="0" fontId="87" fillId="0" borderId="0" xfId="0" applyFont="1" applyAlignment="1">
      <alignment horizontal="center"/>
    </xf>
    <xf numFmtId="0" fontId="87" fillId="0" borderId="0" xfId="0" applyFont="1"/>
    <xf numFmtId="0" fontId="87" fillId="0" borderId="0" xfId="13" applyFont="1" applyAlignment="1" applyProtection="1"/>
    <xf numFmtId="164" fontId="87" fillId="0" borderId="0" xfId="1" applyFont="1" applyAlignment="1">
      <alignment horizontal="center"/>
    </xf>
    <xf numFmtId="168" fontId="87" fillId="0" borderId="0" xfId="0" applyNumberFormat="1" applyFont="1"/>
    <xf numFmtId="168" fontId="87" fillId="0" borderId="0" xfId="1" applyNumberFormat="1" applyFont="1" applyAlignment="1">
      <alignment horizontal="center"/>
    </xf>
    <xf numFmtId="168" fontId="87" fillId="0" borderId="2" xfId="1" applyNumberFormat="1" applyFont="1" applyBorder="1" applyAlignment="1">
      <alignment horizontal="center"/>
    </xf>
    <xf numFmtId="168" fontId="87" fillId="0" borderId="13" xfId="1" applyNumberFormat="1" applyFont="1" applyBorder="1" applyAlignment="1">
      <alignment horizontal="center"/>
    </xf>
    <xf numFmtId="168" fontId="87" fillId="0" borderId="5" xfId="1" applyNumberFormat="1" applyFont="1" applyBorder="1" applyAlignment="1">
      <alignment horizontal="center"/>
    </xf>
    <xf numFmtId="168" fontId="87" fillId="0" borderId="1" xfId="1" applyNumberFormat="1" applyFont="1" applyBorder="1" applyAlignment="1">
      <alignment horizontal="center"/>
    </xf>
    <xf numFmtId="168" fontId="87" fillId="0" borderId="8" xfId="1" applyNumberFormat="1" applyFont="1" applyBorder="1" applyAlignment="1">
      <alignment horizontal="center"/>
    </xf>
    <xf numFmtId="168" fontId="87" fillId="0" borderId="13" xfId="13" applyNumberFormat="1" applyFont="1" applyBorder="1" applyAlignment="1" applyProtection="1">
      <alignment horizontal="center"/>
    </xf>
    <xf numFmtId="168" fontId="87" fillId="0" borderId="0" xfId="13" applyNumberFormat="1" applyFont="1" applyAlignment="1" applyProtection="1"/>
    <xf numFmtId="168" fontId="87" fillId="0" borderId="0" xfId="13" applyNumberFormat="1" applyFont="1" applyAlignment="1" applyProtection="1">
      <alignment horizontal="center"/>
    </xf>
    <xf numFmtId="164" fontId="87" fillId="0" borderId="1" xfId="1" applyFont="1" applyBorder="1" applyAlignment="1">
      <alignment horizontal="center"/>
    </xf>
    <xf numFmtId="164" fontId="87" fillId="0" borderId="0" xfId="2" applyFont="1" applyAlignment="1">
      <alignment horizontal="center"/>
    </xf>
    <xf numFmtId="168" fontId="87" fillId="0" borderId="0" xfId="2" applyNumberFormat="1" applyFont="1" applyAlignment="1">
      <alignment horizontal="center"/>
    </xf>
    <xf numFmtId="168" fontId="87" fillId="0" borderId="1" xfId="2" applyNumberFormat="1" applyFont="1" applyBorder="1" applyAlignment="1">
      <alignment horizontal="center"/>
    </xf>
    <xf numFmtId="168" fontId="87" fillId="0" borderId="8" xfId="2" applyNumberFormat="1" applyFont="1" applyBorder="1" applyAlignment="1">
      <alignment horizontal="center"/>
    </xf>
    <xf numFmtId="168" fontId="87" fillId="0" borderId="0" xfId="2" applyNumberFormat="1" applyFont="1" applyBorder="1" applyAlignment="1">
      <alignment horizontal="center"/>
    </xf>
    <xf numFmtId="168" fontId="87" fillId="0" borderId="7" xfId="1" applyNumberFormat="1" applyFont="1" applyBorder="1" applyAlignment="1">
      <alignment horizontal="center"/>
    </xf>
    <xf numFmtId="168" fontId="87" fillId="0" borderId="15" xfId="1" applyNumberFormat="1" applyFont="1" applyBorder="1" applyAlignment="1">
      <alignment horizontal="center"/>
    </xf>
    <xf numFmtId="168" fontId="87" fillId="0" borderId="0" xfId="1" applyNumberFormat="1" applyFont="1" applyBorder="1" applyAlignment="1">
      <alignment horizontal="center"/>
    </xf>
    <xf numFmtId="0" fontId="87" fillId="0" borderId="0" xfId="1" applyNumberFormat="1" applyFont="1" applyBorder="1" applyAlignment="1">
      <alignment horizontal="center"/>
    </xf>
    <xf numFmtId="168" fontId="87" fillId="0" borderId="13" xfId="13" applyNumberFormat="1" applyFont="1" applyBorder="1" applyAlignment="1" applyProtection="1"/>
    <xf numFmtId="9" fontId="87" fillId="0" borderId="0" xfId="17" applyFont="1" applyAlignment="1">
      <alignment horizontal="center"/>
    </xf>
    <xf numFmtId="168" fontId="87" fillId="0" borderId="3" xfId="1" applyNumberFormat="1" applyFont="1" applyBorder="1" applyAlignment="1">
      <alignment horizontal="center"/>
    </xf>
    <xf numFmtId="168" fontId="87" fillId="0" borderId="4" xfId="1" applyNumberFormat="1" applyFont="1" applyBorder="1" applyAlignment="1">
      <alignment horizontal="center"/>
    </xf>
    <xf numFmtId="168" fontId="87" fillId="0" borderId="6" xfId="1" applyNumberFormat="1" applyFont="1" applyBorder="1" applyAlignment="1">
      <alignment horizontal="center"/>
    </xf>
    <xf numFmtId="168" fontId="87" fillId="0" borderId="4" xfId="13" applyNumberFormat="1" applyFont="1" applyBorder="1" applyAlignment="1" applyProtection="1">
      <alignment horizontal="center"/>
    </xf>
    <xf numFmtId="168" fontId="87" fillId="0" borderId="1" xfId="13" applyNumberFormat="1" applyFont="1" applyBorder="1" applyAlignment="1" applyProtection="1"/>
    <xf numFmtId="168" fontId="87" fillId="0" borderId="4" xfId="13" applyNumberFormat="1" applyFont="1" applyBorder="1" applyAlignment="1" applyProtection="1"/>
    <xf numFmtId="168" fontId="87" fillId="0" borderId="9" xfId="1" applyNumberFormat="1" applyFont="1" applyBorder="1" applyAlignment="1">
      <alignment horizontal="center"/>
    </xf>
    <xf numFmtId="168" fontId="87" fillId="0" borderId="11" xfId="1" applyNumberFormat="1" applyFont="1" applyBorder="1" applyAlignment="1">
      <alignment horizontal="center"/>
    </xf>
    <xf numFmtId="168" fontId="87" fillId="0" borderId="12" xfId="1" applyNumberFormat="1" applyFont="1" applyBorder="1" applyAlignment="1">
      <alignment horizontal="center"/>
    </xf>
    <xf numFmtId="168" fontId="87" fillId="0" borderId="11" xfId="13" applyNumberFormat="1" applyFont="1" applyBorder="1" applyAlignment="1" applyProtection="1"/>
    <xf numFmtId="168" fontId="87" fillId="0" borderId="11" xfId="13" applyNumberFormat="1" applyFont="1" applyBorder="1" applyAlignment="1" applyProtection="1">
      <alignment horizontal="center"/>
    </xf>
    <xf numFmtId="0" fontId="87" fillId="0" borderId="13" xfId="0" applyFont="1" applyBorder="1" applyAlignment="1">
      <alignment horizontal="center"/>
    </xf>
    <xf numFmtId="0" fontId="87" fillId="0" borderId="5" xfId="0" applyFont="1" applyBorder="1" applyAlignment="1">
      <alignment horizontal="center"/>
    </xf>
    <xf numFmtId="0" fontId="87" fillId="0" borderId="2" xfId="0" applyFont="1" applyBorder="1" applyAlignment="1">
      <alignment horizontal="center"/>
    </xf>
    <xf numFmtId="0" fontId="87" fillId="0" borderId="2" xfId="0" applyFont="1" applyBorder="1"/>
    <xf numFmtId="0" fontId="87" fillId="0" borderId="5" xfId="0" applyFont="1" applyBorder="1"/>
    <xf numFmtId="168" fontId="89" fillId="0" borderId="0" xfId="1" applyNumberFormat="1" applyFont="1" applyAlignment="1">
      <alignment horizontal="center"/>
    </xf>
    <xf numFmtId="168" fontId="89" fillId="0" borderId="1" xfId="1" applyNumberFormat="1" applyFont="1" applyBorder="1" applyAlignment="1">
      <alignment horizontal="center"/>
    </xf>
    <xf numFmtId="0" fontId="68" fillId="0" borderId="0" xfId="0" applyFont="1"/>
    <xf numFmtId="15" fontId="89" fillId="0" borderId="0" xfId="1" applyNumberFormat="1" applyFont="1" applyAlignment="1">
      <alignment horizontal="center"/>
    </xf>
    <xf numFmtId="168" fontId="89" fillId="0" borderId="2" xfId="1" applyNumberFormat="1" applyFont="1" applyBorder="1" applyAlignment="1">
      <alignment horizontal="center"/>
    </xf>
    <xf numFmtId="168" fontId="89" fillId="0" borderId="7" xfId="1" applyNumberFormat="1" applyFont="1" applyBorder="1" applyAlignment="1">
      <alignment horizontal="center"/>
    </xf>
    <xf numFmtId="168" fontId="89" fillId="0" borderId="3" xfId="1" applyNumberFormat="1" applyFont="1" applyBorder="1" applyAlignment="1">
      <alignment horizontal="center"/>
    </xf>
    <xf numFmtId="168" fontId="89" fillId="0" borderId="13" xfId="1" applyNumberFormat="1" applyFont="1" applyBorder="1" applyAlignment="1">
      <alignment horizontal="center"/>
    </xf>
    <xf numFmtId="168" fontId="89" fillId="0" borderId="4" xfId="1" applyNumberFormat="1" applyFont="1" applyBorder="1" applyAlignment="1">
      <alignment horizontal="center"/>
    </xf>
    <xf numFmtId="168" fontId="89" fillId="0" borderId="5" xfId="1" applyNumberFormat="1" applyFont="1" applyBorder="1" applyAlignment="1">
      <alignment horizontal="center"/>
    </xf>
    <xf numFmtId="168" fontId="89" fillId="0" borderId="6" xfId="1" applyNumberFormat="1" applyFont="1" applyBorder="1" applyAlignment="1">
      <alignment horizontal="center"/>
    </xf>
    <xf numFmtId="168" fontId="90" fillId="0" borderId="0" xfId="1" applyNumberFormat="1" applyFont="1" applyAlignment="1">
      <alignment horizontal="center"/>
    </xf>
    <xf numFmtId="168" fontId="89" fillId="0" borderId="8" xfId="1" applyNumberFormat="1" applyFont="1" applyBorder="1" applyAlignment="1">
      <alignment horizontal="center"/>
    </xf>
    <xf numFmtId="168" fontId="89" fillId="0" borderId="0" xfId="1" applyNumberFormat="1" applyFont="1" applyBorder="1" applyAlignment="1">
      <alignment horizontal="center"/>
    </xf>
    <xf numFmtId="0" fontId="87" fillId="0" borderId="13" xfId="0" applyFont="1" applyBorder="1"/>
    <xf numFmtId="0" fontId="89" fillId="0" borderId="0" xfId="0" applyFont="1"/>
    <xf numFmtId="0" fontId="90" fillId="0" borderId="0" xfId="0" applyFont="1"/>
    <xf numFmtId="0" fontId="90" fillId="0" borderId="1" xfId="0" applyFont="1" applyBorder="1"/>
    <xf numFmtId="0" fontId="90" fillId="0" borderId="7" xfId="0" applyFont="1" applyBorder="1"/>
    <xf numFmtId="0" fontId="89" fillId="0" borderId="0" xfId="0" applyFont="1" applyAlignment="1">
      <alignment horizontal="center"/>
    </xf>
    <xf numFmtId="0" fontId="89" fillId="0" borderId="1" xfId="0" applyFont="1" applyBorder="1" applyAlignment="1">
      <alignment horizontal="center"/>
    </xf>
    <xf numFmtId="0" fontId="89" fillId="0" borderId="7" xfId="0" applyFont="1" applyBorder="1" applyAlignment="1">
      <alignment horizontal="center"/>
    </xf>
    <xf numFmtId="0" fontId="92" fillId="0" borderId="0" xfId="0" applyFont="1"/>
    <xf numFmtId="164" fontId="78" fillId="0" borderId="0" xfId="1" applyFont="1" applyBorder="1" applyAlignment="1">
      <alignment horizontal="center"/>
    </xf>
    <xf numFmtId="0" fontId="79" fillId="0" borderId="0" xfId="13" applyFont="1" applyBorder="1" applyAlignment="1" applyProtection="1"/>
    <xf numFmtId="164" fontId="87" fillId="0" borderId="0" xfId="1" applyFont="1" applyBorder="1" applyAlignment="1">
      <alignment horizontal="center"/>
    </xf>
    <xf numFmtId="168" fontId="90" fillId="0" borderId="0" xfId="1" applyNumberFormat="1" applyFont="1" applyBorder="1" applyAlignment="1">
      <alignment horizontal="center"/>
    </xf>
    <xf numFmtId="164" fontId="79" fillId="0" borderId="0" xfId="1" applyFont="1" applyBorder="1" applyAlignment="1">
      <alignment horizontal="center"/>
    </xf>
    <xf numFmtId="164" fontId="78" fillId="0" borderId="0" xfId="0" applyNumberFormat="1" applyFont="1" applyAlignment="1">
      <alignment horizontal="center"/>
    </xf>
    <xf numFmtId="15" fontId="89" fillId="0" borderId="0" xfId="1" applyNumberFormat="1" applyFont="1" applyBorder="1" applyAlignment="1">
      <alignment horizontal="center"/>
    </xf>
    <xf numFmtId="15" fontId="78" fillId="0" borderId="0" xfId="1" applyNumberFormat="1" applyFont="1" applyBorder="1" applyAlignment="1">
      <alignment horizontal="center"/>
    </xf>
    <xf numFmtId="0" fontId="5" fillId="21" borderId="0" xfId="0" applyFont="1" applyFill="1" applyAlignment="1" applyProtection="1">
      <alignment horizontal="center"/>
      <protection locked="0"/>
    </xf>
    <xf numFmtId="0" fontId="5" fillId="12" borderId="0" xfId="0" applyFont="1" applyFill="1" applyAlignment="1" applyProtection="1">
      <alignment horizontal="center"/>
      <protection locked="0"/>
    </xf>
    <xf numFmtId="15" fontId="78" fillId="0" borderId="0" xfId="0" applyNumberFormat="1" applyFont="1"/>
    <xf numFmtId="0" fontId="72" fillId="0" borderId="0" xfId="27" applyFont="1"/>
    <xf numFmtId="164" fontId="4" fillId="0" borderId="9" xfId="1" applyFont="1" applyBorder="1" applyAlignment="1">
      <alignment horizontal="center"/>
    </xf>
    <xf numFmtId="164" fontId="4" fillId="0" borderId="12" xfId="1" applyFont="1" applyBorder="1" applyAlignment="1">
      <alignment horizontal="center"/>
    </xf>
    <xf numFmtId="164" fontId="4" fillId="0" borderId="1" xfId="24" applyFont="1" applyBorder="1"/>
    <xf numFmtId="168" fontId="4" fillId="0" borderId="1" xfId="24" applyNumberFormat="1" applyFont="1" applyBorder="1" applyAlignment="1">
      <alignment horizontal="center"/>
    </xf>
    <xf numFmtId="164" fontId="4" fillId="0" borderId="1" xfId="24" applyFont="1" applyBorder="1" applyAlignment="1">
      <alignment horizontal="center"/>
    </xf>
    <xf numFmtId="10" fontId="3" fillId="0" borderId="0" xfId="17" applyNumberFormat="1" applyFont="1" applyFill="1"/>
    <xf numFmtId="164" fontId="4" fillId="0" borderId="9" xfId="1" applyFont="1" applyBorder="1" applyAlignment="1"/>
    <xf numFmtId="164" fontId="4" fillId="0" borderId="0" xfId="1" applyFont="1" applyBorder="1" applyAlignment="1"/>
    <xf numFmtId="168" fontId="4" fillId="0" borderId="1" xfId="24" applyNumberFormat="1" applyFont="1" applyBorder="1"/>
    <xf numFmtId="164" fontId="3" fillId="0" borderId="5" xfId="1" applyFont="1" applyBorder="1"/>
    <xf numFmtId="164" fontId="3" fillId="0" borderId="6" xfId="1" applyFont="1" applyBorder="1"/>
    <xf numFmtId="9" fontId="5" fillId="12" borderId="0" xfId="0" applyNumberFormat="1" applyFont="1" applyFill="1" applyAlignment="1" applyProtection="1">
      <alignment horizontal="center"/>
      <protection locked="0"/>
    </xf>
    <xf numFmtId="0" fontId="79" fillId="0" borderId="21" xfId="0" applyFont="1" applyBorder="1" applyAlignment="1">
      <alignment horizontal="center"/>
    </xf>
    <xf numFmtId="0" fontId="79" fillId="0" borderId="0" xfId="0" applyFont="1" applyAlignment="1">
      <alignment horizontal="center"/>
    </xf>
    <xf numFmtId="0" fontId="88" fillId="0" borderId="0" xfId="0" applyFont="1" applyAlignment="1">
      <alignment horizontal="center"/>
    </xf>
    <xf numFmtId="0" fontId="78" fillId="0" borderId="20" xfId="0" applyFont="1" applyBorder="1"/>
    <xf numFmtId="164" fontId="87" fillId="0" borderId="0" xfId="1" applyFont="1" applyAlignment="1"/>
    <xf numFmtId="164" fontId="78" fillId="0" borderId="0" xfId="1" applyFont="1" applyAlignment="1"/>
    <xf numFmtId="168" fontId="78" fillId="0" borderId="0" xfId="1" applyNumberFormat="1" applyFont="1" applyAlignment="1"/>
    <xf numFmtId="164" fontId="87" fillId="0" borderId="18" xfId="1" applyFont="1" applyBorder="1" applyAlignment="1"/>
    <xf numFmtId="164" fontId="78" fillId="0" borderId="19" xfId="1" applyFont="1" applyBorder="1" applyAlignment="1"/>
    <xf numFmtId="164" fontId="78" fillId="0" borderId="21" xfId="1" applyFont="1" applyBorder="1" applyAlignment="1"/>
    <xf numFmtId="164" fontId="87" fillId="0" borderId="23" xfId="1" applyFont="1" applyBorder="1" applyAlignment="1"/>
    <xf numFmtId="164" fontId="78" fillId="0" borderId="24" xfId="1" applyFont="1" applyBorder="1" applyAlignment="1"/>
    <xf numFmtId="0" fontId="78" fillId="0" borderId="0" xfId="0" quotePrefix="1" applyFont="1"/>
    <xf numFmtId="164" fontId="87" fillId="0" borderId="1" xfId="2" applyFont="1" applyBorder="1" applyAlignment="1"/>
    <xf numFmtId="164" fontId="78" fillId="0" borderId="1" xfId="2" applyFont="1" applyBorder="1" applyAlignment="1"/>
    <xf numFmtId="164" fontId="87" fillId="0" borderId="1" xfId="1" applyFont="1" applyBorder="1" applyAlignment="1"/>
    <xf numFmtId="164" fontId="78" fillId="0" borderId="1" xfId="1" applyFont="1" applyBorder="1" applyAlignment="1"/>
    <xf numFmtId="164" fontId="87" fillId="0" borderId="0" xfId="1" quotePrefix="1" applyFont="1" applyAlignment="1"/>
    <xf numFmtId="164" fontId="87" fillId="0" borderId="0" xfId="1" applyFont="1" applyBorder="1" applyAlignment="1"/>
    <xf numFmtId="164" fontId="78" fillId="0" borderId="0" xfId="1" applyFont="1" applyBorder="1" applyAlignment="1"/>
    <xf numFmtId="168" fontId="87" fillId="0" borderId="0" xfId="1" applyNumberFormat="1" applyFont="1" applyAlignment="1"/>
    <xf numFmtId="164" fontId="87" fillId="0" borderId="0" xfId="2" applyFont="1" applyAlignment="1"/>
    <xf numFmtId="164" fontId="78" fillId="0" borderId="0" xfId="2" applyFont="1" applyAlignment="1"/>
    <xf numFmtId="168" fontId="87" fillId="0" borderId="8" xfId="1" applyNumberFormat="1" applyFont="1" applyBorder="1" applyAlignment="1"/>
    <xf numFmtId="168" fontId="87" fillId="0" borderId="0" xfId="1" applyNumberFormat="1" applyFont="1" applyBorder="1" applyAlignment="1"/>
    <xf numFmtId="168" fontId="87" fillId="0" borderId="1" xfId="1" applyNumberFormat="1" applyFont="1" applyBorder="1" applyAlignment="1"/>
    <xf numFmtId="9" fontId="78" fillId="0" borderId="0" xfId="17" applyFont="1" applyAlignment="1"/>
    <xf numFmtId="164" fontId="87" fillId="0" borderId="7" xfId="1" applyFont="1" applyBorder="1" applyAlignment="1"/>
    <xf numFmtId="164" fontId="78" fillId="0" borderId="7" xfId="1" applyFont="1" applyBorder="1" applyAlignment="1"/>
    <xf numFmtId="168" fontId="78" fillId="0" borderId="8" xfId="1" applyNumberFormat="1" applyFont="1" applyBorder="1" applyAlignment="1"/>
    <xf numFmtId="164" fontId="78" fillId="0" borderId="8" xfId="1" applyFont="1" applyBorder="1" applyAlignment="1"/>
    <xf numFmtId="168" fontId="78" fillId="0" borderId="1" xfId="1" applyNumberFormat="1" applyFont="1" applyBorder="1" applyAlignment="1"/>
    <xf numFmtId="168" fontId="78" fillId="0" borderId="0" xfId="1" applyNumberFormat="1" applyFont="1" applyBorder="1" applyAlignment="1"/>
    <xf numFmtId="168" fontId="87" fillId="0" borderId="7" xfId="1" applyNumberFormat="1" applyFont="1" applyBorder="1" applyAlignment="1"/>
    <xf numFmtId="168" fontId="78" fillId="0" borderId="7" xfId="1" applyNumberFormat="1" applyFont="1" applyBorder="1" applyAlignment="1"/>
    <xf numFmtId="0" fontId="93" fillId="0" borderId="0" xfId="0" applyFont="1"/>
    <xf numFmtId="15" fontId="89" fillId="0" borderId="0" xfId="1" applyNumberFormat="1" applyFont="1" applyAlignment="1"/>
    <xf numFmtId="15" fontId="78" fillId="0" borderId="0" xfId="1" applyNumberFormat="1" applyFont="1" applyAlignment="1"/>
    <xf numFmtId="0" fontId="89" fillId="0" borderId="1" xfId="0" applyFont="1" applyBorder="1"/>
    <xf numFmtId="0" fontId="89" fillId="0" borderId="7" xfId="0" applyFont="1" applyBorder="1"/>
    <xf numFmtId="168" fontId="80" fillId="0" borderId="0" xfId="0" applyNumberFormat="1" applyFont="1"/>
    <xf numFmtId="0" fontId="91" fillId="0" borderId="0" xfId="0" applyFont="1"/>
    <xf numFmtId="43" fontId="78" fillId="0" borderId="0" xfId="0" applyNumberFormat="1" applyFont="1"/>
    <xf numFmtId="9" fontId="87" fillId="0" borderId="0" xfId="17" applyFont="1" applyAlignment="1"/>
    <xf numFmtId="164" fontId="68" fillId="0" borderId="0" xfId="1" applyFont="1" applyAlignment="1"/>
    <xf numFmtId="164" fontId="68" fillId="0" borderId="1" xfId="1" applyFont="1" applyBorder="1" applyAlignment="1"/>
    <xf numFmtId="164" fontId="68" fillId="0" borderId="8" xfId="1" applyFont="1" applyBorder="1" applyAlignment="1"/>
    <xf numFmtId="164" fontId="87" fillId="0" borderId="16" xfId="1" applyFont="1" applyBorder="1" applyAlignment="1"/>
    <xf numFmtId="164" fontId="87" fillId="0" borderId="8" xfId="1" applyFont="1" applyBorder="1" applyAlignment="1"/>
    <xf numFmtId="174" fontId="87" fillId="0" borderId="0" xfId="1" applyNumberFormat="1" applyFont="1" applyAlignment="1"/>
    <xf numFmtId="164" fontId="87" fillId="0" borderId="0" xfId="2" applyFont="1" applyBorder="1" applyAlignment="1"/>
    <xf numFmtId="164" fontId="78" fillId="0" borderId="0" xfId="2" applyFont="1" applyBorder="1" applyAlignment="1"/>
    <xf numFmtId="0" fontId="80" fillId="0" borderId="4" xfId="0" applyFont="1" applyBorder="1"/>
    <xf numFmtId="15" fontId="89" fillId="0" borderId="0" xfId="1" applyNumberFormat="1" applyFont="1" applyBorder="1" applyAlignment="1"/>
    <xf numFmtId="15" fontId="78" fillId="0" borderId="0" xfId="1" applyNumberFormat="1" applyFont="1" applyBorder="1" applyAlignment="1"/>
    <xf numFmtId="168" fontId="87" fillId="0" borderId="9" xfId="1" applyNumberFormat="1" applyFont="1" applyBorder="1" applyAlignment="1"/>
    <xf numFmtId="168" fontId="87" fillId="0" borderId="11" xfId="1" applyNumberFormat="1" applyFont="1" applyBorder="1" applyAlignment="1"/>
    <xf numFmtId="168" fontId="87" fillId="0" borderId="12" xfId="1" applyNumberFormat="1" applyFont="1" applyBorder="1" applyAlignment="1"/>
    <xf numFmtId="168" fontId="87" fillId="0" borderId="2" xfId="13" applyNumberFormat="1" applyFont="1" applyBorder="1" applyAlignment="1" applyProtection="1">
      <alignment horizontal="center"/>
    </xf>
    <xf numFmtId="168" fontId="78" fillId="0" borderId="7" xfId="13" applyNumberFormat="1" applyFont="1" applyBorder="1" applyAlignment="1" applyProtection="1">
      <alignment horizontal="center"/>
    </xf>
    <xf numFmtId="168" fontId="87" fillId="0" borderId="3" xfId="13" applyNumberFormat="1" applyFont="1" applyBorder="1" applyAlignment="1" applyProtection="1">
      <alignment horizontal="center"/>
    </xf>
    <xf numFmtId="168" fontId="78" fillId="0" borderId="0" xfId="13" applyNumberFormat="1" applyFont="1" applyBorder="1" applyAlignment="1" applyProtection="1">
      <alignment horizontal="center"/>
    </xf>
    <xf numFmtId="168" fontId="87" fillId="0" borderId="5" xfId="13" applyNumberFormat="1" applyFont="1" applyBorder="1" applyAlignment="1" applyProtection="1">
      <alignment horizontal="center"/>
    </xf>
    <xf numFmtId="168" fontId="78" fillId="0" borderId="1" xfId="13" applyNumberFormat="1" applyFont="1" applyBorder="1" applyAlignment="1" applyProtection="1">
      <alignment horizontal="center"/>
    </xf>
    <xf numFmtId="168" fontId="87" fillId="0" borderId="6" xfId="13" applyNumberFormat="1" applyFont="1" applyBorder="1" applyAlignment="1" applyProtection="1">
      <alignment horizontal="center"/>
    </xf>
    <xf numFmtId="168" fontId="87" fillId="0" borderId="0" xfId="13" applyNumberFormat="1" applyFont="1" applyBorder="1" applyAlignment="1" applyProtection="1">
      <alignment horizontal="center"/>
    </xf>
    <xf numFmtId="168" fontId="87" fillId="0" borderId="9" xfId="13" applyNumberFormat="1" applyFont="1" applyBorder="1" applyAlignment="1" applyProtection="1">
      <alignment horizontal="center"/>
    </xf>
    <xf numFmtId="168" fontId="87" fillId="0" borderId="12" xfId="13" applyNumberFormat="1" applyFont="1" applyBorder="1" applyAlignment="1" applyProtection="1">
      <alignment horizontal="center"/>
    </xf>
    <xf numFmtId="168" fontId="5" fillId="0" borderId="10" xfId="0" applyNumberFormat="1" applyFont="1" applyBorder="1"/>
    <xf numFmtId="0" fontId="80" fillId="0" borderId="1" xfId="0" applyFont="1" applyBorder="1"/>
    <xf numFmtId="0" fontId="80" fillId="0" borderId="7" xfId="0" applyFont="1" applyBorder="1"/>
    <xf numFmtId="0" fontId="5" fillId="16" borderId="0" xfId="0" applyFont="1" applyFill="1" applyAlignment="1">
      <alignment horizontal="center"/>
    </xf>
    <xf numFmtId="164" fontId="5" fillId="16" borderId="0" xfId="1" applyFont="1" applyFill="1" applyAlignment="1">
      <alignment horizontal="center"/>
    </xf>
    <xf numFmtId="9" fontId="87" fillId="0" borderId="0" xfId="17" applyFont="1" applyBorder="1" applyAlignment="1">
      <alignment horizontal="center"/>
    </xf>
    <xf numFmtId="0" fontId="78" fillId="0" borderId="0" xfId="0" applyFont="1" applyAlignment="1">
      <alignment horizontal="center"/>
    </xf>
    <xf numFmtId="0" fontId="69" fillId="0" borderId="0" xfId="0" applyFont="1" applyAlignment="1">
      <alignment horizontal="center"/>
    </xf>
    <xf numFmtId="0" fontId="79" fillId="0" borderId="0" xfId="0" applyFont="1" applyAlignment="1">
      <alignment horizontal="center"/>
    </xf>
    <xf numFmtId="0" fontId="79" fillId="0" borderId="20" xfId="0" applyFont="1" applyBorder="1" applyAlignment="1">
      <alignment horizontal="center"/>
    </xf>
    <xf numFmtId="0" fontId="79" fillId="0" borderId="21" xfId="0" applyFont="1" applyBorder="1" applyAlignment="1">
      <alignment horizontal="center"/>
    </xf>
    <xf numFmtId="168" fontId="78" fillId="0" borderId="1" xfId="1" applyNumberFormat="1" applyFont="1" applyBorder="1" applyAlignment="1">
      <alignment horizontal="center"/>
    </xf>
    <xf numFmtId="168" fontId="78" fillId="0" borderId="0" xfId="1" applyNumberFormat="1" applyFont="1" applyBorder="1" applyAlignment="1">
      <alignment horizontal="center"/>
    </xf>
    <xf numFmtId="0" fontId="55" fillId="12" borderId="0" xfId="0" applyFont="1" applyFill="1" applyAlignment="1">
      <alignment horizontal="center"/>
    </xf>
    <xf numFmtId="164" fontId="78" fillId="0" borderId="0" xfId="1" applyFont="1" applyBorder="1" applyAlignment="1">
      <alignment horizontal="center"/>
    </xf>
    <xf numFmtId="164" fontId="78" fillId="0" borderId="1" xfId="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xf numFmtId="0" fontId="6" fillId="0" borderId="0" xfId="0" applyFont="1" applyAlignment="1">
      <alignment horizontal="center"/>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19050</xdr:rowOff>
    </xdr:from>
    <xdr:to>
      <xdr:col>3</xdr:col>
      <xdr:colOff>9525</xdr:colOff>
      <xdr:row>18</xdr:row>
      <xdr:rowOff>161157</xdr:rowOff>
    </xdr:to>
    <xdr:pic>
      <xdr:nvPicPr>
        <xdr:cNvPr id="4" name="Picture 3">
          <a:extLst>
            <a:ext uri="{FF2B5EF4-FFF2-40B4-BE49-F238E27FC236}">
              <a16:creationId xmlns:a16="http://schemas.microsoft.com/office/drawing/2014/main" id="{FFFCC214-EB20-4D88-8E6E-9E9D878B2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2428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393</xdr:row>
      <xdr:rowOff>0</xdr:rowOff>
    </xdr:from>
    <xdr:to>
      <xdr:col>3</xdr:col>
      <xdr:colOff>104775</xdr:colOff>
      <xdr:row>393</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393</xdr:row>
      <xdr:rowOff>0</xdr:rowOff>
    </xdr:from>
    <xdr:to>
      <xdr:col>10</xdr:col>
      <xdr:colOff>876300</xdr:colOff>
      <xdr:row>393</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3" name="Picture 2" descr="SARS Online">
          <a:extLst>
            <a:ext uri="{FF2B5EF4-FFF2-40B4-BE49-F238E27FC236}">
              <a16:creationId xmlns:a16="http://schemas.microsoft.com/office/drawing/2014/main" id="{DEE817D0-F07E-4E3C-998C-942DA9311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619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392</xdr:row>
      <xdr:rowOff>0</xdr:rowOff>
    </xdr:from>
    <xdr:to>
      <xdr:col>3</xdr:col>
      <xdr:colOff>104775</xdr:colOff>
      <xdr:row>392</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392</xdr:row>
      <xdr:rowOff>0</xdr:rowOff>
    </xdr:from>
    <xdr:to>
      <xdr:col>10</xdr:col>
      <xdr:colOff>876300</xdr:colOff>
      <xdr:row>392</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ocuments\AFSEasy\Financials\Master%20CC.xlsx" TargetMode="External"/><Relationship Id="rId1" Type="http://schemas.openxmlformats.org/officeDocument/2006/relationships/externalLinkPath" Target="Master%20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3000/070Members' remuneration----------------</v>
          </cell>
        </row>
        <row r="104">
          <cell r="P104" t="str">
            <v>3000/071A Member</v>
          </cell>
        </row>
        <row r="105">
          <cell r="P105" t="str">
            <v>3000/072B Member</v>
          </cell>
        </row>
        <row r="106">
          <cell r="P106" t="str">
            <v>3000/0730</v>
          </cell>
        </row>
        <row r="107">
          <cell r="P107" t="str">
            <v>3000/0740</v>
          </cell>
        </row>
        <row r="108">
          <cell r="P108" t="str">
            <v>3000/075</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5105/000MEMBERS' CONTRIBUTIONS</v>
          </cell>
        </row>
        <row r="159">
          <cell r="P159" t="str">
            <v>5105/001A Member</v>
          </cell>
        </row>
        <row r="160">
          <cell r="P160" t="str">
            <v>5105/002B Member</v>
          </cell>
        </row>
        <row r="161">
          <cell r="P161" t="str">
            <v>5105/0030</v>
          </cell>
        </row>
        <row r="162">
          <cell r="P162" t="str">
            <v>5105/0040</v>
          </cell>
        </row>
        <row r="163">
          <cell r="P163" t="str">
            <v>5120/000VALUATION RESERVE</v>
          </cell>
        </row>
        <row r="164">
          <cell r="P164" t="str">
            <v>5120/001Valuation reserve - balance b/fwd</v>
          </cell>
        </row>
        <row r="165">
          <cell r="P165" t="str">
            <v>5120/002Valuation reserve - additions</v>
          </cell>
        </row>
        <row r="166">
          <cell r="P166" t="str">
            <v>5120/003Valuation reserve - transfer</v>
          </cell>
        </row>
        <row r="167">
          <cell r="P167" t="str">
            <v>5130/000OTHER RESERVES</v>
          </cell>
        </row>
        <row r="168">
          <cell r="P168" t="str">
            <v>5130/001Other reserves - balance B/fwd</v>
          </cell>
        </row>
        <row r="169">
          <cell r="P169" t="str">
            <v>5130/002Other reserves - additions</v>
          </cell>
        </row>
        <row r="170">
          <cell r="P170" t="str">
            <v>5130/003Other reserves - transfer</v>
          </cell>
        </row>
        <row r="171">
          <cell r="P171" t="str">
            <v>5200/000(Retained income) / Accumulated loss</v>
          </cell>
        </row>
        <row r="172">
          <cell r="P172" t="str">
            <v>5420/000MEMBERS' LOANS</v>
          </cell>
        </row>
        <row r="173">
          <cell r="P173" t="str">
            <v>5420/010A Member - balance b/fwd</v>
          </cell>
        </row>
        <row r="174">
          <cell r="P174" t="str">
            <v>5420/011A Member - (Advance from)/Repayment to in year</v>
          </cell>
        </row>
        <row r="175">
          <cell r="P175" t="str">
            <v>5420/020B Member - balance b/fwd</v>
          </cell>
        </row>
        <row r="176">
          <cell r="P176" t="str">
            <v>5420/021B Member - (Advance from)/Repayment to in year</v>
          </cell>
        </row>
        <row r="177">
          <cell r="P177" t="str">
            <v>5420/030 - balance b/fwd</v>
          </cell>
        </row>
        <row r="178">
          <cell r="P178" t="str">
            <v>5420/031 - (Advance from)/Repayment to in year</v>
          </cell>
        </row>
        <row r="179">
          <cell r="P179" t="str">
            <v>5420/040 - balance b/fwd</v>
          </cell>
        </row>
        <row r="180">
          <cell r="P180" t="str">
            <v>5420/041 - (Advance from)/Repayment to in year</v>
          </cell>
        </row>
        <row r="181">
          <cell r="P181" t="str">
            <v>5500/000LONG TERM  INTEREST LIABILITIES</v>
          </cell>
        </row>
        <row r="182">
          <cell r="P182" t="str">
            <v>5500/001</v>
          </cell>
        </row>
        <row r="183">
          <cell r="P183" t="str">
            <v>5500/002</v>
          </cell>
        </row>
        <row r="184">
          <cell r="P184" t="str">
            <v>5500/003</v>
          </cell>
        </row>
        <row r="185">
          <cell r="P185" t="str">
            <v>5500/004</v>
          </cell>
        </row>
        <row r="186">
          <cell r="P186" t="str">
            <v>5500/005</v>
          </cell>
        </row>
        <row r="187">
          <cell r="P187" t="str">
            <v>5500/006</v>
          </cell>
        </row>
        <row r="188">
          <cell r="P188" t="str">
            <v>5500/007</v>
          </cell>
        </row>
        <row r="189">
          <cell r="P189" t="str">
            <v>5500/008</v>
          </cell>
        </row>
        <row r="190">
          <cell r="P190" t="str">
            <v>5500/009</v>
          </cell>
        </row>
        <row r="191">
          <cell r="P191" t="str">
            <v>5500/010</v>
          </cell>
        </row>
        <row r="192">
          <cell r="P192" t="str">
            <v>5500/011</v>
          </cell>
        </row>
        <row r="193">
          <cell r="P193" t="str">
            <v>5500/012</v>
          </cell>
        </row>
        <row r="194">
          <cell r="P194" t="str">
            <v>5500/013</v>
          </cell>
        </row>
        <row r="195">
          <cell r="P195" t="str">
            <v>5500/014</v>
          </cell>
        </row>
        <row r="196">
          <cell r="P196" t="str">
            <v>5500/015</v>
          </cell>
        </row>
        <row r="197">
          <cell r="P197" t="str">
            <v>5520/000Short term portion of long term loans</v>
          </cell>
        </row>
        <row r="198">
          <cell r="P198" t="str">
            <v>5550/000LONG TERM INTEREST FREE LOANS</v>
          </cell>
        </row>
        <row r="199">
          <cell r="P199" t="str">
            <v>5550/001</v>
          </cell>
        </row>
        <row r="200">
          <cell r="P200" t="str">
            <v>5550/002</v>
          </cell>
        </row>
        <row r="201">
          <cell r="P201" t="str">
            <v>5550/003</v>
          </cell>
        </row>
        <row r="202">
          <cell r="P202" t="str">
            <v>5550/004</v>
          </cell>
        </row>
        <row r="203">
          <cell r="P203" t="str">
            <v>5550/005</v>
          </cell>
        </row>
        <row r="204">
          <cell r="P204" t="str">
            <v>5550/006</v>
          </cell>
        </row>
        <row r="205">
          <cell r="P205" t="str">
            <v>5550/007</v>
          </cell>
        </row>
        <row r="206">
          <cell r="P206" t="str">
            <v>5550/008</v>
          </cell>
        </row>
        <row r="207">
          <cell r="P207" t="str">
            <v>5550/009</v>
          </cell>
        </row>
        <row r="208">
          <cell r="P208" t="str">
            <v>5550/010</v>
          </cell>
        </row>
        <row r="209">
          <cell r="P209" t="str">
            <v>5550/011</v>
          </cell>
        </row>
        <row r="210">
          <cell r="P210" t="str">
            <v>5550/012</v>
          </cell>
        </row>
        <row r="211">
          <cell r="P211" t="str">
            <v>5550/013</v>
          </cell>
        </row>
        <row r="212">
          <cell r="P212" t="str">
            <v>5550/014</v>
          </cell>
        </row>
        <row r="213">
          <cell r="P213" t="str">
            <v>5550/015</v>
          </cell>
        </row>
        <row r="214">
          <cell r="P214" t="str">
            <v>5550/016</v>
          </cell>
        </row>
        <row r="215">
          <cell r="P215" t="str">
            <v>5550/017</v>
          </cell>
        </row>
        <row r="216">
          <cell r="P216" t="str">
            <v>5700/000DEFERRED TAX</v>
          </cell>
        </row>
        <row r="217">
          <cell r="P217" t="str">
            <v>5700/010Deferred tax balance  depreciation b/fwd</v>
          </cell>
        </row>
        <row r="218">
          <cell r="P218" t="str">
            <v>5700/020Deferred tax balance  tax loss b/fwd</v>
          </cell>
        </row>
        <row r="219">
          <cell r="P219" t="str">
            <v>5700/030Deferred tax on depreciation for year</v>
          </cell>
        </row>
        <row r="220">
          <cell r="P220" t="str">
            <v>5700/040Deferred tax on tax loss for year</v>
          </cell>
        </row>
        <row r="221">
          <cell r="P221" t="str">
            <v>5700/050Def tax adj  depreciation previous year</v>
          </cell>
        </row>
        <row r="222">
          <cell r="P222" t="str">
            <v>5700/060Def tax adj tax loss previous year</v>
          </cell>
        </row>
        <row r="223">
          <cell r="P223" t="str">
            <v>6100/000LAND AND BUILDINGS - COST</v>
          </cell>
        </row>
        <row r="224">
          <cell r="P224" t="str">
            <v>6100/001Land and buildings - cost b/fwd</v>
          </cell>
        </row>
        <row r="225">
          <cell r="P225" t="str">
            <v>6100/002Land and buildings - additions</v>
          </cell>
        </row>
        <row r="226">
          <cell r="P226" t="str">
            <v>6100/003Land and buildings - cost of sales</v>
          </cell>
        </row>
        <row r="227">
          <cell r="P227" t="str">
            <v>6100/020LAND AND BUILDINGS - ACC DEPR</v>
          </cell>
        </row>
        <row r="228">
          <cell r="P228" t="str">
            <v>6100/021Land and buildings - acc depr b/fwd</v>
          </cell>
        </row>
        <row r="229">
          <cell r="P229" t="str">
            <v>6100/022Land and buildings - depr this year</v>
          </cell>
        </row>
        <row r="230">
          <cell r="P230" t="str">
            <v>6100/023Land and buildings - acc depr on sales</v>
          </cell>
        </row>
        <row r="231">
          <cell r="P231" t="str">
            <v>6100/030LAND AND BUILDINGS - VALUATION</v>
          </cell>
        </row>
        <row r="232">
          <cell r="P232" t="str">
            <v>6100/031Land and buildings - valuation b/fwd</v>
          </cell>
        </row>
        <row r="233">
          <cell r="P233" t="str">
            <v>6100/032Land and buildings - valuation additions</v>
          </cell>
        </row>
        <row r="234">
          <cell r="P234" t="str">
            <v>6100/033Land and buildings - valuation reduction</v>
          </cell>
        </row>
        <row r="235">
          <cell r="P235" t="str">
            <v>6150/000PLANT AND MACHINERY - COST</v>
          </cell>
        </row>
        <row r="236">
          <cell r="P236" t="str">
            <v>6150/001Plant and machinery - cost b/fwd</v>
          </cell>
        </row>
        <row r="237">
          <cell r="P237" t="str">
            <v>6150/002Plant and machinery - additions</v>
          </cell>
        </row>
        <row r="238">
          <cell r="P238" t="str">
            <v>6150/003Plant and machinery - cost of sales</v>
          </cell>
        </row>
        <row r="239">
          <cell r="P239" t="str">
            <v>6150/020PLANT AND MACHINERY - ACC DEPR</v>
          </cell>
        </row>
        <row r="240">
          <cell r="P240" t="str">
            <v>6150/021Plant and machinery - acc depr b/fwd</v>
          </cell>
        </row>
        <row r="241">
          <cell r="P241" t="str">
            <v>6150/022Plant and machinery - depr this year</v>
          </cell>
        </row>
        <row r="242">
          <cell r="P242" t="str">
            <v>6150/023Plant and machinery - acc depr on sales</v>
          </cell>
        </row>
        <row r="243">
          <cell r="P243" t="str">
            <v>6200/000MOTOR VEHICLES - COST</v>
          </cell>
        </row>
        <row r="244">
          <cell r="P244" t="str">
            <v>6200/001Motor vehicles - cost b/fwd</v>
          </cell>
        </row>
        <row r="245">
          <cell r="P245" t="str">
            <v>6200/002Motor vehicles - additions</v>
          </cell>
        </row>
        <row r="246">
          <cell r="P246" t="str">
            <v>6200/003Motor vehicles - cost of sales</v>
          </cell>
        </row>
        <row r="247">
          <cell r="P247" t="str">
            <v>6200/020MOTOR VEHICLES - ACC DEPR</v>
          </cell>
        </row>
        <row r="248">
          <cell r="P248" t="str">
            <v>6200/021Motor vehicles - acc depr b/fwd</v>
          </cell>
        </row>
        <row r="249">
          <cell r="P249" t="str">
            <v>6200/022Motor vehicles - depr this year</v>
          </cell>
        </row>
        <row r="250">
          <cell r="P250" t="str">
            <v>6200/023Motor vehicles - acc depr on sales</v>
          </cell>
        </row>
        <row r="251">
          <cell r="P251" t="str">
            <v>6250/000ELECTRONIC EQUIPMENT - COST</v>
          </cell>
        </row>
        <row r="252">
          <cell r="P252" t="str">
            <v>6250/001Electronic equipment - cost b/fwd</v>
          </cell>
        </row>
        <row r="253">
          <cell r="P253" t="str">
            <v>6250/002Electronic equipment - additions</v>
          </cell>
        </row>
        <row r="254">
          <cell r="P254" t="str">
            <v>6250/003Electronic equipment - cost of sales</v>
          </cell>
        </row>
        <row r="255">
          <cell r="P255" t="str">
            <v>6250/020ELECTRONIC EQUIPMENT - ACC DEPR</v>
          </cell>
        </row>
        <row r="256">
          <cell r="P256" t="str">
            <v>6250/021Electronic equipment - acc depr b/fwd</v>
          </cell>
        </row>
        <row r="257">
          <cell r="P257" t="str">
            <v>6250/022Electronic equipment - depr this year</v>
          </cell>
        </row>
        <row r="258">
          <cell r="P258" t="str">
            <v>6250/023Electronic equipment - acc depr on sales</v>
          </cell>
        </row>
        <row r="259">
          <cell r="P259" t="str">
            <v>6350/000FURNITURE AND FITTINGS - COST</v>
          </cell>
        </row>
        <row r="260">
          <cell r="P260" t="str">
            <v>6350/001Furniture and fittings - cost b/fwd</v>
          </cell>
        </row>
        <row r="261">
          <cell r="P261" t="str">
            <v>6350/002Furniture and fittings - additions</v>
          </cell>
        </row>
        <row r="262">
          <cell r="P262" t="str">
            <v>6350/003Furniture and fittings - cost of sales</v>
          </cell>
        </row>
        <row r="263">
          <cell r="P263" t="str">
            <v>6350/020FURNITURE AND FITTINGS - ACC DEPR</v>
          </cell>
        </row>
        <row r="264">
          <cell r="P264" t="str">
            <v>6350/021Furniture and fittings - acc depr b/fwd</v>
          </cell>
        </row>
        <row r="265">
          <cell r="P265" t="str">
            <v>6350/022Furniture and fittings - depr this year</v>
          </cell>
        </row>
        <row r="266">
          <cell r="P266" t="str">
            <v>6350/023Furniture and fittings - acc depr on sales</v>
          </cell>
        </row>
        <row r="267">
          <cell r="P267" t="str">
            <v>7000/000GOODWILL/INTANGIBLE ASSETS</v>
          </cell>
        </row>
        <row r="268">
          <cell r="P268" t="str">
            <v>7000/010Goodwill cost</v>
          </cell>
        </row>
        <row r="269">
          <cell r="P269" t="str">
            <v>7000/011Prepaid lease agreement - cost</v>
          </cell>
        </row>
        <row r="270">
          <cell r="P270" t="str">
            <v>7000/015PLA - surplus on revaluation</v>
          </cell>
        </row>
        <row r="271">
          <cell r="P271" t="str">
            <v>7000/020PLA - write down this year</v>
          </cell>
        </row>
        <row r="272">
          <cell r="P272" t="str">
            <v>7000/025PLA - write down previous years</v>
          </cell>
        </row>
        <row r="273">
          <cell r="P273" t="str">
            <v>7100/000INVESTMENTS</v>
          </cell>
        </row>
        <row r="274">
          <cell r="P274" t="str">
            <v>7100/100LISTED INVESTMENTS</v>
          </cell>
        </row>
        <row r="275">
          <cell r="P275" t="str">
            <v>7100/101</v>
          </cell>
        </row>
        <row r="276">
          <cell r="P276" t="str">
            <v>7100/102</v>
          </cell>
        </row>
        <row r="277">
          <cell r="P277" t="str">
            <v>7100/103</v>
          </cell>
        </row>
        <row r="278">
          <cell r="P278" t="str">
            <v>7100/104</v>
          </cell>
        </row>
        <row r="279">
          <cell r="P279" t="str">
            <v>7100/105</v>
          </cell>
        </row>
        <row r="280">
          <cell r="P280" t="str">
            <v>7100/200OTHER INVESTMENTS</v>
          </cell>
        </row>
        <row r="281">
          <cell r="P281" t="str">
            <v>7100/201</v>
          </cell>
        </row>
        <row r="282">
          <cell r="P282" t="str">
            <v>7100/202</v>
          </cell>
        </row>
        <row r="283">
          <cell r="P283" t="str">
            <v>7100/203</v>
          </cell>
        </row>
        <row r="284">
          <cell r="P284" t="str">
            <v>7100/204</v>
          </cell>
        </row>
        <row r="285">
          <cell r="P285" t="str">
            <v>7100/205</v>
          </cell>
        </row>
        <row r="286">
          <cell r="P286" t="str">
            <v>7450/000CONNECTED ENTITIES LOANS</v>
          </cell>
        </row>
        <row r="287">
          <cell r="P287" t="str">
            <v>7450/000Interest bearing</v>
          </cell>
        </row>
        <row r="288">
          <cell r="P288" t="str">
            <v>7450/001</v>
          </cell>
        </row>
        <row r="289">
          <cell r="P289" t="str">
            <v>7450/002</v>
          </cell>
        </row>
        <row r="290">
          <cell r="P290" t="str">
            <v>7450/003</v>
          </cell>
        </row>
        <row r="291">
          <cell r="P291" t="str">
            <v>7450/004</v>
          </cell>
        </row>
        <row r="292">
          <cell r="P292" t="str">
            <v>7450/005</v>
          </cell>
        </row>
        <row r="293">
          <cell r="P293" t="str">
            <v>7450/006</v>
          </cell>
        </row>
        <row r="294">
          <cell r="P294" t="str">
            <v>7450/007</v>
          </cell>
        </row>
        <row r="295">
          <cell r="P295" t="str">
            <v>7450/008</v>
          </cell>
        </row>
        <row r="296">
          <cell r="P296" t="str">
            <v>7450/009</v>
          </cell>
        </row>
        <row r="297">
          <cell r="P297" t="str">
            <v>7450/010</v>
          </cell>
        </row>
        <row r="298">
          <cell r="P298" t="str">
            <v>7455/000Interest free</v>
          </cell>
        </row>
        <row r="299">
          <cell r="P299" t="str">
            <v>7455/001</v>
          </cell>
        </row>
        <row r="300">
          <cell r="P300" t="str">
            <v>7455/002</v>
          </cell>
        </row>
        <row r="301">
          <cell r="P301" t="str">
            <v>7455/003</v>
          </cell>
        </row>
        <row r="302">
          <cell r="P302" t="str">
            <v>7455/004</v>
          </cell>
        </row>
        <row r="303">
          <cell r="P303" t="str">
            <v>7455/005</v>
          </cell>
        </row>
        <row r="304">
          <cell r="P304" t="str">
            <v>7455/006</v>
          </cell>
        </row>
        <row r="305">
          <cell r="P305" t="str">
            <v>7455/007</v>
          </cell>
        </row>
        <row r="306">
          <cell r="P306" t="str">
            <v>7455/008</v>
          </cell>
        </row>
        <row r="307">
          <cell r="P307" t="str">
            <v>7455/009</v>
          </cell>
        </row>
        <row r="308">
          <cell r="P308" t="str">
            <v>7455/010</v>
          </cell>
        </row>
        <row r="309">
          <cell r="P309" t="str">
            <v>7460/000OTHER NON - CURRENT RECEIVABLES</v>
          </cell>
        </row>
        <row r="310">
          <cell r="P310" t="str">
            <v>7460/000Interest bearing</v>
          </cell>
        </row>
        <row r="311">
          <cell r="P311" t="str">
            <v>7460/001</v>
          </cell>
        </row>
        <row r="312">
          <cell r="P312" t="str">
            <v>7460/002</v>
          </cell>
        </row>
        <row r="313">
          <cell r="P313" t="str">
            <v>7460/003</v>
          </cell>
        </row>
        <row r="314">
          <cell r="P314" t="str">
            <v>7460/004</v>
          </cell>
        </row>
        <row r="315">
          <cell r="P315" t="str">
            <v>7460/000Interest free</v>
          </cell>
        </row>
        <row r="316">
          <cell r="P316" t="str">
            <v>7460/004</v>
          </cell>
        </row>
        <row r="317">
          <cell r="P317" t="str">
            <v>7460/005</v>
          </cell>
        </row>
        <row r="318">
          <cell r="P318" t="str">
            <v>7460/006</v>
          </cell>
        </row>
        <row r="319">
          <cell r="P319" t="str">
            <v>7460/007</v>
          </cell>
        </row>
        <row r="320">
          <cell r="P320" t="str">
            <v>7460/008</v>
          </cell>
        </row>
        <row r="321">
          <cell r="P321" t="str">
            <v>7500/000INVENTORY</v>
          </cell>
        </row>
        <row r="322">
          <cell r="P322" t="str">
            <v>7500/001Raw materials</v>
          </cell>
        </row>
        <row r="323">
          <cell r="P323" t="str">
            <v>7500/002Work in progress</v>
          </cell>
        </row>
        <row r="324">
          <cell r="P324" t="str">
            <v>7500/003Finished goods</v>
          </cell>
        </row>
        <row r="325">
          <cell r="P325" t="str">
            <v>7500/004Trading stock</v>
          </cell>
        </row>
        <row r="326">
          <cell r="P326" t="str">
            <v>8000/000DEBTORS</v>
          </cell>
        </row>
        <row r="327">
          <cell r="P327" t="str">
            <v>8010/000Trade debtors</v>
          </cell>
        </row>
        <row r="328">
          <cell r="P328" t="str">
            <v>8020/000Less: Provision for doubtful debts</v>
          </cell>
        </row>
        <row r="329">
          <cell r="P329" t="str">
            <v>8030/000Service deposits</v>
          </cell>
        </row>
        <row r="330">
          <cell r="P330" t="str">
            <v>8200/000Sundry customers</v>
          </cell>
        </row>
        <row r="331">
          <cell r="P331" t="str">
            <v>8200/010Prepayments</v>
          </cell>
        </row>
        <row r="332">
          <cell r="P332" t="str">
            <v>8200/020Staff loans</v>
          </cell>
        </row>
        <row r="333">
          <cell r="P333" t="str">
            <v>8400/000BANK ACCOUNTS</v>
          </cell>
        </row>
        <row r="334">
          <cell r="P334" t="str">
            <v>8410/000</v>
          </cell>
        </row>
        <row r="335">
          <cell r="P335" t="str">
            <v>8420/000</v>
          </cell>
        </row>
        <row r="336">
          <cell r="P336" t="str">
            <v>8430/000</v>
          </cell>
        </row>
        <row r="337">
          <cell r="P337" t="str">
            <v>8440/000</v>
          </cell>
        </row>
        <row r="338">
          <cell r="P338" t="str">
            <v>8450/000</v>
          </cell>
        </row>
        <row r="339">
          <cell r="P339" t="str">
            <v>8460/000</v>
          </cell>
        </row>
        <row r="340">
          <cell r="P340" t="str">
            <v>8500/000Cash on hand</v>
          </cell>
        </row>
        <row r="341">
          <cell r="P341" t="str">
            <v>8900/000SHORT TERM LOANS</v>
          </cell>
        </row>
        <row r="342">
          <cell r="P342" t="str">
            <v>8900/001</v>
          </cell>
        </row>
        <row r="343">
          <cell r="P343" t="str">
            <v>8900/002</v>
          </cell>
        </row>
        <row r="344">
          <cell r="P344" t="str">
            <v>8900/003</v>
          </cell>
        </row>
        <row r="345">
          <cell r="P345" t="str">
            <v>8900/004Short term portion of long term loans</v>
          </cell>
        </row>
        <row r="346">
          <cell r="P346" t="str">
            <v>9000/000CREDITORS</v>
          </cell>
        </row>
        <row r="347">
          <cell r="P347" t="str">
            <v>9010/000Trade creditors</v>
          </cell>
        </row>
        <row r="348">
          <cell r="P348" t="str">
            <v>9200/000Sundry suppliers</v>
          </cell>
        </row>
        <row r="349">
          <cell r="P349" t="str">
            <v>9200/010Audit and accounting fee accrual</v>
          </cell>
        </row>
        <row r="350">
          <cell r="P350" t="str">
            <v>9200/020Other accruals</v>
          </cell>
        </row>
        <row r="351">
          <cell r="P351" t="str">
            <v>9250/000Salary and wages control</v>
          </cell>
        </row>
        <row r="352">
          <cell r="P352" t="str">
            <v>9300/000TAXATION</v>
          </cell>
        </row>
        <row r="353">
          <cell r="P353" t="str">
            <v>9300/010Balance b/fwd</v>
          </cell>
        </row>
        <row r="354">
          <cell r="P354" t="str">
            <v>9300/020Tax provision this year</v>
          </cell>
        </row>
        <row r="355">
          <cell r="P355" t="str">
            <v>9300/030Over-/(Under) provision previous year</v>
          </cell>
        </row>
        <row r="356">
          <cell r="P356" t="str">
            <v>9300/040Tax paid/(refund) for previous year provisions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3000/070Members' remuneration----------------</v>
          </cell>
        </row>
        <row r="104">
          <cell r="M104" t="str">
            <v>3000/071A Member</v>
          </cell>
        </row>
        <row r="105">
          <cell r="M105" t="str">
            <v>3000/072B Member</v>
          </cell>
        </row>
        <row r="106">
          <cell r="M106" t="str">
            <v>3000/0730</v>
          </cell>
        </row>
        <row r="107">
          <cell r="M107" t="str">
            <v>3000/0740</v>
          </cell>
        </row>
        <row r="108">
          <cell r="M108" t="str">
            <v>3000/075</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5105/000MEMBERS' CONTRIBUTIONS</v>
          </cell>
        </row>
        <row r="159">
          <cell r="M159" t="str">
            <v>5105/001</v>
          </cell>
        </row>
        <row r="160">
          <cell r="M160" t="str">
            <v>5105/002</v>
          </cell>
        </row>
        <row r="161">
          <cell r="M161" t="str">
            <v>5105/003</v>
          </cell>
        </row>
        <row r="162">
          <cell r="M162" t="str">
            <v>5105/004</v>
          </cell>
        </row>
        <row r="163">
          <cell r="M163" t="str">
            <v>5120/000VALUATION RESERVE</v>
          </cell>
        </row>
        <row r="164">
          <cell r="M164" t="str">
            <v>5120/001Valuation reserve - balance b/fwd</v>
          </cell>
        </row>
        <row r="165">
          <cell r="M165" t="str">
            <v>5120/002Valuation reserve - additions</v>
          </cell>
        </row>
        <row r="166">
          <cell r="M166" t="str">
            <v>5120/003Valuation reserve - transfer</v>
          </cell>
        </row>
        <row r="167">
          <cell r="M167" t="str">
            <v>5130/000OTHER RESERVES</v>
          </cell>
        </row>
        <row r="168">
          <cell r="M168" t="str">
            <v>5130/001Other reserves - balance b/fwd</v>
          </cell>
        </row>
        <row r="169">
          <cell r="M169" t="str">
            <v>5130/002Other reserves - additions</v>
          </cell>
        </row>
        <row r="170">
          <cell r="M170" t="str">
            <v>5130/003Other reserves - transfer</v>
          </cell>
        </row>
        <row r="171">
          <cell r="M171" t="str">
            <v>5200/000(Retained income) / Accumulated loss</v>
          </cell>
        </row>
        <row r="172">
          <cell r="M172" t="str">
            <v>5420/000MEMBERS' LOANS</v>
          </cell>
        </row>
        <row r="173">
          <cell r="M173" t="str">
            <v>5420/010A Member - balance b/fwd</v>
          </cell>
        </row>
        <row r="174">
          <cell r="M174" t="str">
            <v>5420/011A Member - (Advance from)/Repayment to in year</v>
          </cell>
        </row>
        <row r="175">
          <cell r="M175" t="str">
            <v>5420/020B Member - balance b/fwd</v>
          </cell>
        </row>
        <row r="176">
          <cell r="M176" t="str">
            <v>5420/021B Member - (Advance from)/Repayment to in year</v>
          </cell>
        </row>
        <row r="177">
          <cell r="M177" t="str">
            <v>5420/030 - balance b/fwd</v>
          </cell>
        </row>
        <row r="178">
          <cell r="M178" t="str">
            <v>5420/031 - (Advance from)/Repayment to in year</v>
          </cell>
        </row>
        <row r="179">
          <cell r="M179" t="str">
            <v>5420/040 - balance b/fwd</v>
          </cell>
        </row>
        <row r="180">
          <cell r="M180" t="str">
            <v>5420/041 - (Advance from)/Repayment to in year</v>
          </cell>
        </row>
        <row r="181">
          <cell r="M181" t="str">
            <v>5500/000LONG TERM  INTEREST LIABILITIES</v>
          </cell>
        </row>
        <row r="182">
          <cell r="M182" t="str">
            <v>5500/0010</v>
          </cell>
        </row>
        <row r="183">
          <cell r="M183" t="str">
            <v>5500/0020</v>
          </cell>
        </row>
        <row r="184">
          <cell r="M184" t="str">
            <v>5500/0030</v>
          </cell>
        </row>
        <row r="185">
          <cell r="M185" t="str">
            <v>5500/0040</v>
          </cell>
        </row>
        <row r="186">
          <cell r="M186" t="str">
            <v>5500/0050</v>
          </cell>
        </row>
        <row r="187">
          <cell r="M187" t="str">
            <v>5500/0060</v>
          </cell>
        </row>
        <row r="188">
          <cell r="M188" t="str">
            <v>5500/0070</v>
          </cell>
        </row>
        <row r="189">
          <cell r="M189" t="str">
            <v>5500/0080</v>
          </cell>
        </row>
        <row r="190">
          <cell r="M190" t="str">
            <v>5500/0090</v>
          </cell>
        </row>
        <row r="191">
          <cell r="M191" t="str">
            <v>5500/0100</v>
          </cell>
        </row>
        <row r="192">
          <cell r="M192" t="str">
            <v>5500/0110</v>
          </cell>
        </row>
        <row r="193">
          <cell r="M193" t="str">
            <v>5500/0120</v>
          </cell>
        </row>
        <row r="194">
          <cell r="M194" t="str">
            <v>5500/0130</v>
          </cell>
        </row>
        <row r="195">
          <cell r="M195" t="str">
            <v>5500/0140</v>
          </cell>
        </row>
        <row r="196">
          <cell r="M196" t="str">
            <v>5500/0150</v>
          </cell>
        </row>
        <row r="197">
          <cell r="M197" t="str">
            <v>5520/000Short term portion of long term loans</v>
          </cell>
        </row>
        <row r="198">
          <cell r="M198" t="str">
            <v>5550/000LONG TERM INTEREST FREE LOANS</v>
          </cell>
        </row>
        <row r="199">
          <cell r="M199" t="str">
            <v>5550/0010</v>
          </cell>
        </row>
        <row r="200">
          <cell r="M200" t="str">
            <v>5550/0020</v>
          </cell>
        </row>
        <row r="201">
          <cell r="M201" t="str">
            <v>5550/0030</v>
          </cell>
        </row>
        <row r="202">
          <cell r="M202" t="str">
            <v>5550/0040</v>
          </cell>
        </row>
        <row r="203">
          <cell r="M203" t="str">
            <v>5550/0050</v>
          </cell>
        </row>
        <row r="204">
          <cell r="M204" t="str">
            <v>5550/0060</v>
          </cell>
        </row>
        <row r="205">
          <cell r="M205" t="str">
            <v>5550/0070</v>
          </cell>
        </row>
        <row r="206">
          <cell r="M206" t="str">
            <v>5550/0080</v>
          </cell>
        </row>
        <row r="207">
          <cell r="M207" t="str">
            <v>5550/0090</v>
          </cell>
        </row>
        <row r="208">
          <cell r="M208" t="str">
            <v>5550/0100</v>
          </cell>
        </row>
        <row r="209">
          <cell r="M209" t="str">
            <v>5550/0110</v>
          </cell>
        </row>
        <row r="210">
          <cell r="M210" t="str">
            <v>5550/0120</v>
          </cell>
        </row>
        <row r="211">
          <cell r="M211" t="str">
            <v>5550/0130</v>
          </cell>
        </row>
        <row r="212">
          <cell r="M212" t="str">
            <v>5550/0140</v>
          </cell>
        </row>
        <row r="213">
          <cell r="M213" t="str">
            <v>5550/0150</v>
          </cell>
        </row>
        <row r="214">
          <cell r="M214" t="str">
            <v>5550/0160</v>
          </cell>
        </row>
        <row r="215">
          <cell r="M215" t="str">
            <v>5550/0170</v>
          </cell>
        </row>
        <row r="216">
          <cell r="M216" t="str">
            <v>5700/000DEFERRED TAX</v>
          </cell>
        </row>
        <row r="217">
          <cell r="M217" t="str">
            <v>5700/010Deferred tax balance  depreciation b/fwd</v>
          </cell>
        </row>
        <row r="218">
          <cell r="M218" t="str">
            <v>5700/020Deferred tax balance  tax loss b/fwd</v>
          </cell>
        </row>
        <row r="219">
          <cell r="M219" t="str">
            <v>5700/030Deferred tax on depreciation for year</v>
          </cell>
        </row>
        <row r="220">
          <cell r="M220" t="str">
            <v>5700/040Deferred tax on tax loss for year</v>
          </cell>
        </row>
        <row r="221">
          <cell r="M221" t="str">
            <v>5700/050Def tax adj  depreciation previous year</v>
          </cell>
        </row>
        <row r="222">
          <cell r="M222" t="str">
            <v>5700/060Def tax adj tax loss previous year</v>
          </cell>
        </row>
        <row r="223">
          <cell r="M223" t="str">
            <v>6100/000LAND AND BUILDINGS - COST</v>
          </cell>
        </row>
        <row r="224">
          <cell r="M224" t="str">
            <v>6100/001Land and buildings - cost b/fwd</v>
          </cell>
        </row>
        <row r="225">
          <cell r="M225" t="str">
            <v>6100/002Land and buildings - additions</v>
          </cell>
        </row>
        <row r="226">
          <cell r="M226" t="str">
            <v>6100/003Land and buildings - cost of sales</v>
          </cell>
        </row>
        <row r="227">
          <cell r="M227" t="str">
            <v>6100/020LAND AND BUILDINGS - ACC DEPR</v>
          </cell>
        </row>
        <row r="228">
          <cell r="M228" t="str">
            <v>6100/021Land and buildings - acc depr b/fwd</v>
          </cell>
        </row>
        <row r="229">
          <cell r="M229" t="str">
            <v>6100/022Land and buildings - depr this year</v>
          </cell>
        </row>
        <row r="230">
          <cell r="M230" t="str">
            <v>6100/023Land and buildings - acc depr on sales</v>
          </cell>
        </row>
        <row r="231">
          <cell r="M231" t="str">
            <v>6100/030LAND AND BUILDINGS - VALUATION</v>
          </cell>
        </row>
        <row r="232">
          <cell r="M232" t="str">
            <v>6100/031Land and buildings - valuation b/fwd</v>
          </cell>
        </row>
        <row r="233">
          <cell r="M233" t="str">
            <v>6100/032Land and buildings - valuation additions</v>
          </cell>
        </row>
        <row r="234">
          <cell r="M234" t="str">
            <v>6100/033Land and buildings - valuation reduction</v>
          </cell>
        </row>
        <row r="235">
          <cell r="M235" t="str">
            <v>6150/000PLANT AND MACHINERY - COST</v>
          </cell>
        </row>
        <row r="236">
          <cell r="M236" t="str">
            <v>6150/001Plant and machinery - cost b/fwd</v>
          </cell>
        </row>
        <row r="237">
          <cell r="M237" t="str">
            <v>6150/002Plant and machinery - additions</v>
          </cell>
        </row>
        <row r="238">
          <cell r="M238" t="str">
            <v>6150/003Plant and machinery - cost of sales</v>
          </cell>
        </row>
        <row r="239">
          <cell r="M239" t="str">
            <v>6150/020PLANT AND MACHINERY - ACC DEPR</v>
          </cell>
        </row>
        <row r="240">
          <cell r="M240" t="str">
            <v>6150/021Plant and machinery - acc depr b/fwd</v>
          </cell>
        </row>
        <row r="241">
          <cell r="M241" t="str">
            <v>6150/022Plant and machinery - depr this year</v>
          </cell>
        </row>
        <row r="242">
          <cell r="M242" t="str">
            <v>6150/023Plant and machinery - acc depr on sales</v>
          </cell>
        </row>
        <row r="243">
          <cell r="M243" t="str">
            <v>6200/000MOTOR VEHICLES - COST</v>
          </cell>
        </row>
        <row r="244">
          <cell r="M244" t="str">
            <v>6200/001Motor vehicles - cost b/fwd</v>
          </cell>
        </row>
        <row r="245">
          <cell r="M245" t="str">
            <v>6200/002Motor vehicles - additions</v>
          </cell>
        </row>
        <row r="246">
          <cell r="M246" t="str">
            <v>6200/003Motor vehicles - cost of sales</v>
          </cell>
        </row>
        <row r="247">
          <cell r="M247" t="str">
            <v>6200/020MOTOR VEHICLES - ACC DEPR</v>
          </cell>
        </row>
        <row r="248">
          <cell r="M248" t="str">
            <v>6200/021Motor vehicles - acc depr b/fwd</v>
          </cell>
        </row>
        <row r="249">
          <cell r="M249" t="str">
            <v>6200/022Motor vehicles - depr this year</v>
          </cell>
        </row>
        <row r="250">
          <cell r="M250" t="str">
            <v>6200/023Motor vehicles - acc depr on sales</v>
          </cell>
        </row>
        <row r="251">
          <cell r="M251" t="str">
            <v>6250/000ELECTRONIC EQUIPMENT - COST</v>
          </cell>
        </row>
        <row r="252">
          <cell r="M252" t="str">
            <v>6250/001Electronic equipment - cost b/fwd</v>
          </cell>
        </row>
        <row r="253">
          <cell r="M253" t="str">
            <v>6250/002Electronic equipment - additions</v>
          </cell>
        </row>
        <row r="254">
          <cell r="M254" t="str">
            <v>6250/003Electronic equipment - cost of sales</v>
          </cell>
        </row>
        <row r="255">
          <cell r="M255" t="str">
            <v>6250/020ELECTRONIC EQUIPMENT - ACC DEPR</v>
          </cell>
        </row>
        <row r="256">
          <cell r="M256" t="str">
            <v>6250/021Electronic equipment - acc depr b/fwd</v>
          </cell>
        </row>
        <row r="257">
          <cell r="M257" t="str">
            <v>6250/022Electronic equipment - depr this year</v>
          </cell>
        </row>
        <row r="258">
          <cell r="M258" t="str">
            <v>6250/023Electronic equipment - acc depr on sales</v>
          </cell>
        </row>
        <row r="259">
          <cell r="M259" t="str">
            <v>6350/000FURNITURE AND FITTINGS - COST</v>
          </cell>
        </row>
        <row r="260">
          <cell r="M260" t="str">
            <v>6350/001Furniture and fittings - cost b/fwd</v>
          </cell>
        </row>
        <row r="261">
          <cell r="M261" t="str">
            <v>6350/002Furniture and fittings - additions</v>
          </cell>
        </row>
        <row r="262">
          <cell r="M262" t="str">
            <v>6350/003Furniture and fittings - cost of sales</v>
          </cell>
        </row>
        <row r="263">
          <cell r="M263" t="str">
            <v>6350/020FURNITURE AND FITTINGS - ACC DEPR</v>
          </cell>
        </row>
        <row r="264">
          <cell r="M264" t="str">
            <v>6350/021Furniture and fittings - acc depr b/fwd</v>
          </cell>
        </row>
        <row r="265">
          <cell r="M265" t="str">
            <v>6350/022Furniture and fittings - depr this year</v>
          </cell>
        </row>
        <row r="266">
          <cell r="M266" t="str">
            <v>6350/023Furniture and fittings - acc depr on sales</v>
          </cell>
        </row>
        <row r="267">
          <cell r="M267" t="str">
            <v>7000/000GOODWILL/INTANGIBLE ASSETS</v>
          </cell>
        </row>
        <row r="268">
          <cell r="M268" t="str">
            <v>7000/010Goodwill cost</v>
          </cell>
        </row>
        <row r="269">
          <cell r="M269" t="str">
            <v>7000/011Prepaid lease agreement - cost</v>
          </cell>
        </row>
        <row r="270">
          <cell r="M270" t="str">
            <v>7000/015PLA - surplus on revaluation</v>
          </cell>
        </row>
        <row r="271">
          <cell r="M271" t="str">
            <v>7000/020PLA - write down this year</v>
          </cell>
        </row>
        <row r="272">
          <cell r="M272" t="str">
            <v>7000/025PLA - write down previous years</v>
          </cell>
        </row>
        <row r="273">
          <cell r="M273" t="str">
            <v>7100/000INVESTMENTS</v>
          </cell>
        </row>
        <row r="274">
          <cell r="M274" t="str">
            <v>7100/100LISTED INVESTMENTS</v>
          </cell>
        </row>
        <row r="275">
          <cell r="M275" t="str">
            <v>7100/1010</v>
          </cell>
        </row>
        <row r="276">
          <cell r="M276" t="str">
            <v>7100/1020</v>
          </cell>
        </row>
        <row r="277">
          <cell r="M277" t="str">
            <v>7100/1030</v>
          </cell>
        </row>
        <row r="278">
          <cell r="M278" t="str">
            <v>7100/1040</v>
          </cell>
        </row>
        <row r="279">
          <cell r="M279" t="str">
            <v>7100/1050</v>
          </cell>
        </row>
        <row r="280">
          <cell r="M280" t="str">
            <v>7100/200OTHER INVESTMENTS</v>
          </cell>
        </row>
        <row r="281">
          <cell r="M281" t="str">
            <v>7100/2010</v>
          </cell>
        </row>
        <row r="282">
          <cell r="M282" t="str">
            <v>7100/2020</v>
          </cell>
        </row>
        <row r="283">
          <cell r="M283" t="str">
            <v>7100/2030</v>
          </cell>
        </row>
        <row r="284">
          <cell r="M284" t="str">
            <v>7100/2040</v>
          </cell>
        </row>
        <row r="285">
          <cell r="M285" t="str">
            <v>7100/2050</v>
          </cell>
        </row>
        <row r="286">
          <cell r="M286" t="str">
            <v>7450/000CONNECTED ENTITIES LOANS</v>
          </cell>
        </row>
        <row r="287">
          <cell r="M287" t="str">
            <v>7450/000Interest bearing</v>
          </cell>
        </row>
        <row r="288">
          <cell r="M288" t="str">
            <v>7450/0010</v>
          </cell>
        </row>
        <row r="289">
          <cell r="M289" t="str">
            <v>7450/0020</v>
          </cell>
        </row>
        <row r="290">
          <cell r="M290" t="str">
            <v>7450/0030</v>
          </cell>
        </row>
        <row r="291">
          <cell r="M291" t="str">
            <v>7450/0040</v>
          </cell>
        </row>
        <row r="292">
          <cell r="M292" t="str">
            <v>7450/0050</v>
          </cell>
        </row>
        <row r="293">
          <cell r="M293" t="str">
            <v>7450/0060</v>
          </cell>
        </row>
        <row r="294">
          <cell r="M294" t="str">
            <v>7450/0070</v>
          </cell>
        </row>
        <row r="295">
          <cell r="M295" t="str">
            <v>7450/0080</v>
          </cell>
        </row>
        <row r="296">
          <cell r="M296" t="str">
            <v>7450/0090</v>
          </cell>
        </row>
        <row r="297">
          <cell r="M297" t="str">
            <v>7450/0100</v>
          </cell>
        </row>
        <row r="298">
          <cell r="M298" t="str">
            <v>7455/000Interest free</v>
          </cell>
        </row>
        <row r="299">
          <cell r="M299" t="str">
            <v>7455/0010</v>
          </cell>
        </row>
        <row r="300">
          <cell r="M300" t="str">
            <v>7455/0020</v>
          </cell>
        </row>
        <row r="301">
          <cell r="M301" t="str">
            <v>7455/0030</v>
          </cell>
        </row>
        <row r="302">
          <cell r="M302" t="str">
            <v>7455/0040</v>
          </cell>
        </row>
        <row r="303">
          <cell r="M303" t="str">
            <v>7455/0050</v>
          </cell>
        </row>
        <row r="304">
          <cell r="M304" t="str">
            <v>7455/0060</v>
          </cell>
        </row>
        <row r="305">
          <cell r="M305" t="str">
            <v>7455/0070</v>
          </cell>
        </row>
        <row r="306">
          <cell r="M306" t="str">
            <v>7455/0080</v>
          </cell>
        </row>
        <row r="307">
          <cell r="M307" t="str">
            <v>7455/0090</v>
          </cell>
        </row>
        <row r="308">
          <cell r="M308" t="str">
            <v>7455/0100</v>
          </cell>
        </row>
        <row r="309">
          <cell r="M309" t="str">
            <v>7460/000OTHER NON - CURRENT RECEIVABLES</v>
          </cell>
        </row>
        <row r="310">
          <cell r="M310" t="str">
            <v>7460/000Interest bearing</v>
          </cell>
        </row>
        <row r="311">
          <cell r="M311" t="str">
            <v>7460/0010</v>
          </cell>
        </row>
        <row r="312">
          <cell r="M312" t="str">
            <v>7460/0020</v>
          </cell>
        </row>
        <row r="313">
          <cell r="M313" t="str">
            <v>7460/0030</v>
          </cell>
        </row>
        <row r="314">
          <cell r="M314" t="str">
            <v>7460/0040</v>
          </cell>
        </row>
        <row r="315">
          <cell r="M315" t="str">
            <v>7460/000Interest free</v>
          </cell>
        </row>
        <row r="316">
          <cell r="M316" t="str">
            <v>7460/0040</v>
          </cell>
        </row>
        <row r="317">
          <cell r="M317" t="str">
            <v>7460/0050</v>
          </cell>
        </row>
        <row r="318">
          <cell r="M318" t="str">
            <v>7460/0060</v>
          </cell>
        </row>
        <row r="319">
          <cell r="M319" t="str">
            <v>7460/0070</v>
          </cell>
        </row>
        <row r="320">
          <cell r="M320" t="str">
            <v>7460/0080</v>
          </cell>
        </row>
        <row r="321">
          <cell r="M321" t="str">
            <v>7500/000INVENTORY</v>
          </cell>
        </row>
        <row r="322">
          <cell r="M322" t="str">
            <v>7500/001Raw materials</v>
          </cell>
        </row>
        <row r="323">
          <cell r="M323" t="str">
            <v>7500/002Work in progress</v>
          </cell>
        </row>
        <row r="324">
          <cell r="M324" t="str">
            <v>7500/003Finished goods</v>
          </cell>
        </row>
        <row r="325">
          <cell r="M325" t="str">
            <v>7500/004Trading stock</v>
          </cell>
        </row>
        <row r="326">
          <cell r="M326" t="str">
            <v>8000/000DEBTORS</v>
          </cell>
        </row>
        <row r="327">
          <cell r="M327" t="str">
            <v>8010/000Trade debtors</v>
          </cell>
        </row>
        <row r="328">
          <cell r="M328" t="str">
            <v>8020/000Less: Provision for doubtful debts</v>
          </cell>
        </row>
        <row r="329">
          <cell r="M329" t="str">
            <v>8030/000Service deposits</v>
          </cell>
        </row>
        <row r="330">
          <cell r="M330" t="str">
            <v>8200/000Sundry customers</v>
          </cell>
        </row>
        <row r="331">
          <cell r="M331" t="str">
            <v>8200/010Prepayments</v>
          </cell>
        </row>
        <row r="332">
          <cell r="M332" t="str">
            <v>8200/020Staff loans</v>
          </cell>
        </row>
        <row r="333">
          <cell r="M333" t="str">
            <v>8400/000BANK ACCOUNTS</v>
          </cell>
        </row>
        <row r="334">
          <cell r="M334" t="str">
            <v>8410/0000</v>
          </cell>
        </row>
        <row r="335">
          <cell r="M335" t="str">
            <v>8420/0000</v>
          </cell>
        </row>
        <row r="336">
          <cell r="M336" t="str">
            <v>8430/0000</v>
          </cell>
        </row>
        <row r="337">
          <cell r="M337" t="str">
            <v>8440/0000</v>
          </cell>
        </row>
        <row r="338">
          <cell r="M338" t="str">
            <v>8450/0000</v>
          </cell>
        </row>
        <row r="339">
          <cell r="M339" t="str">
            <v>8460/0000</v>
          </cell>
        </row>
        <row r="340">
          <cell r="M340" t="str">
            <v>8500/000Cash on hand</v>
          </cell>
        </row>
        <row r="341">
          <cell r="M341" t="str">
            <v>8900/000SHORT TERM LOANS</v>
          </cell>
        </row>
        <row r="342">
          <cell r="M342" t="str">
            <v>8900/0010</v>
          </cell>
        </row>
        <row r="343">
          <cell r="M343" t="str">
            <v>8900/0020</v>
          </cell>
        </row>
        <row r="344">
          <cell r="M344" t="str">
            <v>8900/0030</v>
          </cell>
        </row>
        <row r="345">
          <cell r="M345" t="str">
            <v>8900/004Short term portion of long term loans</v>
          </cell>
        </row>
        <row r="346">
          <cell r="M346" t="str">
            <v>9000/000CREDITORS</v>
          </cell>
        </row>
        <row r="347">
          <cell r="M347" t="str">
            <v>9010/000Trade creditors</v>
          </cell>
        </row>
        <row r="348">
          <cell r="M348" t="str">
            <v>9200/000Sundry suppliers</v>
          </cell>
        </row>
        <row r="349">
          <cell r="M349" t="str">
            <v>9200/010Audit and accounting fee accrual</v>
          </cell>
        </row>
        <row r="350">
          <cell r="M350" t="str">
            <v>9200/020Other accruals</v>
          </cell>
        </row>
        <row r="351">
          <cell r="M351" t="str">
            <v>9250/000Salary and wages control</v>
          </cell>
        </row>
        <row r="352">
          <cell r="M352" t="str">
            <v>9300/000TAXATION</v>
          </cell>
        </row>
        <row r="353">
          <cell r="M353" t="str">
            <v>9300/010Balance b/fwd</v>
          </cell>
        </row>
        <row r="354">
          <cell r="M354" t="str">
            <v>9300/020Tax provision this year</v>
          </cell>
        </row>
        <row r="355">
          <cell r="M355" t="str">
            <v>9300/030Over-/(Under) provision previous year</v>
          </cell>
        </row>
        <row r="356">
          <cell r="M356" t="str">
            <v>9300/040Tax paid/(refund) for previous year provisions</v>
          </cell>
        </row>
      </sheetData>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sum(TrialBalance!A112:A118" TargetMode="External"/><Relationship Id="rId42" Type="http://schemas.openxmlformats.org/officeDocument/2006/relationships/hyperlink" Target="mailto:-@sum(TrialBalance!A67:A70"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sum(TrialBalance!A67:A70" TargetMode="External"/><Relationship Id="rId84" Type="http://schemas.openxmlformats.org/officeDocument/2006/relationships/hyperlink" Target="mailto:-@sum(TrialBalance!A8:A22" TargetMode="External"/><Relationship Id="rId89"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67:A70"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sum(TrialBalance!A23:A63"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74" Type="http://schemas.openxmlformats.org/officeDocument/2006/relationships/hyperlink" Target="mailto:-@sum(TrialBalance!A67:A70" TargetMode="External"/><Relationship Id="rId79" Type="http://schemas.openxmlformats.org/officeDocument/2006/relationships/hyperlink" Target="mailto:-@sum(TrialBalance!A67:A70" TargetMode="External"/><Relationship Id="rId102" Type="http://schemas.openxmlformats.org/officeDocument/2006/relationships/drawing" Target="../drawings/drawing2.xml"/><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mailto:-@sum(TrialBalance!A311:A321)+@sum(TrialBalance!A123:A125)=@sum(TrialBalance!A311:A321)" TargetMode="External"/><Relationship Id="rId95"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2" Type="http://schemas.openxmlformats.org/officeDocument/2006/relationships/hyperlink" Target="mailto:-@sum(TrialBalance!A119:A125"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IF(U501+V501=1,%22GROSS%20PROFIT/(LOSS)%22,IF((U501+V501=2),%22GROSS%20PROFIT%22,%22GROSS%20LOSS%22))" TargetMode="External"/><Relationship Id="rId85" Type="http://schemas.openxmlformats.org/officeDocument/2006/relationships/hyperlink" Target="mailto:-@sum(TrialBalance!A8:A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TrialBalance!A146-@sum(TrialBalance!A5:A127)"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Criteria!E33*Criteria!E34=Criteria!E36*Criteria!E37,%22%20%22,Criteria!E33*Criteria!E34)" TargetMode="External"/><Relationship Id="rId38" Type="http://schemas.openxmlformats.org/officeDocument/2006/relationships/hyperlink" Target="mailto:-@sum(TrialBalance!A77:A111"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103" Type="http://schemas.openxmlformats.org/officeDocument/2006/relationships/image" Target="../media/image2.jpeg"/><Relationship Id="rId20" Type="http://schemas.openxmlformats.org/officeDocument/2006/relationships/hyperlink" Target="mailto:-@sum(TrialBalance!A77:A111"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sum(TrialBalance!A67:A70"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IF(U501+V501=1,%22GROSS%20PROFIT/(LOSS)%22,IF((U501+V501=2),%22GROSS%20PROFIT%22,%22GROSS%20LOSS%22))" TargetMode="External"/><Relationship Id="rId83" Type="http://schemas.openxmlformats.org/officeDocument/2006/relationships/hyperlink" Target="mailto:=@if(Criteria!F343=%22No%22,Criteria!G346,%22%20%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sum(TrialBalance!A119:A125" TargetMode="External"/><Relationship Id="rId28" Type="http://schemas.openxmlformats.org/officeDocument/2006/relationships/hyperlink" Target="mailto:=@if(Criteria!F343=%22No%22,Criteria!G346,%22%20%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sum(TrialBalance!A67:A70"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printerSettings" Target="../printerSettings/printerSettings2.bin"/><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sum(TrialBalance!A112:A118" TargetMode="External"/><Relationship Id="rId34" Type="http://schemas.openxmlformats.org/officeDocument/2006/relationships/hyperlink" Target="mailto:=@if(Criteria!E33*Criteria!E34=Criteria!E36*Criteria!E37,%22%20%22,Criteria!E33*Criteria!E34)"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sum(TrialBalance!A67:A70"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TrialBalance!A146-@sum(TrialBalance!A5:A127)" TargetMode="External"/><Relationship Id="rId29" Type="http://schemas.openxmlformats.org/officeDocument/2006/relationships/hyperlink" Target="mailto:=@if(Criteria!F343=%22No%22,Criteria!G346,%22%20%22)"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sum(TrialBalance!A67:A70" TargetMode="External"/><Relationship Id="rId82"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23:A63" TargetMode="External"/><Relationship Id="rId14"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U501+V501=1,%22GROSS%20PROFIT/(LOSS)%22,IF((U501+V501=2),%22GROSS%20PROFIT%22,%22GROSS%20LOSS%22))" TargetMode="External"/><Relationship Id="rId9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Criteria!F343=%22No%22,Criteria!G346,%22%20%22)" TargetMode="External"/><Relationship Id="rId68"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Criteria!F343=%22No%22,Criteria!G346,%22%20%22)" TargetMode="External"/><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9:A125"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Criteria!E33*Criteria!E34=Criteria!E36*Criteria!E37,%22%20%22,Criteria!E33*Criteria!E34)" TargetMode="External"/><Relationship Id="rId43" Type="http://schemas.openxmlformats.org/officeDocument/2006/relationships/hyperlink" Target="mailto:-@sum(TrialBalance!A67:A70"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Criteria!F343=%22No%22,Criteria!G346,%22%20%22)" TargetMode="External"/><Relationship Id="rId69"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drawing" Target="../drawings/drawing4.xm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sum(TrialBalance!A67:A70"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sum(TrialBalance!A67:A70"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8" Type="http://schemas.openxmlformats.org/officeDocument/2006/relationships/hyperlink" Target="mailto:-@sum(TrialBalance!A311:A321)+@sum(TrialBalance!A123:A125)=@sum(TrialBalance!A311:A321)"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sum(TrialBalance!A67:A70"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image" Target="../media/image6.png"/><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TrialBalance!A146-@sum(TrialBalance!A5:A127)" TargetMode="External"/><Relationship Id="rId18" Type="http://schemas.openxmlformats.org/officeDocument/2006/relationships/hyperlink" Target="mailto:-@sum(TrialBalance!A112:A118"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232"/>
  <sheetViews>
    <sheetView tabSelected="1" workbookViewId="0">
      <selection activeCell="B11" sqref="B11"/>
    </sheetView>
  </sheetViews>
  <sheetFormatPr defaultRowHeight="15" x14ac:dyDescent="0.25"/>
  <cols>
    <col min="1" max="1" width="9.140625" style="327"/>
    <col min="2" max="2" width="5" style="327" customWidth="1"/>
    <col min="3" max="3" width="91" style="327" bestFit="1" customWidth="1"/>
    <col min="4" max="16384" width="9.140625" style="327"/>
  </cols>
  <sheetData>
    <row r="1" spans="3:3" ht="29.25" customHeight="1" x14ac:dyDescent="0.25">
      <c r="C1" s="331" t="s">
        <v>898</v>
      </c>
    </row>
    <row r="2" spans="3:3" x14ac:dyDescent="0.25">
      <c r="C2" s="332"/>
    </row>
    <row r="3" spans="3:3" ht="31.5" x14ac:dyDescent="0.5">
      <c r="C3" s="333" t="s">
        <v>1664</v>
      </c>
    </row>
    <row r="4" spans="3:3" x14ac:dyDescent="0.25">
      <c r="C4" s="332"/>
    </row>
    <row r="5" spans="3:3" ht="15.75" x14ac:dyDescent="0.25">
      <c r="C5" s="334" t="s">
        <v>899</v>
      </c>
    </row>
    <row r="6" spans="3:3" ht="15.75" x14ac:dyDescent="0.25">
      <c r="C6" s="334" t="s">
        <v>1145</v>
      </c>
    </row>
    <row r="21" spans="2:3" ht="15.75" x14ac:dyDescent="0.3">
      <c r="B21" s="339" t="s">
        <v>839</v>
      </c>
    </row>
    <row r="23" spans="2:3" ht="12.75" customHeight="1" x14ac:dyDescent="0.25">
      <c r="B23" s="329" t="s">
        <v>840</v>
      </c>
      <c r="C23" s="327" t="s">
        <v>1171</v>
      </c>
    </row>
    <row r="24" spans="2:3" ht="12.75" customHeight="1" x14ac:dyDescent="0.25">
      <c r="B24" s="329"/>
      <c r="C24" s="327" t="s">
        <v>1172</v>
      </c>
    </row>
    <row r="25" spans="2:3" ht="12.75" customHeight="1" x14ac:dyDescent="0.25">
      <c r="B25" s="329"/>
    </row>
    <row r="26" spans="2:3" ht="12.75" customHeight="1" x14ac:dyDescent="0.25">
      <c r="B26" s="329" t="s">
        <v>840</v>
      </c>
      <c r="C26" s="327" t="s">
        <v>1717</v>
      </c>
    </row>
    <row r="27" spans="2:3" ht="12.75" customHeight="1" x14ac:dyDescent="0.25">
      <c r="B27" s="329"/>
    </row>
    <row r="28" spans="2:3" x14ac:dyDescent="0.25">
      <c r="B28" s="329" t="s">
        <v>840</v>
      </c>
      <c r="C28" s="327" t="s">
        <v>1154</v>
      </c>
    </row>
    <row r="29" spans="2:3" x14ac:dyDescent="0.25">
      <c r="C29" s="327" t="s">
        <v>1080</v>
      </c>
    </row>
    <row r="30" spans="2:3" x14ac:dyDescent="0.25">
      <c r="C30" s="327" t="s">
        <v>1672</v>
      </c>
    </row>
    <row r="31" spans="2:3" x14ac:dyDescent="0.25">
      <c r="C31" s="327" t="s">
        <v>1673</v>
      </c>
    </row>
    <row r="33" spans="2:3" x14ac:dyDescent="0.25">
      <c r="B33" s="329" t="s">
        <v>840</v>
      </c>
      <c r="C33" s="327" t="s">
        <v>1265</v>
      </c>
    </row>
    <row r="34" spans="2:3" x14ac:dyDescent="0.25">
      <c r="B34" s="329"/>
      <c r="C34" s="327" t="s">
        <v>1146</v>
      </c>
    </row>
    <row r="36" spans="2:3" x14ac:dyDescent="0.25">
      <c r="B36" s="329" t="s">
        <v>840</v>
      </c>
      <c r="C36" s="327" t="s">
        <v>1149</v>
      </c>
    </row>
    <row r="37" spans="2:3" x14ac:dyDescent="0.25">
      <c r="B37" s="329"/>
    </row>
    <row r="38" spans="2:3" x14ac:dyDescent="0.25">
      <c r="B38" s="329" t="s">
        <v>840</v>
      </c>
      <c r="C38" s="327" t="s">
        <v>1081</v>
      </c>
    </row>
    <row r="39" spans="2:3" x14ac:dyDescent="0.25">
      <c r="B39" s="329"/>
    </row>
    <row r="40" spans="2:3" x14ac:dyDescent="0.25">
      <c r="B40" s="329" t="s">
        <v>840</v>
      </c>
      <c r="C40" s="327" t="s">
        <v>1150</v>
      </c>
    </row>
    <row r="41" spans="2:3" x14ac:dyDescent="0.25">
      <c r="B41" s="329"/>
    </row>
    <row r="42" spans="2:3" x14ac:dyDescent="0.25">
      <c r="B42" s="329" t="s">
        <v>840</v>
      </c>
      <c r="C42" s="327" t="s">
        <v>1708</v>
      </c>
    </row>
    <row r="43" spans="2:3" x14ac:dyDescent="0.25">
      <c r="B43" s="329"/>
    </row>
    <row r="44" spans="2:3" x14ac:dyDescent="0.25">
      <c r="B44" s="329" t="s">
        <v>840</v>
      </c>
      <c r="C44" s="327" t="s">
        <v>902</v>
      </c>
    </row>
    <row r="45" spans="2:3" x14ac:dyDescent="0.25">
      <c r="C45" s="327" t="s">
        <v>1083</v>
      </c>
    </row>
    <row r="46" spans="2:3" x14ac:dyDescent="0.25">
      <c r="B46" s="329"/>
    </row>
    <row r="47" spans="2:3" x14ac:dyDescent="0.25">
      <c r="B47" s="329" t="s">
        <v>840</v>
      </c>
      <c r="C47" s="327" t="s">
        <v>1151</v>
      </c>
    </row>
    <row r="48" spans="2:3" x14ac:dyDescent="0.25">
      <c r="C48" s="327" t="s">
        <v>1082</v>
      </c>
    </row>
    <row r="50" spans="2:3" x14ac:dyDescent="0.25">
      <c r="B50" s="329" t="s">
        <v>840</v>
      </c>
      <c r="C50" s="327" t="s">
        <v>1152</v>
      </c>
    </row>
    <row r="52" spans="2:3" x14ac:dyDescent="0.25">
      <c r="B52" s="329" t="s">
        <v>840</v>
      </c>
      <c r="C52" s="327" t="s">
        <v>1153</v>
      </c>
    </row>
    <row r="54" spans="2:3" x14ac:dyDescent="0.25">
      <c r="B54" s="329" t="s">
        <v>840</v>
      </c>
      <c r="C54" s="327" t="s">
        <v>1709</v>
      </c>
    </row>
    <row r="56" spans="2:3" x14ac:dyDescent="0.25">
      <c r="B56" s="329" t="s">
        <v>840</v>
      </c>
      <c r="C56" s="327" t="s">
        <v>1718</v>
      </c>
    </row>
    <row r="58" spans="2:3" x14ac:dyDescent="0.25">
      <c r="B58" s="329" t="s">
        <v>840</v>
      </c>
      <c r="C58" s="327" t="s">
        <v>1155</v>
      </c>
    </row>
    <row r="61" spans="2:3" ht="15.75" x14ac:dyDescent="0.3">
      <c r="B61" s="339" t="s">
        <v>901</v>
      </c>
    </row>
    <row r="63" spans="2:3" x14ac:dyDescent="0.25">
      <c r="C63" s="328" t="s">
        <v>843</v>
      </c>
    </row>
    <row r="64" spans="2:3" x14ac:dyDescent="0.25">
      <c r="B64" s="329" t="s">
        <v>840</v>
      </c>
      <c r="C64" s="327" t="s">
        <v>1084</v>
      </c>
    </row>
    <row r="65" spans="2:3" x14ac:dyDescent="0.25">
      <c r="C65" s="327" t="s">
        <v>911</v>
      </c>
    </row>
    <row r="66" spans="2:3" x14ac:dyDescent="0.25">
      <c r="C66" s="327" t="s">
        <v>849</v>
      </c>
    </row>
    <row r="67" spans="2:3" x14ac:dyDescent="0.25">
      <c r="C67" s="327" t="s">
        <v>1085</v>
      </c>
    </row>
    <row r="68" spans="2:3" x14ac:dyDescent="0.25">
      <c r="B68" s="329" t="s">
        <v>840</v>
      </c>
      <c r="C68" s="327" t="s">
        <v>904</v>
      </c>
    </row>
    <row r="69" spans="2:3" x14ac:dyDescent="0.25">
      <c r="C69" s="327" t="s">
        <v>1719</v>
      </c>
    </row>
    <row r="70" spans="2:3" x14ac:dyDescent="0.25">
      <c r="B70" s="329" t="s">
        <v>840</v>
      </c>
      <c r="C70" s="327" t="s">
        <v>847</v>
      </c>
    </row>
    <row r="71" spans="2:3" x14ac:dyDescent="0.25">
      <c r="C71" s="327" t="s">
        <v>1720</v>
      </c>
    </row>
    <row r="72" spans="2:3" x14ac:dyDescent="0.25">
      <c r="B72" s="329" t="s">
        <v>840</v>
      </c>
      <c r="C72" s="327" t="s">
        <v>1662</v>
      </c>
    </row>
    <row r="73" spans="2:3" x14ac:dyDescent="0.25">
      <c r="C73" s="327" t="s">
        <v>1663</v>
      </c>
    </row>
    <row r="74" spans="2:3" x14ac:dyDescent="0.25">
      <c r="C74" s="327" t="s">
        <v>1206</v>
      </c>
    </row>
    <row r="75" spans="2:3" x14ac:dyDescent="0.25">
      <c r="C75" s="327" t="s">
        <v>1086</v>
      </c>
    </row>
    <row r="76" spans="2:3" x14ac:dyDescent="0.25">
      <c r="B76" s="329" t="s">
        <v>840</v>
      </c>
      <c r="C76" s="327" t="s">
        <v>1721</v>
      </c>
    </row>
    <row r="77" spans="2:3" x14ac:dyDescent="0.25">
      <c r="B77" s="329"/>
      <c r="C77" s="327" t="s">
        <v>1207</v>
      </c>
    </row>
    <row r="78" spans="2:3" x14ac:dyDescent="0.25">
      <c r="B78" s="329"/>
      <c r="C78" s="327" t="s">
        <v>1087</v>
      </c>
    </row>
    <row r="79" spans="2:3" x14ac:dyDescent="0.25">
      <c r="B79" s="329" t="s">
        <v>840</v>
      </c>
      <c r="C79" s="327" t="s">
        <v>1088</v>
      </c>
    </row>
    <row r="80" spans="2:3" x14ac:dyDescent="0.25">
      <c r="B80" s="329" t="s">
        <v>840</v>
      </c>
      <c r="C80" s="327" t="s">
        <v>850</v>
      </c>
    </row>
    <row r="81" spans="2:3" x14ac:dyDescent="0.25">
      <c r="B81" s="329"/>
      <c r="C81" s="327" t="s">
        <v>851</v>
      </c>
    </row>
    <row r="82" spans="2:3" x14ac:dyDescent="0.25">
      <c r="B82" s="329"/>
      <c r="C82" s="327" t="s">
        <v>1089</v>
      </c>
    </row>
    <row r="83" spans="2:3" x14ac:dyDescent="0.25">
      <c r="B83" s="329" t="s">
        <v>840</v>
      </c>
      <c r="C83" s="327" t="s">
        <v>1090</v>
      </c>
    </row>
    <row r="84" spans="2:3" x14ac:dyDescent="0.25">
      <c r="B84" s="329"/>
    </row>
    <row r="85" spans="2:3" x14ac:dyDescent="0.25">
      <c r="C85" s="328" t="s">
        <v>844</v>
      </c>
    </row>
    <row r="86" spans="2:3" x14ac:dyDescent="0.25">
      <c r="B86" s="329" t="s">
        <v>840</v>
      </c>
      <c r="C86" s="327" t="s">
        <v>1091</v>
      </c>
    </row>
    <row r="87" spans="2:3" x14ac:dyDescent="0.25">
      <c r="C87" s="327" t="s">
        <v>1092</v>
      </c>
    </row>
    <row r="88" spans="2:3" x14ac:dyDescent="0.25">
      <c r="C88" s="327" t="s">
        <v>845</v>
      </c>
    </row>
    <row r="89" spans="2:3" x14ac:dyDescent="0.25">
      <c r="C89" s="327" t="s">
        <v>846</v>
      </c>
    </row>
    <row r="90" spans="2:3" x14ac:dyDescent="0.25">
      <c r="C90" s="327" t="s">
        <v>1093</v>
      </c>
    </row>
    <row r="92" spans="2:3" x14ac:dyDescent="0.25">
      <c r="C92" s="328" t="s">
        <v>848</v>
      </c>
    </row>
    <row r="93" spans="2:3" x14ac:dyDescent="0.25">
      <c r="B93" s="329" t="s">
        <v>840</v>
      </c>
      <c r="C93" s="327" t="s">
        <v>1674</v>
      </c>
    </row>
    <row r="94" spans="2:3" x14ac:dyDescent="0.25">
      <c r="C94" s="327" t="s">
        <v>905</v>
      </c>
    </row>
    <row r="95" spans="2:3" x14ac:dyDescent="0.25">
      <c r="C95" s="327" t="s">
        <v>1675</v>
      </c>
    </row>
    <row r="96" spans="2:3" x14ac:dyDescent="0.25">
      <c r="C96" s="327" t="s">
        <v>1722</v>
      </c>
    </row>
    <row r="98" spans="2:3" x14ac:dyDescent="0.25">
      <c r="C98" s="327" t="s">
        <v>906</v>
      </c>
    </row>
    <row r="99" spans="2:3" x14ac:dyDescent="0.25">
      <c r="C99" s="327" t="s">
        <v>1094</v>
      </c>
    </row>
    <row r="101" spans="2:3" ht="15.75" x14ac:dyDescent="0.3">
      <c r="B101" s="339" t="s">
        <v>1095</v>
      </c>
    </row>
    <row r="103" spans="2:3" x14ac:dyDescent="0.25">
      <c r="C103" s="327" t="s">
        <v>1208</v>
      </c>
    </row>
    <row r="104" spans="2:3" x14ac:dyDescent="0.25">
      <c r="B104" s="330" t="s">
        <v>692</v>
      </c>
      <c r="C104" s="327" t="s">
        <v>1096</v>
      </c>
    </row>
    <row r="105" spans="2:3" x14ac:dyDescent="0.25">
      <c r="C105" s="327" t="s">
        <v>1097</v>
      </c>
    </row>
    <row r="106" spans="2:3" x14ac:dyDescent="0.25">
      <c r="B106" s="330" t="s">
        <v>693</v>
      </c>
      <c r="C106" s="327" t="s">
        <v>1098</v>
      </c>
    </row>
    <row r="107" spans="2:3" x14ac:dyDescent="0.25">
      <c r="B107" s="330" t="s">
        <v>695</v>
      </c>
      <c r="C107" s="327" t="s">
        <v>1099</v>
      </c>
    </row>
    <row r="108" spans="2:3" x14ac:dyDescent="0.25">
      <c r="B108" s="330" t="s">
        <v>697</v>
      </c>
      <c r="C108" s="327" t="s">
        <v>1100</v>
      </c>
    </row>
    <row r="109" spans="2:3" x14ac:dyDescent="0.25">
      <c r="B109" s="330" t="s">
        <v>698</v>
      </c>
      <c r="C109" s="327" t="s">
        <v>1101</v>
      </c>
    </row>
    <row r="110" spans="2:3" x14ac:dyDescent="0.25">
      <c r="B110" s="330" t="s">
        <v>1102</v>
      </c>
      <c r="C110" s="327" t="s">
        <v>1103</v>
      </c>
    </row>
    <row r="111" spans="2:3" x14ac:dyDescent="0.25">
      <c r="B111" s="330" t="s">
        <v>1104</v>
      </c>
      <c r="C111" s="327" t="s">
        <v>1105</v>
      </c>
    </row>
    <row r="112" spans="2:3" x14ac:dyDescent="0.25">
      <c r="B112" s="330" t="s">
        <v>1106</v>
      </c>
      <c r="C112" s="327" t="s">
        <v>1107</v>
      </c>
    </row>
    <row r="113" spans="2:3" x14ac:dyDescent="0.25">
      <c r="B113" s="330" t="s">
        <v>1108</v>
      </c>
      <c r="C113" s="327" t="s">
        <v>1109</v>
      </c>
    </row>
    <row r="114" spans="2:3" x14ac:dyDescent="0.25">
      <c r="B114" s="330" t="s">
        <v>1110</v>
      </c>
      <c r="C114" s="327" t="s">
        <v>1111</v>
      </c>
    </row>
    <row r="115" spans="2:3" x14ac:dyDescent="0.25">
      <c r="B115" s="330" t="s">
        <v>1112</v>
      </c>
      <c r="C115" s="327" t="s">
        <v>1113</v>
      </c>
    </row>
    <row r="116" spans="2:3" x14ac:dyDescent="0.25">
      <c r="B116" s="330" t="s">
        <v>1114</v>
      </c>
      <c r="C116" s="327" t="s">
        <v>1115</v>
      </c>
    </row>
    <row r="117" spans="2:3" x14ac:dyDescent="0.25">
      <c r="B117" s="330"/>
    </row>
    <row r="118" spans="2:3" x14ac:dyDescent="0.25">
      <c r="C118" s="327" t="s">
        <v>1116</v>
      </c>
    </row>
    <row r="119" spans="2:3" x14ac:dyDescent="0.25">
      <c r="C119" s="327" t="s">
        <v>1570</v>
      </c>
    </row>
    <row r="120" spans="2:3" x14ac:dyDescent="0.25">
      <c r="C120" s="327" t="s">
        <v>1173</v>
      </c>
    </row>
    <row r="121" spans="2:3" x14ac:dyDescent="0.25">
      <c r="C121" s="327" t="s">
        <v>1117</v>
      </c>
    </row>
    <row r="122" spans="2:3" x14ac:dyDescent="0.25">
      <c r="C122" s="327" t="s">
        <v>1118</v>
      </c>
    </row>
    <row r="123" spans="2:3" x14ac:dyDescent="0.25">
      <c r="C123" s="327" t="s">
        <v>1119</v>
      </c>
    </row>
    <row r="124" spans="2:3" x14ac:dyDescent="0.25">
      <c r="C124" s="327" t="s">
        <v>1120</v>
      </c>
    </row>
    <row r="126" spans="2:3" ht="15.75" x14ac:dyDescent="0.3">
      <c r="C126" s="339" t="s">
        <v>1121</v>
      </c>
    </row>
    <row r="128" spans="2:3" x14ac:dyDescent="0.25">
      <c r="B128" s="329" t="s">
        <v>840</v>
      </c>
      <c r="C128" s="327" t="s">
        <v>1156</v>
      </c>
    </row>
    <row r="129" spans="2:3" x14ac:dyDescent="0.25">
      <c r="C129" s="327" t="s">
        <v>1676</v>
      </c>
    </row>
    <row r="130" spans="2:3" x14ac:dyDescent="0.25">
      <c r="C130" s="327" t="s">
        <v>1677</v>
      </c>
    </row>
    <row r="131" spans="2:3" x14ac:dyDescent="0.25">
      <c r="C131" s="327" t="s">
        <v>1678</v>
      </c>
    </row>
    <row r="132" spans="2:3" x14ac:dyDescent="0.25">
      <c r="C132" s="327" t="s">
        <v>1122</v>
      </c>
    </row>
    <row r="133" spans="2:3" x14ac:dyDescent="0.25">
      <c r="C133" s="327" t="s">
        <v>1123</v>
      </c>
    </row>
    <row r="135" spans="2:3" x14ac:dyDescent="0.25">
      <c r="B135" s="329" t="s">
        <v>840</v>
      </c>
      <c r="C135" s="327" t="s">
        <v>1266</v>
      </c>
    </row>
    <row r="136" spans="2:3" x14ac:dyDescent="0.25">
      <c r="B136" s="329"/>
      <c r="C136" s="327" t="s">
        <v>1669</v>
      </c>
    </row>
    <row r="137" spans="2:3" x14ac:dyDescent="0.25">
      <c r="B137" s="329"/>
      <c r="C137" s="327" t="s">
        <v>1670</v>
      </c>
    </row>
    <row r="139" spans="2:3" x14ac:dyDescent="0.25">
      <c r="B139" s="329" t="s">
        <v>840</v>
      </c>
      <c r="C139" s="327" t="s">
        <v>1723</v>
      </c>
    </row>
    <row r="140" spans="2:3" x14ac:dyDescent="0.25">
      <c r="C140" s="327" t="s">
        <v>1124</v>
      </c>
    </row>
    <row r="142" spans="2:3" x14ac:dyDescent="0.25">
      <c r="B142" s="329" t="s">
        <v>840</v>
      </c>
      <c r="C142" s="327" t="s">
        <v>1125</v>
      </c>
    </row>
    <row r="143" spans="2:3" x14ac:dyDescent="0.25">
      <c r="C143" s="327" t="s">
        <v>1157</v>
      </c>
    </row>
    <row r="144" spans="2:3" x14ac:dyDescent="0.25">
      <c r="C144" s="327" t="s">
        <v>1158</v>
      </c>
    </row>
    <row r="145" spans="2:3" x14ac:dyDescent="0.25">
      <c r="C145" s="327" t="s">
        <v>1712</v>
      </c>
    </row>
    <row r="146" spans="2:3" x14ac:dyDescent="0.25">
      <c r="C146" s="327" t="s">
        <v>1126</v>
      </c>
    </row>
    <row r="148" spans="2:3" x14ac:dyDescent="0.25">
      <c r="B148" s="329" t="s">
        <v>840</v>
      </c>
      <c r="C148" s="327" t="s">
        <v>1679</v>
      </c>
    </row>
    <row r="149" spans="2:3" x14ac:dyDescent="0.25">
      <c r="C149" s="327" t="s">
        <v>1680</v>
      </c>
    </row>
    <row r="151" spans="2:3" x14ac:dyDescent="0.25">
      <c r="B151" s="329" t="s">
        <v>840</v>
      </c>
      <c r="C151" s="327" t="s">
        <v>1159</v>
      </c>
    </row>
    <row r="152" spans="2:3" x14ac:dyDescent="0.25">
      <c r="C152" s="327" t="s">
        <v>1127</v>
      </c>
    </row>
    <row r="153" spans="2:3" x14ac:dyDescent="0.25">
      <c r="C153" s="327" t="s">
        <v>1128</v>
      </c>
    </row>
    <row r="155" spans="2:3" x14ac:dyDescent="0.25">
      <c r="B155" s="329" t="s">
        <v>840</v>
      </c>
      <c r="C155" s="327" t="s">
        <v>1160</v>
      </c>
    </row>
    <row r="156" spans="2:3" x14ac:dyDescent="0.25">
      <c r="C156" s="327" t="s">
        <v>1129</v>
      </c>
    </row>
    <row r="157" spans="2:3" x14ac:dyDescent="0.25">
      <c r="C157" s="327" t="s">
        <v>1130</v>
      </c>
    </row>
    <row r="158" spans="2:3" x14ac:dyDescent="0.25">
      <c r="C158" s="327" t="s">
        <v>1131</v>
      </c>
    </row>
    <row r="159" spans="2:3" x14ac:dyDescent="0.25">
      <c r="C159" s="327" t="s">
        <v>1132</v>
      </c>
    </row>
    <row r="160" spans="2:3" x14ac:dyDescent="0.25">
      <c r="C160" s="327" t="s">
        <v>1174</v>
      </c>
    </row>
    <row r="161" spans="2:3" x14ac:dyDescent="0.25">
      <c r="C161" s="327" t="s">
        <v>1133</v>
      </c>
    </row>
    <row r="162" spans="2:3" x14ac:dyDescent="0.25">
      <c r="C162" s="327" t="s">
        <v>1134</v>
      </c>
    </row>
    <row r="163" spans="2:3" x14ac:dyDescent="0.25">
      <c r="C163" s="327" t="s">
        <v>1135</v>
      </c>
    </row>
    <row r="164" spans="2:3" x14ac:dyDescent="0.25">
      <c r="C164" s="327" t="s">
        <v>1136</v>
      </c>
    </row>
    <row r="165" spans="2:3" x14ac:dyDescent="0.25">
      <c r="C165" s="327" t="s">
        <v>1137</v>
      </c>
    </row>
    <row r="167" spans="2:3" x14ac:dyDescent="0.25">
      <c r="B167" s="329" t="s">
        <v>840</v>
      </c>
      <c r="C167" s="327" t="s">
        <v>1161</v>
      </c>
    </row>
    <row r="168" spans="2:3" x14ac:dyDescent="0.25">
      <c r="C168" s="327" t="s">
        <v>1138</v>
      </c>
    </row>
    <row r="169" spans="2:3" x14ac:dyDescent="0.25">
      <c r="C169" s="327" t="s">
        <v>1139</v>
      </c>
    </row>
    <row r="171" spans="2:3" x14ac:dyDescent="0.25">
      <c r="B171" s="329" t="s">
        <v>840</v>
      </c>
      <c r="C171" s="327" t="s">
        <v>1162</v>
      </c>
    </row>
    <row r="172" spans="2:3" x14ac:dyDescent="0.25">
      <c r="C172" s="327" t="s">
        <v>1140</v>
      </c>
    </row>
    <row r="173" spans="2:3" x14ac:dyDescent="0.25">
      <c r="C173" s="327" t="s">
        <v>1141</v>
      </c>
    </row>
    <row r="174" spans="2:3" x14ac:dyDescent="0.25">
      <c r="C174" s="327" t="s">
        <v>1724</v>
      </c>
    </row>
    <row r="175" spans="2:3" x14ac:dyDescent="0.25">
      <c r="C175" s="327" t="s">
        <v>1725</v>
      </c>
    </row>
    <row r="176" spans="2:3" x14ac:dyDescent="0.25">
      <c r="C176" s="327" t="s">
        <v>1142</v>
      </c>
    </row>
    <row r="177" spans="2:3" x14ac:dyDescent="0.25">
      <c r="C177" s="327" t="s">
        <v>1143</v>
      </c>
    </row>
    <row r="178" spans="2:3" x14ac:dyDescent="0.25">
      <c r="C178" s="327" t="s">
        <v>1681</v>
      </c>
    </row>
    <row r="179" spans="2:3" x14ac:dyDescent="0.25">
      <c r="C179" s="327" t="s">
        <v>1144</v>
      </c>
    </row>
    <row r="181" spans="2:3" x14ac:dyDescent="0.25">
      <c r="B181" s="329" t="s">
        <v>840</v>
      </c>
      <c r="C181" s="327" t="s">
        <v>1260</v>
      </c>
    </row>
    <row r="182" spans="2:3" x14ac:dyDescent="0.25">
      <c r="C182" s="327" t="s">
        <v>1209</v>
      </c>
    </row>
    <row r="183" spans="2:3" x14ac:dyDescent="0.25">
      <c r="C183" s="327" t="s">
        <v>1210</v>
      </c>
    </row>
    <row r="184" spans="2:3" x14ac:dyDescent="0.25">
      <c r="C184" s="327" t="s">
        <v>1211</v>
      </c>
    </row>
    <row r="185" spans="2:3" x14ac:dyDescent="0.25">
      <c r="C185" s="327" t="s">
        <v>1264</v>
      </c>
    </row>
    <row r="186" spans="2:3" x14ac:dyDescent="0.25">
      <c r="C186" s="327" t="s">
        <v>1263</v>
      </c>
    </row>
    <row r="188" spans="2:3" x14ac:dyDescent="0.25">
      <c r="B188" s="329" t="s">
        <v>840</v>
      </c>
      <c r="C188" s="327" t="s">
        <v>1715</v>
      </c>
    </row>
    <row r="189" spans="2:3" x14ac:dyDescent="0.25">
      <c r="C189" s="327" t="s">
        <v>1726</v>
      </c>
    </row>
    <row r="190" spans="2:3" x14ac:dyDescent="0.25">
      <c r="C190" s="327" t="s">
        <v>1232</v>
      </c>
    </row>
    <row r="191" spans="2:3" x14ac:dyDescent="0.25">
      <c r="C191" s="327" t="s">
        <v>1231</v>
      </c>
    </row>
    <row r="192" spans="2:3" x14ac:dyDescent="0.25">
      <c r="C192" s="327" t="s">
        <v>1716</v>
      </c>
    </row>
    <row r="194" spans="2:3" x14ac:dyDescent="0.25">
      <c r="B194" s="329" t="s">
        <v>840</v>
      </c>
      <c r="C194" s="327" t="s">
        <v>1321</v>
      </c>
    </row>
    <row r="195" spans="2:3" x14ac:dyDescent="0.25">
      <c r="C195" s="327" t="s">
        <v>1682</v>
      </c>
    </row>
    <row r="196" spans="2:3" x14ac:dyDescent="0.25">
      <c r="C196" s="327" t="s">
        <v>1322</v>
      </c>
    </row>
    <row r="197" spans="2:3" x14ac:dyDescent="0.25">
      <c r="C197" s="327" t="s">
        <v>1727</v>
      </c>
    </row>
    <row r="198" spans="2:3" x14ac:dyDescent="0.25">
      <c r="C198" s="327" t="s">
        <v>1683</v>
      </c>
    </row>
    <row r="200" spans="2:3" x14ac:dyDescent="0.25">
      <c r="B200" s="329" t="s">
        <v>840</v>
      </c>
      <c r="C200" s="327" t="s">
        <v>1552</v>
      </c>
    </row>
    <row r="201" spans="2:3" x14ac:dyDescent="0.25">
      <c r="C201" s="327" t="s">
        <v>1728</v>
      </c>
    </row>
    <row r="203" spans="2:3" x14ac:dyDescent="0.25">
      <c r="B203" s="329" t="s">
        <v>840</v>
      </c>
      <c r="C203" s="327" t="s">
        <v>1558</v>
      </c>
    </row>
    <row r="204" spans="2:3" x14ac:dyDescent="0.25">
      <c r="C204" s="327" t="s">
        <v>1559</v>
      </c>
    </row>
    <row r="205" spans="2:3" x14ac:dyDescent="0.25">
      <c r="C205" s="602" t="s">
        <v>1729</v>
      </c>
    </row>
    <row r="207" spans="2:3" x14ac:dyDescent="0.25">
      <c r="B207" s="329" t="s">
        <v>840</v>
      </c>
      <c r="C207" s="327" t="s">
        <v>1654</v>
      </c>
    </row>
    <row r="208" spans="2:3" x14ac:dyDescent="0.25">
      <c r="C208" s="327" t="s">
        <v>1655</v>
      </c>
    </row>
    <row r="209" spans="2:3" x14ac:dyDescent="0.25">
      <c r="C209" s="327" t="s">
        <v>1656</v>
      </c>
    </row>
    <row r="211" spans="2:3" x14ac:dyDescent="0.25">
      <c r="B211" s="329" t="s">
        <v>840</v>
      </c>
      <c r="C211" s="327" t="s">
        <v>1569</v>
      </c>
    </row>
    <row r="213" spans="2:3" x14ac:dyDescent="0.25">
      <c r="B213" s="329" t="s">
        <v>840</v>
      </c>
      <c r="C213" s="327" t="s">
        <v>1713</v>
      </c>
    </row>
    <row r="214" spans="2:3" x14ac:dyDescent="0.25">
      <c r="C214" s="327" t="s">
        <v>1631</v>
      </c>
    </row>
    <row r="215" spans="2:3" x14ac:dyDescent="0.25">
      <c r="C215" s="327" t="s">
        <v>1634</v>
      </c>
    </row>
    <row r="216" spans="2:3" x14ac:dyDescent="0.25">
      <c r="C216" s="327" t="s">
        <v>1578</v>
      </c>
    </row>
    <row r="217" spans="2:3" x14ac:dyDescent="0.25">
      <c r="C217" s="327" t="s">
        <v>1579</v>
      </c>
    </row>
    <row r="218" spans="2:3" x14ac:dyDescent="0.25">
      <c r="C218" s="327" t="s">
        <v>1580</v>
      </c>
    </row>
    <row r="220" spans="2:3" x14ac:dyDescent="0.25">
      <c r="B220" s="329" t="s">
        <v>840</v>
      </c>
      <c r="C220" s="327" t="s">
        <v>1639</v>
      </c>
    </row>
    <row r="221" spans="2:3" x14ac:dyDescent="0.25">
      <c r="C221" s="327" t="s">
        <v>1640</v>
      </c>
    </row>
    <row r="223" spans="2:3" x14ac:dyDescent="0.25">
      <c r="B223" s="329" t="s">
        <v>840</v>
      </c>
      <c r="C223" s="327" t="s">
        <v>1684</v>
      </c>
    </row>
    <row r="224" spans="2:3" x14ac:dyDescent="0.25">
      <c r="C224" s="327" t="s">
        <v>1714</v>
      </c>
    </row>
    <row r="225" spans="2:3" x14ac:dyDescent="0.25">
      <c r="C225" s="327" t="s">
        <v>1666</v>
      </c>
    </row>
    <row r="226" spans="2:3" x14ac:dyDescent="0.25">
      <c r="C226" s="327" t="s">
        <v>1661</v>
      </c>
    </row>
    <row r="227" spans="2:3" x14ac:dyDescent="0.25">
      <c r="C227" s="327" t="s">
        <v>1730</v>
      </c>
    </row>
    <row r="228" spans="2:3" x14ac:dyDescent="0.25">
      <c r="C228" s="327" t="s">
        <v>1731</v>
      </c>
    </row>
    <row r="230" spans="2:3" x14ac:dyDescent="0.25">
      <c r="B230" s="329" t="s">
        <v>840</v>
      </c>
      <c r="C230" s="327" t="s">
        <v>1733</v>
      </c>
    </row>
    <row r="231" spans="2:3" x14ac:dyDescent="0.25">
      <c r="C231" s="327" t="s">
        <v>1734</v>
      </c>
    </row>
    <row r="232" spans="2:3" x14ac:dyDescent="0.25">
      <c r="C232" s="327" t="s">
        <v>1735</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74"/>
  <sheetViews>
    <sheetView zoomScale="87" zoomScaleNormal="87" workbookViewId="0">
      <selection activeCell="A8" sqref="A8"/>
    </sheetView>
  </sheetViews>
  <sheetFormatPr defaultRowHeight="12.75" x14ac:dyDescent="0.2"/>
  <cols>
    <col min="1" max="1" width="2.28515625" style="45" customWidth="1"/>
    <col min="2" max="2" width="17.28515625" style="203" customWidth="1"/>
    <col min="3" max="3" width="62.42578125" style="45" bestFit="1" customWidth="1"/>
    <col min="4" max="4" width="20" style="45" bestFit="1" customWidth="1"/>
    <col min="5" max="5" width="13.85546875" style="45" bestFit="1" customWidth="1"/>
    <col min="6" max="6" width="12.5703125" style="45" customWidth="1"/>
    <col min="7" max="7" width="17.7109375" style="45" customWidth="1"/>
    <col min="8" max="8" width="19.85546875" style="45" bestFit="1" customWidth="1"/>
    <col min="9" max="9" width="14.5703125" style="45" bestFit="1" customWidth="1"/>
    <col min="10" max="10" width="13.85546875" style="45" bestFit="1" customWidth="1"/>
    <col min="11" max="11" width="14.5703125" style="45" bestFit="1" customWidth="1"/>
    <col min="12" max="12" width="13.85546875" style="45" bestFit="1" customWidth="1"/>
    <col min="13" max="13" width="22" style="45" customWidth="1"/>
    <col min="14" max="14" width="9.140625" style="45" bestFit="1" customWidth="1"/>
    <col min="15" max="15" width="22" style="45" customWidth="1"/>
    <col min="16" max="16" width="11.5703125" style="45" customWidth="1"/>
    <col min="17" max="17" width="14.7109375" style="45" customWidth="1"/>
    <col min="18" max="18" width="16" style="45" customWidth="1"/>
    <col min="19" max="19" width="13" style="45" bestFit="1" customWidth="1"/>
    <col min="20" max="20" width="13.7109375" style="45" bestFit="1" customWidth="1"/>
    <col min="21" max="24" width="13.7109375" style="45" customWidth="1"/>
    <col min="25" max="25" width="13.5703125" style="45" customWidth="1"/>
    <col min="26" max="26" width="13.42578125" style="45" bestFit="1" customWidth="1"/>
    <col min="27" max="27" width="14.42578125" style="45" bestFit="1" customWidth="1"/>
    <col min="28" max="28" width="13.7109375" style="45" bestFit="1" customWidth="1"/>
    <col min="29" max="29" width="14.42578125" style="45" bestFit="1" customWidth="1"/>
    <col min="30" max="31" width="12.5703125" style="45" bestFit="1" customWidth="1"/>
    <col min="32" max="16384" width="9.140625" style="45"/>
  </cols>
  <sheetData>
    <row r="2" spans="3:32" ht="40.5" customHeight="1" x14ac:dyDescent="0.2">
      <c r="C2" s="154" t="str">
        <f>Criteria!E9</f>
        <v>ABC COMPANY (PROPRIETARY) LIMITED</v>
      </c>
      <c r="AB2" s="153" t="s">
        <v>101</v>
      </c>
      <c r="AC2" s="153"/>
    </row>
    <row r="3" spans="3:32" ht="12.75" customHeight="1" x14ac:dyDescent="0.2">
      <c r="C3" s="66" t="s">
        <v>100</v>
      </c>
      <c r="D3" s="66" t="str">
        <f>Criteria!E20</f>
        <v>29 FEBRUARY 2024</v>
      </c>
      <c r="E3" s="66"/>
      <c r="F3" s="66"/>
      <c r="G3" s="66"/>
    </row>
    <row r="4" spans="3:32" ht="40.5" customHeight="1" x14ac:dyDescent="0.2">
      <c r="C4" s="192" t="s">
        <v>128</v>
      </c>
      <c r="D4" s="66"/>
      <c r="E4" s="66"/>
      <c r="F4" s="66"/>
      <c r="G4" s="66"/>
      <c r="AB4" s="153" t="s">
        <v>102</v>
      </c>
      <c r="AC4" s="153"/>
    </row>
    <row r="5" spans="3:32" x14ac:dyDescent="0.2">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7" spans="3:32" x14ac:dyDescent="0.2">
      <c r="C7" s="67" t="s">
        <v>800</v>
      </c>
      <c r="V7" s="709" t="s">
        <v>877</v>
      </c>
      <c r="W7" s="710"/>
      <c r="X7" s="711"/>
    </row>
    <row r="8" spans="3:32" x14ac:dyDescent="0.2">
      <c r="I8" s="22" t="s">
        <v>1577</v>
      </c>
      <c r="J8" s="22"/>
      <c r="K8" s="22"/>
      <c r="L8" s="22" t="s">
        <v>941</v>
      </c>
      <c r="M8" s="603" t="s">
        <v>1576</v>
      </c>
      <c r="N8" s="22"/>
      <c r="O8" s="709" t="s">
        <v>1576</v>
      </c>
      <c r="P8" s="711"/>
      <c r="Q8" s="22"/>
      <c r="R8" s="22"/>
      <c r="S8" s="22"/>
      <c r="T8" s="22"/>
      <c r="U8" s="22" t="s">
        <v>861</v>
      </c>
      <c r="V8" s="280" t="s">
        <v>868</v>
      </c>
      <c r="W8" s="281" t="s">
        <v>875</v>
      </c>
      <c r="X8" s="282" t="s">
        <v>869</v>
      </c>
      <c r="Y8" s="22"/>
      <c r="Z8" s="22"/>
      <c r="AA8" s="22" t="s">
        <v>1577</v>
      </c>
      <c r="AB8" s="22"/>
      <c r="AC8" s="22"/>
    </row>
    <row r="9" spans="3:32" x14ac:dyDescent="0.2">
      <c r="C9" s="226"/>
      <c r="D9" s="66"/>
      <c r="E9" s="66"/>
      <c r="F9" s="66"/>
      <c r="G9" s="66"/>
      <c r="H9" s="67"/>
      <c r="I9" s="24" t="s">
        <v>452</v>
      </c>
      <c r="J9" s="24" t="s">
        <v>703</v>
      </c>
      <c r="K9" s="24" t="s">
        <v>702</v>
      </c>
      <c r="L9" s="24" t="s">
        <v>334</v>
      </c>
      <c r="M9" s="604" t="s">
        <v>452</v>
      </c>
      <c r="N9" s="24"/>
      <c r="O9" s="283" t="s">
        <v>452</v>
      </c>
      <c r="P9" s="284" t="s">
        <v>703</v>
      </c>
      <c r="Q9" s="24" t="s">
        <v>704</v>
      </c>
      <c r="R9" s="24" t="s">
        <v>705</v>
      </c>
      <c r="S9" s="24" t="s">
        <v>867</v>
      </c>
      <c r="T9" s="24" t="s">
        <v>706</v>
      </c>
      <c r="U9" s="24" t="s">
        <v>1576</v>
      </c>
      <c r="V9" s="283" t="s">
        <v>870</v>
      </c>
      <c r="W9" s="24" t="s">
        <v>876</v>
      </c>
      <c r="X9" s="284" t="s">
        <v>871</v>
      </c>
      <c r="Y9" s="24" t="s">
        <v>682</v>
      </c>
      <c r="Z9" s="24" t="s">
        <v>701</v>
      </c>
      <c r="AA9" s="24" t="s">
        <v>452</v>
      </c>
      <c r="AB9" s="24" t="s">
        <v>703</v>
      </c>
      <c r="AC9" s="24" t="s">
        <v>702</v>
      </c>
    </row>
    <row r="10" spans="3:32" x14ac:dyDescent="0.2">
      <c r="C10" s="233" t="str">
        <f>B23</f>
        <v>REVALUATION</v>
      </c>
      <c r="D10" s="66"/>
      <c r="E10" s="66"/>
      <c r="F10" s="66"/>
      <c r="G10" s="66"/>
      <c r="H10" s="67"/>
      <c r="I10" s="233">
        <f>I34</f>
        <v>0</v>
      </c>
      <c r="J10" s="233"/>
      <c r="K10" s="233">
        <f t="shared" ref="K10:AC10" si="0">K34</f>
        <v>0</v>
      </c>
      <c r="L10" s="233">
        <f t="shared" si="0"/>
        <v>0</v>
      </c>
      <c r="M10" s="233"/>
      <c r="N10" s="233"/>
      <c r="O10" s="233"/>
      <c r="P10" s="233"/>
      <c r="Q10" s="233"/>
      <c r="R10" s="233"/>
      <c r="S10" s="233"/>
      <c r="T10" s="233">
        <f t="shared" si="0"/>
        <v>0</v>
      </c>
      <c r="U10" s="233">
        <f t="shared" si="0"/>
        <v>0</v>
      </c>
      <c r="V10" s="285"/>
      <c r="W10" s="233"/>
      <c r="X10" s="286"/>
      <c r="Y10" s="233">
        <f t="shared" si="0"/>
        <v>0</v>
      </c>
      <c r="Z10" s="233">
        <f t="shared" si="0"/>
        <v>0</v>
      </c>
      <c r="AA10" s="233">
        <f t="shared" si="0"/>
        <v>0</v>
      </c>
      <c r="AB10" s="233">
        <f t="shared" si="0"/>
        <v>0</v>
      </c>
      <c r="AC10" s="233">
        <f t="shared" si="0"/>
        <v>0</v>
      </c>
      <c r="AD10" s="45" t="b">
        <f>I10+L10+T10+U10=AA10</f>
        <v>1</v>
      </c>
      <c r="AF10" s="45" t="b">
        <f>I10+L10+T10+U10=AC10</f>
        <v>1</v>
      </c>
    </row>
    <row r="11" spans="3:32" x14ac:dyDescent="0.2">
      <c r="C11" s="233" t="str">
        <f>B36</f>
        <v>INVESTMENT PROPERTY</v>
      </c>
      <c r="D11" s="66"/>
      <c r="E11" s="66"/>
      <c r="F11" s="66"/>
      <c r="G11" s="66"/>
      <c r="H11" s="67"/>
      <c r="I11" s="233">
        <f>I60</f>
        <v>0</v>
      </c>
      <c r="J11" s="233"/>
      <c r="K11" s="233">
        <f>K60</f>
        <v>0</v>
      </c>
      <c r="L11" s="233">
        <f>L60</f>
        <v>0</v>
      </c>
      <c r="M11" s="233">
        <f>-M60</f>
        <v>0</v>
      </c>
      <c r="N11" s="233"/>
      <c r="O11" s="233">
        <f>O60</f>
        <v>0</v>
      </c>
      <c r="P11" s="233"/>
      <c r="Q11" s="233">
        <f>Q60</f>
        <v>0</v>
      </c>
      <c r="R11" s="233"/>
      <c r="S11" s="233">
        <f>S60</f>
        <v>0</v>
      </c>
      <c r="T11" s="233">
        <f>T60</f>
        <v>0</v>
      </c>
      <c r="U11" s="233"/>
      <c r="V11" s="285"/>
      <c r="W11" s="233">
        <f>W60</f>
        <v>0</v>
      </c>
      <c r="X11" s="286">
        <f>X60</f>
        <v>0</v>
      </c>
      <c r="Y11" s="233"/>
      <c r="Z11" s="233"/>
      <c r="AA11" s="233">
        <f>AA60</f>
        <v>0</v>
      </c>
      <c r="AB11" s="233"/>
      <c r="AC11" s="233">
        <f>AC60</f>
        <v>0</v>
      </c>
      <c r="AD11" s="45" t="b">
        <f>I11+L11+M11+O11-Q11=AA11</f>
        <v>1</v>
      </c>
      <c r="AF11" s="45" t="b">
        <f>I11+L11+M11+O11-Q11=AC11</f>
        <v>1</v>
      </c>
    </row>
    <row r="12" spans="3:32" x14ac:dyDescent="0.2">
      <c r="C12" s="45" t="str">
        <f>B63</f>
        <v>PROPERTY</v>
      </c>
      <c r="I12" s="45">
        <f t="shared" ref="I12:AC12" si="1">I149</f>
        <v>0</v>
      </c>
      <c r="J12" s="45">
        <f t="shared" si="1"/>
        <v>0</v>
      </c>
      <c r="K12" s="45">
        <f t="shared" si="1"/>
        <v>0</v>
      </c>
      <c r="L12" s="45">
        <f t="shared" si="1"/>
        <v>0</v>
      </c>
      <c r="M12" s="45">
        <f t="shared" si="1"/>
        <v>0</v>
      </c>
      <c r="O12" s="45">
        <f>-O149</f>
        <v>0</v>
      </c>
      <c r="P12" s="45">
        <f>P149</f>
        <v>0</v>
      </c>
      <c r="Q12" s="45">
        <f t="shared" ref="Q12:R12" si="2">Q149</f>
        <v>0</v>
      </c>
      <c r="R12" s="45">
        <f t="shared" si="2"/>
        <v>0</v>
      </c>
      <c r="S12" s="45">
        <f t="shared" si="1"/>
        <v>0</v>
      </c>
      <c r="T12" s="45">
        <f t="shared" si="1"/>
        <v>0</v>
      </c>
      <c r="V12" s="285">
        <f t="shared" ref="V12:X12" si="3">V149</f>
        <v>0</v>
      </c>
      <c r="W12" s="233">
        <f t="shared" ref="W12" si="4">W149</f>
        <v>0</v>
      </c>
      <c r="X12" s="286">
        <f t="shared" si="3"/>
        <v>0</v>
      </c>
      <c r="Y12" s="45">
        <f t="shared" ref="Y12" si="5">Y149</f>
        <v>0</v>
      </c>
      <c r="Z12" s="45">
        <f t="shared" si="1"/>
        <v>0</v>
      </c>
      <c r="AA12" s="45">
        <f t="shared" si="1"/>
        <v>0</v>
      </c>
      <c r="AB12" s="45">
        <f t="shared" si="1"/>
        <v>0</v>
      </c>
      <c r="AC12" s="45">
        <f t="shared" si="1"/>
        <v>0</v>
      </c>
      <c r="AD12" s="45" t="b">
        <f>I12+L12+M12+O12-Q12=AA12</f>
        <v>1</v>
      </c>
      <c r="AE12" s="45" t="b">
        <f>J12-P12-R12+Z12=AB12</f>
        <v>1</v>
      </c>
      <c r="AF12" s="45" t="b">
        <f>I12-J12+L12+M12+O12+P12-Q12+R12-Z12=AC12</f>
        <v>1</v>
      </c>
    </row>
    <row r="13" spans="3:32" x14ac:dyDescent="0.2">
      <c r="C13" s="45" t="str">
        <f>B151</f>
        <v>PLANT AND EQUIPMENT</v>
      </c>
      <c r="I13" s="45">
        <f t="shared" ref="I13:AC13" si="6">I192</f>
        <v>0</v>
      </c>
      <c r="J13" s="45">
        <f t="shared" si="6"/>
        <v>0</v>
      </c>
      <c r="K13" s="45">
        <f t="shared" si="6"/>
        <v>0</v>
      </c>
      <c r="L13" s="45">
        <f t="shared" si="6"/>
        <v>0</v>
      </c>
      <c r="Q13" s="45">
        <f t="shared" ref="Q13:R13" si="7">Q192</f>
        <v>0</v>
      </c>
      <c r="R13" s="45">
        <f t="shared" si="7"/>
        <v>0</v>
      </c>
      <c r="S13" s="45">
        <f t="shared" si="6"/>
        <v>0</v>
      </c>
      <c r="T13" s="45">
        <f t="shared" si="6"/>
        <v>0</v>
      </c>
      <c r="V13" s="285">
        <f t="shared" ref="V13:X13" si="8">V192</f>
        <v>0</v>
      </c>
      <c r="W13" s="233">
        <f t="shared" ref="W13" si="9">W192</f>
        <v>0</v>
      </c>
      <c r="X13" s="286">
        <f t="shared" si="8"/>
        <v>0</v>
      </c>
      <c r="Y13" s="45">
        <f t="shared" ref="Y13" si="10">Y192</f>
        <v>0</v>
      </c>
      <c r="Z13" s="45">
        <f t="shared" si="6"/>
        <v>0</v>
      </c>
      <c r="AA13" s="45">
        <f t="shared" si="6"/>
        <v>0</v>
      </c>
      <c r="AB13" s="45">
        <f t="shared" si="6"/>
        <v>0</v>
      </c>
      <c r="AC13" s="45">
        <f t="shared" si="6"/>
        <v>0</v>
      </c>
      <c r="AD13" s="45" t="b">
        <f>I13+L13-Q13=AA13</f>
        <v>1</v>
      </c>
      <c r="AE13" s="45" t="b">
        <f>J13-R13+Z13=AB13</f>
        <v>1</v>
      </c>
      <c r="AF13" s="45" t="b">
        <f>I13-J13+L13-Q13+R13-Z13=AC13</f>
        <v>1</v>
      </c>
    </row>
    <row r="14" spans="3:32" x14ac:dyDescent="0.2">
      <c r="C14" s="45" t="str">
        <f>B195</f>
        <v>MOTOR VEHICLES</v>
      </c>
      <c r="I14" s="45">
        <f t="shared" ref="I14:AC14" si="11">I226</f>
        <v>0</v>
      </c>
      <c r="J14" s="45">
        <f t="shared" si="11"/>
        <v>0</v>
      </c>
      <c r="K14" s="45">
        <f t="shared" si="11"/>
        <v>0</v>
      </c>
      <c r="L14" s="45">
        <f t="shared" si="11"/>
        <v>0</v>
      </c>
      <c r="Q14" s="45">
        <f t="shared" ref="Q14:R14" si="12">Q226</f>
        <v>0</v>
      </c>
      <c r="R14" s="45">
        <f t="shared" si="12"/>
        <v>0</v>
      </c>
      <c r="S14" s="45">
        <f t="shared" si="11"/>
        <v>0</v>
      </c>
      <c r="T14" s="45">
        <f t="shared" si="11"/>
        <v>0</v>
      </c>
      <c r="V14" s="285">
        <f t="shared" ref="V14:X14" si="13">V226</f>
        <v>0</v>
      </c>
      <c r="W14" s="233">
        <f t="shared" ref="W14" si="14">W226</f>
        <v>0</v>
      </c>
      <c r="X14" s="286">
        <f t="shared" si="13"/>
        <v>0</v>
      </c>
      <c r="Y14" s="45">
        <f t="shared" ref="Y14" si="15">Y226</f>
        <v>0</v>
      </c>
      <c r="Z14" s="45">
        <f t="shared" si="11"/>
        <v>0</v>
      </c>
      <c r="AA14" s="45">
        <f t="shared" si="11"/>
        <v>0</v>
      </c>
      <c r="AB14" s="45">
        <f t="shared" si="11"/>
        <v>0</v>
      </c>
      <c r="AC14" s="45">
        <f t="shared" si="11"/>
        <v>0</v>
      </c>
      <c r="AD14" s="45" t="b">
        <f t="shared" ref="AD14:AD16" si="16">I14+L14-Q14=AA14</f>
        <v>1</v>
      </c>
      <c r="AE14" s="45" t="b">
        <f t="shared" ref="AE14:AE16" si="17">J14-R14+Z14=AB14</f>
        <v>1</v>
      </c>
      <c r="AF14" s="45" t="b">
        <f>I14-J14+L14-Q14+R14-Z14=AC14</f>
        <v>1</v>
      </c>
    </row>
    <row r="15" spans="3:32" x14ac:dyDescent="0.2">
      <c r="C15" s="45" t="str">
        <f>B229</f>
        <v>ELECTRONIC EQUIPMENT</v>
      </c>
      <c r="I15" s="45">
        <f t="shared" ref="I15:AC15" si="18">I265</f>
        <v>0</v>
      </c>
      <c r="J15" s="45">
        <f t="shared" si="18"/>
        <v>0</v>
      </c>
      <c r="K15" s="45">
        <f t="shared" si="18"/>
        <v>0</v>
      </c>
      <c r="L15" s="45">
        <f t="shared" si="18"/>
        <v>0</v>
      </c>
      <c r="Q15" s="45">
        <f t="shared" ref="Q15:R15" si="19">Q265</f>
        <v>0</v>
      </c>
      <c r="R15" s="45">
        <f t="shared" si="19"/>
        <v>0</v>
      </c>
      <c r="S15" s="45">
        <f t="shared" si="18"/>
        <v>0</v>
      </c>
      <c r="T15" s="45">
        <f t="shared" si="18"/>
        <v>0</v>
      </c>
      <c r="V15" s="285">
        <f t="shared" ref="V15:X15" si="20">V265</f>
        <v>0</v>
      </c>
      <c r="W15" s="233">
        <f t="shared" ref="W15" si="21">W265</f>
        <v>0</v>
      </c>
      <c r="X15" s="286">
        <f t="shared" si="20"/>
        <v>0</v>
      </c>
      <c r="Y15" s="45">
        <f t="shared" ref="Y15" si="22">Y265</f>
        <v>0</v>
      </c>
      <c r="Z15" s="45">
        <f t="shared" si="18"/>
        <v>0</v>
      </c>
      <c r="AA15" s="45">
        <f t="shared" si="18"/>
        <v>0</v>
      </c>
      <c r="AB15" s="45">
        <f t="shared" si="18"/>
        <v>0</v>
      </c>
      <c r="AC15" s="45">
        <f t="shared" si="18"/>
        <v>0</v>
      </c>
      <c r="AD15" s="45" t="b">
        <f t="shared" si="16"/>
        <v>1</v>
      </c>
      <c r="AE15" s="45" t="b">
        <f t="shared" si="17"/>
        <v>1</v>
      </c>
      <c r="AF15" s="45" t="b">
        <f>I15-J15+L15-Q15+R15-Z15=AC15</f>
        <v>1</v>
      </c>
    </row>
    <row r="16" spans="3:32" x14ac:dyDescent="0.2">
      <c r="C16" s="45" t="str">
        <f>B268</f>
        <v>FURNITURE AND FITTINGS</v>
      </c>
      <c r="I16" s="45">
        <f t="shared" ref="I16:AC16" si="23">I370</f>
        <v>0</v>
      </c>
      <c r="J16" s="45">
        <f t="shared" si="23"/>
        <v>0</v>
      </c>
      <c r="K16" s="45">
        <f t="shared" si="23"/>
        <v>0</v>
      </c>
      <c r="L16" s="45">
        <f t="shared" si="23"/>
        <v>0</v>
      </c>
      <c r="Q16" s="45">
        <f t="shared" ref="Q16:R16" si="24">Q370</f>
        <v>0</v>
      </c>
      <c r="R16" s="45">
        <f t="shared" si="24"/>
        <v>0</v>
      </c>
      <c r="S16" s="45">
        <f t="shared" si="23"/>
        <v>0</v>
      </c>
      <c r="T16" s="45">
        <f t="shared" si="23"/>
        <v>0</v>
      </c>
      <c r="V16" s="612">
        <f t="shared" ref="V16:X16" si="25">V370</f>
        <v>0</v>
      </c>
      <c r="W16" s="69">
        <f t="shared" ref="W16" si="26">W370</f>
        <v>0</v>
      </c>
      <c r="X16" s="613">
        <f t="shared" si="25"/>
        <v>0</v>
      </c>
      <c r="Y16" s="45">
        <f t="shared" ref="Y16" si="27">Y370</f>
        <v>0</v>
      </c>
      <c r="Z16" s="45">
        <f t="shared" si="23"/>
        <v>0</v>
      </c>
      <c r="AA16" s="45">
        <f t="shared" si="23"/>
        <v>0</v>
      </c>
      <c r="AB16" s="45">
        <f t="shared" si="23"/>
        <v>0</v>
      </c>
      <c r="AC16" s="45">
        <f t="shared" si="23"/>
        <v>0</v>
      </c>
      <c r="AD16" s="45" t="b">
        <f t="shared" si="16"/>
        <v>1</v>
      </c>
      <c r="AE16" s="45" t="b">
        <f t="shared" si="17"/>
        <v>1</v>
      </c>
      <c r="AF16" s="45" t="b">
        <f>I16-J16+L16-Q16+R16-Z16=AC16</f>
        <v>1</v>
      </c>
    </row>
    <row r="17" spans="2:29" ht="13.5" thickBot="1" x14ac:dyDescent="0.25">
      <c r="I17" s="143">
        <f>SUM(I10:I16)</f>
        <v>0</v>
      </c>
      <c r="J17" s="143">
        <f t="shared" ref="J17:AC17" si="28">SUM(J10:J16)</f>
        <v>0</v>
      </c>
      <c r="K17" s="143">
        <f t="shared" si="28"/>
        <v>0</v>
      </c>
      <c r="L17" s="143">
        <f t="shared" si="28"/>
        <v>0</v>
      </c>
      <c r="M17" s="143">
        <f t="shared" si="28"/>
        <v>0</v>
      </c>
      <c r="N17" s="143">
        <f t="shared" si="28"/>
        <v>0</v>
      </c>
      <c r="O17" s="143">
        <f t="shared" si="28"/>
        <v>0</v>
      </c>
      <c r="P17" s="143">
        <f t="shared" si="28"/>
        <v>0</v>
      </c>
      <c r="Q17" s="143">
        <f t="shared" si="28"/>
        <v>0</v>
      </c>
      <c r="R17" s="143">
        <f t="shared" si="28"/>
        <v>0</v>
      </c>
      <c r="S17" s="143">
        <f t="shared" si="28"/>
        <v>0</v>
      </c>
      <c r="T17" s="143">
        <f t="shared" si="28"/>
        <v>0</v>
      </c>
      <c r="U17" s="143">
        <f t="shared" si="28"/>
        <v>0</v>
      </c>
      <c r="V17" s="143">
        <f t="shared" si="28"/>
        <v>0</v>
      </c>
      <c r="W17" s="143">
        <f t="shared" si="28"/>
        <v>0</v>
      </c>
      <c r="X17" s="143">
        <f t="shared" si="28"/>
        <v>0</v>
      </c>
      <c r="Y17" s="143">
        <f t="shared" si="28"/>
        <v>0</v>
      </c>
      <c r="Z17" s="143">
        <f t="shared" si="28"/>
        <v>0</v>
      </c>
      <c r="AA17" s="143">
        <f t="shared" si="28"/>
        <v>0</v>
      </c>
      <c r="AB17" s="143">
        <f t="shared" si="28"/>
        <v>0</v>
      </c>
      <c r="AC17" s="143">
        <f t="shared" si="28"/>
        <v>0</v>
      </c>
    </row>
    <row r="18" spans="2:29" ht="13.5" thickTop="1" x14ac:dyDescent="0.2">
      <c r="I18" s="66"/>
      <c r="J18" s="66"/>
      <c r="K18" s="66"/>
      <c r="L18" s="66"/>
      <c r="M18" s="66"/>
      <c r="N18" s="66"/>
      <c r="O18" s="66"/>
      <c r="P18" s="66"/>
      <c r="Q18" s="66"/>
      <c r="R18" s="66"/>
      <c r="S18" s="66"/>
      <c r="T18" s="66"/>
      <c r="U18" s="66"/>
      <c r="V18" s="66"/>
      <c r="W18" s="66"/>
      <c r="X18" s="66"/>
      <c r="Y18" s="66"/>
      <c r="Z18" s="66"/>
      <c r="AA18" s="66"/>
      <c r="AB18" s="66"/>
      <c r="AC18" s="66"/>
    </row>
    <row r="19" spans="2:29" x14ac:dyDescent="0.2">
      <c r="C19" s="45" t="s">
        <v>786</v>
      </c>
      <c r="I19" s="45">
        <f>TrialBalance!L229+TrialBalance!L240+TrialBalance!L246+TrialBalance!L251+TrialBalance!L259+TrialBalance!L267+TrialBalance!L275</f>
        <v>0</v>
      </c>
      <c r="J19" s="45">
        <f>-(TrialBalance!L235+TrialBalance!L255+TrialBalance!L263+TrialBalance!L271+TrialBalance!L279)</f>
        <v>0</v>
      </c>
      <c r="K19" s="45">
        <f>I19-J19</f>
        <v>0</v>
      </c>
      <c r="L19" s="45">
        <f>TrialBalance!L230+TrialBalance!L241+TrialBalance!L247+TrialBalance!L252+TrialBalance!L260+TrialBalance!L268+TrialBalance!L276</f>
        <v>0</v>
      </c>
      <c r="P19" s="45">
        <f>TrialBalance!L238</f>
        <v>0</v>
      </c>
      <c r="Q19" s="45">
        <f>-TrialBalance!L231-TrialBalance!L242-TrialBalance!L253-TrialBalance!L261-TrialBalance!L269-TrialBalance!L277</f>
        <v>0</v>
      </c>
      <c r="R19" s="45">
        <f>TrialBalance!L237+TrialBalance!L257+TrialBalance!L265+TrialBalance!L273+TrialBalance!L281</f>
        <v>0</v>
      </c>
      <c r="S19" s="45">
        <f>FS!M765</f>
        <v>0</v>
      </c>
      <c r="T19" s="45">
        <f>-TrialBalance!L93-TrialBalanceA!I93-TrialBalanceB!I93-TrialBalanceC!I93</f>
        <v>0</v>
      </c>
      <c r="U19" s="45">
        <f>TrialBalance!L249</f>
        <v>0</v>
      </c>
      <c r="Z19" s="45">
        <f>SUM(TrialBalance!L44:L46)+SUM(TrialBalance!L108:L109)+SUM(TrialBalanceA!I44:I46)+SUM(TrialBalanceA!I108:I109)+SUM(TrialBalanceB!I44:I46)+SUM(TrialBalanceB!I108:I109)+SUM(TrialBalanceC!I44:I46)+SUM(TrialBalanceC!I108:I109)</f>
        <v>0</v>
      </c>
      <c r="AA19" s="45">
        <f>SUM(TrialBalance!L229:L233)+SUM(TrialBalance!L240:L244)+SUM(TrialBalance!L246:L249)+SUM(TrialBalance!L251:L253)+SUM(TrialBalance!L259:L261)+SUM(TrialBalance!L267:L269)+SUM(TrialBalance!L275:L277)</f>
        <v>0</v>
      </c>
      <c r="AB19" s="45">
        <f>-(SUM(TrialBalance!L235:L238)+SUM(TrialBalance!L255:L257)+SUM(TrialBalance!L263:L265)+SUM(TrialBalance!L271:L273)+SUM(TrialBalance!L279:L281))</f>
        <v>0</v>
      </c>
      <c r="AC19" s="45">
        <f>AA19-AB19</f>
        <v>0</v>
      </c>
    </row>
    <row r="20" spans="2:29" ht="15" x14ac:dyDescent="0.35">
      <c r="C20" s="45" t="s">
        <v>681</v>
      </c>
      <c r="I20" s="120">
        <f>ROUND(I17-I19,0)</f>
        <v>0</v>
      </c>
      <c r="J20" s="120">
        <f t="shared" ref="J20:AC20" si="29">ROUND(J17-J19,0)</f>
        <v>0</v>
      </c>
      <c r="K20" s="120">
        <f t="shared" si="29"/>
        <v>0</v>
      </c>
      <c r="L20" s="120">
        <f t="shared" si="29"/>
        <v>0</v>
      </c>
      <c r="M20" s="120"/>
      <c r="N20" s="120"/>
      <c r="O20" s="120"/>
      <c r="P20" s="120">
        <f t="shared" si="29"/>
        <v>0</v>
      </c>
      <c r="Q20" s="120">
        <f t="shared" si="29"/>
        <v>0</v>
      </c>
      <c r="R20" s="120">
        <f t="shared" si="29"/>
        <v>0</v>
      </c>
      <c r="S20" s="120">
        <f t="shared" si="29"/>
        <v>0</v>
      </c>
      <c r="T20" s="120">
        <f t="shared" si="29"/>
        <v>0</v>
      </c>
      <c r="U20" s="120">
        <f t="shared" si="29"/>
        <v>0</v>
      </c>
      <c r="V20" s="120"/>
      <c r="W20" s="120"/>
      <c r="X20" s="120"/>
      <c r="Y20" s="120"/>
      <c r="Z20" s="120">
        <f t="shared" si="29"/>
        <v>0</v>
      </c>
      <c r="AA20" s="120">
        <f t="shared" si="29"/>
        <v>0</v>
      </c>
      <c r="AB20" s="120">
        <f t="shared" si="29"/>
        <v>0</v>
      </c>
      <c r="AC20" s="120">
        <f t="shared" si="29"/>
        <v>0</v>
      </c>
    </row>
    <row r="21" spans="2:29" x14ac:dyDescent="0.2">
      <c r="M21" s="45" t="b">
        <f>M17=0</f>
        <v>1</v>
      </c>
      <c r="O21" s="45" t="b">
        <f>O17=0</f>
        <v>1</v>
      </c>
    </row>
    <row r="23" spans="2:29" x14ac:dyDescent="0.2">
      <c r="B23" s="204" t="s">
        <v>1573</v>
      </c>
      <c r="I23" s="277"/>
      <c r="J23" s="277"/>
    </row>
    <row r="24" spans="2:29" x14ac:dyDescent="0.2">
      <c r="B24" s="205"/>
      <c r="I24" s="22"/>
      <c r="J24" s="22"/>
      <c r="K24" s="22"/>
      <c r="L24" s="22"/>
      <c r="M24" s="22"/>
      <c r="N24" s="22"/>
      <c r="O24" s="22"/>
      <c r="P24" s="22"/>
      <c r="Q24" s="22"/>
      <c r="R24" s="22"/>
      <c r="S24" s="22"/>
      <c r="T24" s="22" t="s">
        <v>861</v>
      </c>
      <c r="U24" s="22" t="s">
        <v>861</v>
      </c>
      <c r="V24" s="22"/>
      <c r="W24" s="22"/>
      <c r="X24" s="22"/>
      <c r="Y24" s="22"/>
      <c r="Z24" s="22"/>
      <c r="AA24" s="22"/>
      <c r="AB24" s="22"/>
      <c r="AC24" s="22"/>
    </row>
    <row r="25" spans="2:29" x14ac:dyDescent="0.2">
      <c r="B25" s="206" t="s">
        <v>28</v>
      </c>
      <c r="C25" s="70" t="s">
        <v>282</v>
      </c>
      <c r="D25" s="70"/>
      <c r="E25" s="605"/>
      <c r="F25" s="611"/>
      <c r="G25" s="605"/>
      <c r="H25" s="605"/>
      <c r="I25" s="24" t="s">
        <v>1548</v>
      </c>
      <c r="J25" s="24"/>
      <c r="K25" s="24" t="s">
        <v>702</v>
      </c>
      <c r="L25" s="24" t="s">
        <v>1548</v>
      </c>
      <c r="M25" s="24"/>
      <c r="N25" s="24"/>
      <c r="O25" s="24"/>
      <c r="P25" s="24"/>
      <c r="Q25" s="24"/>
      <c r="R25" s="24"/>
      <c r="S25" s="24"/>
      <c r="T25" s="24" t="s">
        <v>190</v>
      </c>
      <c r="U25" s="24" t="s">
        <v>1576</v>
      </c>
      <c r="V25" s="24"/>
      <c r="W25" s="24"/>
      <c r="X25" s="24"/>
      <c r="Y25" s="24"/>
      <c r="Z25" s="24"/>
      <c r="AA25" s="24" t="s">
        <v>1548</v>
      </c>
      <c r="AB25" s="24"/>
      <c r="AC25" s="24" t="s">
        <v>702</v>
      </c>
    </row>
    <row r="27" spans="2:29" x14ac:dyDescent="0.2">
      <c r="K27" s="45">
        <f t="shared" ref="K27:K33" si="30">I27-J27</f>
        <v>0</v>
      </c>
      <c r="AA27" s="45">
        <f>I27+L27+T27+U27</f>
        <v>0</v>
      </c>
      <c r="AC27" s="45">
        <f>AA27</f>
        <v>0</v>
      </c>
    </row>
    <row r="28" spans="2:29" x14ac:dyDescent="0.2">
      <c r="K28" s="45">
        <f t="shared" si="30"/>
        <v>0</v>
      </c>
      <c r="AA28" s="45">
        <f t="shared" ref="AA28:AA33" si="31">I28+L28+T28+U28</f>
        <v>0</v>
      </c>
      <c r="AC28" s="45">
        <f t="shared" ref="AC28:AC33" si="32">AA28</f>
        <v>0</v>
      </c>
    </row>
    <row r="29" spans="2:29" x14ac:dyDescent="0.2">
      <c r="K29" s="45">
        <f t="shared" si="30"/>
        <v>0</v>
      </c>
      <c r="AA29" s="45">
        <f t="shared" si="31"/>
        <v>0</v>
      </c>
      <c r="AC29" s="45">
        <f t="shared" si="32"/>
        <v>0</v>
      </c>
    </row>
    <row r="30" spans="2:29" x14ac:dyDescent="0.2">
      <c r="K30" s="45">
        <f t="shared" si="30"/>
        <v>0</v>
      </c>
      <c r="AA30" s="45">
        <f t="shared" si="31"/>
        <v>0</v>
      </c>
      <c r="AC30" s="45">
        <f t="shared" si="32"/>
        <v>0</v>
      </c>
    </row>
    <row r="31" spans="2:29" x14ac:dyDescent="0.2">
      <c r="K31" s="45">
        <f t="shared" si="30"/>
        <v>0</v>
      </c>
      <c r="AA31" s="45">
        <f t="shared" si="31"/>
        <v>0</v>
      </c>
      <c r="AC31" s="45">
        <f t="shared" si="32"/>
        <v>0</v>
      </c>
    </row>
    <row r="32" spans="2:29" x14ac:dyDescent="0.2">
      <c r="K32" s="45">
        <f t="shared" si="30"/>
        <v>0</v>
      </c>
      <c r="AA32" s="45">
        <f t="shared" si="31"/>
        <v>0</v>
      </c>
      <c r="AC32" s="45">
        <f t="shared" si="32"/>
        <v>0</v>
      </c>
    </row>
    <row r="33" spans="2:29" x14ac:dyDescent="0.2">
      <c r="K33" s="45">
        <f t="shared" si="30"/>
        <v>0</v>
      </c>
      <c r="AA33" s="45">
        <f t="shared" si="31"/>
        <v>0</v>
      </c>
      <c r="AC33" s="45">
        <f t="shared" si="32"/>
        <v>0</v>
      </c>
    </row>
    <row r="34" spans="2:29" ht="13.5" thickBot="1" x14ac:dyDescent="0.25">
      <c r="I34" s="53">
        <f>SUM(I26:I33)</f>
        <v>0</v>
      </c>
      <c r="J34" s="53"/>
      <c r="K34" s="53">
        <f t="shared" ref="K34:AC34" si="33">SUM(K26:K33)</f>
        <v>0</v>
      </c>
      <c r="L34" s="53">
        <f t="shared" si="33"/>
        <v>0</v>
      </c>
      <c r="M34" s="53"/>
      <c r="N34" s="53"/>
      <c r="O34" s="53"/>
      <c r="P34" s="53"/>
      <c r="Q34" s="53"/>
      <c r="R34" s="53"/>
      <c r="S34" s="53"/>
      <c r="T34" s="53">
        <f t="shared" si="33"/>
        <v>0</v>
      </c>
      <c r="U34" s="53">
        <f t="shared" si="33"/>
        <v>0</v>
      </c>
      <c r="V34" s="53"/>
      <c r="W34" s="53"/>
      <c r="X34" s="53"/>
      <c r="Y34" s="53"/>
      <c r="Z34" s="53"/>
      <c r="AA34" s="53">
        <f t="shared" si="33"/>
        <v>0</v>
      </c>
      <c r="AB34" s="53"/>
      <c r="AC34" s="53">
        <f t="shared" si="33"/>
        <v>0</v>
      </c>
    </row>
    <row r="35" spans="2:29" ht="13.5" thickTop="1" x14ac:dyDescent="0.2">
      <c r="I35" s="233"/>
      <c r="J35" s="233"/>
      <c r="K35" s="233"/>
      <c r="L35" s="233"/>
      <c r="M35" s="233"/>
      <c r="N35" s="233"/>
      <c r="O35" s="233"/>
      <c r="P35" s="233"/>
      <c r="Q35" s="233"/>
      <c r="R35" s="233"/>
      <c r="S35" s="233"/>
      <c r="T35" s="233"/>
      <c r="U35" s="233"/>
      <c r="V35" s="233"/>
      <c r="W35" s="233"/>
      <c r="X35" s="233"/>
      <c r="Y35" s="233"/>
      <c r="Z35" s="233"/>
      <c r="AA35" s="233"/>
      <c r="AB35" s="233"/>
      <c r="AC35" s="233"/>
    </row>
    <row r="36" spans="2:29" x14ac:dyDescent="0.2">
      <c r="B36" s="204" t="s">
        <v>1381</v>
      </c>
      <c r="I36" s="608"/>
      <c r="J36" s="277"/>
    </row>
    <row r="37" spans="2:29" x14ac:dyDescent="0.2">
      <c r="B37" s="205"/>
      <c r="F37" s="8"/>
      <c r="G37" s="8"/>
      <c r="H37" s="8"/>
      <c r="I37" s="22"/>
      <c r="J37" s="22"/>
      <c r="K37" s="22"/>
      <c r="L37" s="22"/>
      <c r="M37" s="603" t="s">
        <v>1574</v>
      </c>
      <c r="N37" s="22"/>
      <c r="O37" s="609" t="s">
        <v>1575</v>
      </c>
      <c r="P37" s="610"/>
      <c r="Q37" s="22"/>
      <c r="R37" s="22"/>
      <c r="S37" s="22"/>
      <c r="T37" s="22"/>
      <c r="U37" s="22"/>
      <c r="V37" s="281"/>
      <c r="W37" s="296" t="s">
        <v>875</v>
      </c>
      <c r="X37" s="298" t="s">
        <v>869</v>
      </c>
      <c r="Y37" s="22"/>
      <c r="Z37" s="22"/>
      <c r="AA37" s="22"/>
      <c r="AB37" s="22"/>
      <c r="AC37" s="22"/>
    </row>
    <row r="38" spans="2:29" x14ac:dyDescent="0.2">
      <c r="B38" s="206" t="s">
        <v>28</v>
      </c>
      <c r="C38" s="70" t="s">
        <v>282</v>
      </c>
      <c r="D38" s="70"/>
      <c r="E38" s="605"/>
      <c r="F38" s="606" t="s">
        <v>595</v>
      </c>
      <c r="G38" s="607" t="s">
        <v>596</v>
      </c>
      <c r="H38" s="607" t="s">
        <v>707</v>
      </c>
      <c r="I38" s="24" t="s">
        <v>452</v>
      </c>
      <c r="J38" s="24"/>
      <c r="K38" s="24" t="s">
        <v>702</v>
      </c>
      <c r="L38" s="24" t="s">
        <v>334</v>
      </c>
      <c r="M38" s="604" t="s">
        <v>452</v>
      </c>
      <c r="N38" s="24"/>
      <c r="O38" s="604" t="s">
        <v>452</v>
      </c>
      <c r="P38" s="283"/>
      <c r="Q38" s="24" t="s">
        <v>704</v>
      </c>
      <c r="R38" s="24"/>
      <c r="S38" s="24" t="s">
        <v>867</v>
      </c>
      <c r="T38" s="24" t="s">
        <v>706</v>
      </c>
      <c r="U38" s="24"/>
      <c r="V38" s="24"/>
      <c r="W38" s="283" t="s">
        <v>876</v>
      </c>
      <c r="X38" s="284" t="s">
        <v>871</v>
      </c>
      <c r="Y38" s="24"/>
      <c r="Z38" s="24"/>
      <c r="AA38" s="24" t="s">
        <v>452</v>
      </c>
      <c r="AB38" s="24"/>
      <c r="AC38" s="24" t="s">
        <v>702</v>
      </c>
    </row>
    <row r="39" spans="2:29" x14ac:dyDescent="0.2">
      <c r="AA39" s="45">
        <f>I39+L39-M39+O39-Q39</f>
        <v>0</v>
      </c>
      <c r="AC39" s="45">
        <f>AA39</f>
        <v>0</v>
      </c>
    </row>
    <row r="40" spans="2:29" x14ac:dyDescent="0.2">
      <c r="J40" s="233"/>
      <c r="K40" s="233">
        <f>I40</f>
        <v>0</v>
      </c>
      <c r="L40" s="233"/>
      <c r="M40" s="233"/>
      <c r="N40" s="233"/>
      <c r="O40" s="233"/>
      <c r="P40" s="233"/>
      <c r="Q40" s="233"/>
      <c r="R40" s="233"/>
      <c r="S40" s="233"/>
      <c r="T40" s="233"/>
      <c r="U40" s="233"/>
      <c r="V40" s="233"/>
      <c r="W40" s="233"/>
      <c r="X40" s="233"/>
      <c r="Y40" s="233"/>
      <c r="Z40" s="233"/>
      <c r="AA40" s="45">
        <f t="shared" ref="AA40:AA59" si="34">I40+L40-M40+O40-Q40</f>
        <v>0</v>
      </c>
      <c r="AC40" s="45">
        <f t="shared" ref="AC40:AC59" si="35">AA40</f>
        <v>0</v>
      </c>
    </row>
    <row r="41" spans="2:29" x14ac:dyDescent="0.2">
      <c r="J41" s="233"/>
      <c r="K41" s="233">
        <f t="shared" ref="K41:K59" si="36">I41</f>
        <v>0</v>
      </c>
      <c r="L41" s="233"/>
      <c r="M41" s="233"/>
      <c r="N41" s="233"/>
      <c r="O41" s="233"/>
      <c r="P41" s="233"/>
      <c r="U41" s="233"/>
      <c r="V41" s="233"/>
      <c r="W41" s="233"/>
      <c r="X41" s="233"/>
      <c r="Y41" s="233"/>
      <c r="Z41" s="233"/>
      <c r="AA41" s="45">
        <f>I41+L41-M41+O41-Q41</f>
        <v>0</v>
      </c>
      <c r="AC41" s="45">
        <f t="shared" si="35"/>
        <v>0</v>
      </c>
    </row>
    <row r="42" spans="2:29" x14ac:dyDescent="0.2">
      <c r="J42" s="233"/>
      <c r="K42" s="233">
        <f t="shared" si="36"/>
        <v>0</v>
      </c>
      <c r="L42" s="233"/>
      <c r="M42" s="233"/>
      <c r="N42" s="233"/>
      <c r="O42" s="233"/>
      <c r="P42" s="233"/>
      <c r="Q42" s="233"/>
      <c r="R42" s="233"/>
      <c r="S42" s="233"/>
      <c r="T42" s="233"/>
      <c r="U42" s="233"/>
      <c r="V42" s="233"/>
      <c r="W42" s="233"/>
      <c r="X42" s="233"/>
      <c r="Y42" s="233"/>
      <c r="Z42" s="233"/>
      <c r="AA42" s="45">
        <f t="shared" si="34"/>
        <v>0</v>
      </c>
      <c r="AC42" s="45">
        <f t="shared" si="35"/>
        <v>0</v>
      </c>
    </row>
    <row r="43" spans="2:29" x14ac:dyDescent="0.2">
      <c r="I43" s="233"/>
      <c r="J43" s="233"/>
      <c r="K43" s="233">
        <f t="shared" si="36"/>
        <v>0</v>
      </c>
      <c r="M43" s="233"/>
      <c r="N43" s="233"/>
      <c r="O43" s="233"/>
      <c r="P43" s="233"/>
      <c r="Q43" s="233"/>
      <c r="R43" s="233"/>
      <c r="S43" s="233"/>
      <c r="T43" s="233"/>
      <c r="U43" s="233"/>
      <c r="V43" s="233"/>
      <c r="W43" s="233"/>
      <c r="X43" s="233"/>
      <c r="Y43" s="233"/>
      <c r="Z43" s="233"/>
      <c r="AA43" s="45">
        <f t="shared" si="34"/>
        <v>0</v>
      </c>
      <c r="AC43" s="45">
        <f t="shared" si="35"/>
        <v>0</v>
      </c>
    </row>
    <row r="44" spans="2:29" x14ac:dyDescent="0.2">
      <c r="I44" s="233"/>
      <c r="J44" s="233"/>
      <c r="K44" s="233">
        <f t="shared" si="36"/>
        <v>0</v>
      </c>
      <c r="L44" s="233"/>
      <c r="M44" s="233"/>
      <c r="N44" s="233"/>
      <c r="O44" s="233"/>
      <c r="P44" s="233"/>
      <c r="Q44" s="233"/>
      <c r="R44" s="233"/>
      <c r="S44" s="233"/>
      <c r="T44" s="233"/>
      <c r="U44" s="233"/>
      <c r="V44" s="233"/>
      <c r="W44" s="233"/>
      <c r="X44" s="233"/>
      <c r="Y44" s="233"/>
      <c r="Z44" s="233"/>
      <c r="AA44" s="45">
        <f t="shared" si="34"/>
        <v>0</v>
      </c>
      <c r="AC44" s="45">
        <f t="shared" si="35"/>
        <v>0</v>
      </c>
    </row>
    <row r="45" spans="2:29" x14ac:dyDescent="0.2">
      <c r="I45" s="233"/>
      <c r="J45" s="233"/>
      <c r="K45" s="233">
        <f t="shared" si="36"/>
        <v>0</v>
      </c>
      <c r="L45" s="233"/>
      <c r="M45" s="233"/>
      <c r="N45" s="233"/>
      <c r="O45" s="233"/>
      <c r="P45" s="233"/>
      <c r="Q45" s="233"/>
      <c r="R45" s="233"/>
      <c r="S45" s="233"/>
      <c r="T45" s="233"/>
      <c r="U45" s="233"/>
      <c r="V45" s="233"/>
      <c r="W45" s="233"/>
      <c r="X45" s="233"/>
      <c r="Y45" s="233"/>
      <c r="Z45" s="233"/>
      <c r="AA45" s="45">
        <f t="shared" si="34"/>
        <v>0</v>
      </c>
      <c r="AC45" s="45">
        <f t="shared" si="35"/>
        <v>0</v>
      </c>
    </row>
    <row r="46" spans="2:29" x14ac:dyDescent="0.2">
      <c r="I46" s="233"/>
      <c r="J46" s="233"/>
      <c r="K46" s="233">
        <f t="shared" si="36"/>
        <v>0</v>
      </c>
      <c r="L46" s="233"/>
      <c r="M46" s="233"/>
      <c r="N46" s="233"/>
      <c r="O46" s="233"/>
      <c r="P46" s="233"/>
      <c r="Q46" s="233"/>
      <c r="R46" s="233"/>
      <c r="S46" s="233"/>
      <c r="T46" s="233"/>
      <c r="U46" s="233"/>
      <c r="V46" s="233"/>
      <c r="W46" s="233"/>
      <c r="X46" s="233"/>
      <c r="Y46" s="233"/>
      <c r="Z46" s="233"/>
      <c r="AA46" s="45">
        <f t="shared" si="34"/>
        <v>0</v>
      </c>
      <c r="AC46" s="45">
        <f t="shared" si="35"/>
        <v>0</v>
      </c>
    </row>
    <row r="47" spans="2:29" x14ac:dyDescent="0.2">
      <c r="I47" s="233"/>
      <c r="J47" s="233"/>
      <c r="K47" s="233">
        <f t="shared" si="36"/>
        <v>0</v>
      </c>
      <c r="L47" s="233"/>
      <c r="M47" s="233"/>
      <c r="N47" s="233"/>
      <c r="O47" s="233"/>
      <c r="P47" s="233"/>
      <c r="Q47" s="233"/>
      <c r="R47" s="233"/>
      <c r="S47" s="233"/>
      <c r="T47" s="233"/>
      <c r="U47" s="233"/>
      <c r="V47" s="233"/>
      <c r="W47" s="233"/>
      <c r="X47" s="233"/>
      <c r="Y47" s="233"/>
      <c r="Z47" s="233"/>
      <c r="AA47" s="45">
        <f t="shared" si="34"/>
        <v>0</v>
      </c>
      <c r="AC47" s="45">
        <f t="shared" si="35"/>
        <v>0</v>
      </c>
    </row>
    <row r="48" spans="2:29" x14ac:dyDescent="0.2">
      <c r="I48" s="233"/>
      <c r="J48" s="233"/>
      <c r="K48" s="233">
        <f t="shared" si="36"/>
        <v>0</v>
      </c>
      <c r="L48" s="233"/>
      <c r="M48" s="233"/>
      <c r="N48" s="233"/>
      <c r="O48" s="233"/>
      <c r="P48" s="233"/>
      <c r="Q48" s="233"/>
      <c r="R48" s="233"/>
      <c r="S48" s="233"/>
      <c r="T48" s="233"/>
      <c r="U48" s="233"/>
      <c r="V48" s="233"/>
      <c r="W48" s="233"/>
      <c r="X48" s="233"/>
      <c r="Y48" s="233"/>
      <c r="Z48" s="233"/>
      <c r="AA48" s="45">
        <f t="shared" si="34"/>
        <v>0</v>
      </c>
      <c r="AC48" s="45">
        <f t="shared" si="35"/>
        <v>0</v>
      </c>
    </row>
    <row r="49" spans="2:29" x14ac:dyDescent="0.2">
      <c r="I49" s="233"/>
      <c r="J49" s="233"/>
      <c r="K49" s="233">
        <f t="shared" si="36"/>
        <v>0</v>
      </c>
      <c r="L49" s="233"/>
      <c r="M49" s="233"/>
      <c r="N49" s="233"/>
      <c r="O49" s="233"/>
      <c r="P49" s="233"/>
      <c r="Q49" s="233"/>
      <c r="R49" s="233"/>
      <c r="S49" s="233"/>
      <c r="T49" s="233"/>
      <c r="U49" s="233"/>
      <c r="V49" s="233"/>
      <c r="W49" s="233"/>
      <c r="X49" s="233"/>
      <c r="Y49" s="233"/>
      <c r="Z49" s="233"/>
      <c r="AA49" s="45">
        <f t="shared" si="34"/>
        <v>0</v>
      </c>
      <c r="AC49" s="45">
        <f t="shared" si="35"/>
        <v>0</v>
      </c>
    </row>
    <row r="50" spans="2:29" x14ac:dyDescent="0.2">
      <c r="I50" s="233"/>
      <c r="J50" s="233"/>
      <c r="K50" s="233">
        <f t="shared" si="36"/>
        <v>0</v>
      </c>
      <c r="L50" s="233"/>
      <c r="M50" s="233"/>
      <c r="N50" s="233"/>
      <c r="O50" s="233"/>
      <c r="P50" s="233"/>
      <c r="Q50" s="233"/>
      <c r="R50" s="233"/>
      <c r="S50" s="233"/>
      <c r="T50" s="233"/>
      <c r="U50" s="233"/>
      <c r="V50" s="233"/>
      <c r="W50" s="233"/>
      <c r="X50" s="233"/>
      <c r="Y50" s="233"/>
      <c r="Z50" s="233"/>
      <c r="AA50" s="45">
        <f t="shared" si="34"/>
        <v>0</v>
      </c>
      <c r="AC50" s="45">
        <f t="shared" si="35"/>
        <v>0</v>
      </c>
    </row>
    <row r="51" spans="2:29" x14ac:dyDescent="0.2">
      <c r="I51" s="233"/>
      <c r="J51" s="233"/>
      <c r="K51" s="233">
        <f t="shared" si="36"/>
        <v>0</v>
      </c>
      <c r="L51" s="233"/>
      <c r="M51" s="233"/>
      <c r="N51" s="233"/>
      <c r="O51" s="233"/>
      <c r="P51" s="233"/>
      <c r="Q51" s="233"/>
      <c r="R51" s="233"/>
      <c r="S51" s="233"/>
      <c r="T51" s="233"/>
      <c r="U51" s="233"/>
      <c r="V51" s="233"/>
      <c r="W51" s="233"/>
      <c r="X51" s="233"/>
      <c r="Y51" s="233"/>
      <c r="Z51" s="233"/>
      <c r="AA51" s="45">
        <f t="shared" si="34"/>
        <v>0</v>
      </c>
      <c r="AC51" s="45">
        <f t="shared" si="35"/>
        <v>0</v>
      </c>
    </row>
    <row r="52" spans="2:29" x14ac:dyDescent="0.2">
      <c r="I52" s="233"/>
      <c r="J52" s="233"/>
      <c r="K52" s="233">
        <f t="shared" si="36"/>
        <v>0</v>
      </c>
      <c r="L52" s="233"/>
      <c r="M52" s="233"/>
      <c r="N52" s="233"/>
      <c r="O52" s="233"/>
      <c r="P52" s="233"/>
      <c r="Q52" s="233"/>
      <c r="R52" s="233"/>
      <c r="S52" s="233"/>
      <c r="T52" s="233"/>
      <c r="U52" s="233"/>
      <c r="V52" s="233"/>
      <c r="W52" s="233"/>
      <c r="X52" s="233"/>
      <c r="Y52" s="233"/>
      <c r="Z52" s="233"/>
      <c r="AA52" s="45">
        <f t="shared" si="34"/>
        <v>0</v>
      </c>
      <c r="AC52" s="45">
        <f t="shared" si="35"/>
        <v>0</v>
      </c>
    </row>
    <row r="53" spans="2:29" x14ac:dyDescent="0.2">
      <c r="I53" s="233"/>
      <c r="J53" s="233"/>
      <c r="K53" s="233">
        <f t="shared" si="36"/>
        <v>0</v>
      </c>
      <c r="L53" s="233"/>
      <c r="M53" s="233"/>
      <c r="N53" s="233"/>
      <c r="O53" s="233"/>
      <c r="P53" s="233"/>
      <c r="Q53" s="233"/>
      <c r="R53" s="233"/>
      <c r="S53" s="233"/>
      <c r="T53" s="233"/>
      <c r="U53" s="233"/>
      <c r="V53" s="233"/>
      <c r="W53" s="233"/>
      <c r="X53" s="233"/>
      <c r="Y53" s="233"/>
      <c r="Z53" s="233"/>
      <c r="AA53" s="45">
        <f t="shared" si="34"/>
        <v>0</v>
      </c>
      <c r="AC53" s="45">
        <f t="shared" si="35"/>
        <v>0</v>
      </c>
    </row>
    <row r="54" spans="2:29" x14ac:dyDescent="0.2">
      <c r="I54" s="233"/>
      <c r="J54" s="233"/>
      <c r="K54" s="233">
        <f t="shared" si="36"/>
        <v>0</v>
      </c>
      <c r="L54" s="233"/>
      <c r="M54" s="233"/>
      <c r="N54" s="233"/>
      <c r="O54" s="233"/>
      <c r="P54" s="233"/>
      <c r="Q54" s="233"/>
      <c r="R54" s="233"/>
      <c r="S54" s="233"/>
      <c r="T54" s="233"/>
      <c r="U54" s="233"/>
      <c r="V54" s="233"/>
      <c r="W54" s="233"/>
      <c r="X54" s="233"/>
      <c r="Y54" s="233"/>
      <c r="Z54" s="233"/>
      <c r="AA54" s="45">
        <f t="shared" si="34"/>
        <v>0</v>
      </c>
      <c r="AC54" s="45">
        <f t="shared" si="35"/>
        <v>0</v>
      </c>
    </row>
    <row r="55" spans="2:29" x14ac:dyDescent="0.2">
      <c r="I55" s="233"/>
      <c r="J55" s="233"/>
      <c r="K55" s="233">
        <f t="shared" si="36"/>
        <v>0</v>
      </c>
      <c r="L55" s="233"/>
      <c r="M55" s="233"/>
      <c r="N55" s="233"/>
      <c r="O55" s="233"/>
      <c r="P55" s="233"/>
      <c r="Q55" s="233"/>
      <c r="R55" s="233"/>
      <c r="S55" s="233"/>
      <c r="T55" s="233"/>
      <c r="U55" s="233"/>
      <c r="V55" s="233"/>
      <c r="W55" s="233"/>
      <c r="X55" s="233"/>
      <c r="Y55" s="233"/>
      <c r="Z55" s="233"/>
      <c r="AA55" s="45">
        <f t="shared" si="34"/>
        <v>0</v>
      </c>
      <c r="AC55" s="45">
        <f t="shared" si="35"/>
        <v>0</v>
      </c>
    </row>
    <row r="56" spans="2:29" x14ac:dyDescent="0.2">
      <c r="I56" s="233"/>
      <c r="J56" s="233"/>
      <c r="K56" s="233">
        <f t="shared" si="36"/>
        <v>0</v>
      </c>
      <c r="L56" s="233"/>
      <c r="M56" s="233"/>
      <c r="N56" s="233"/>
      <c r="O56" s="233"/>
      <c r="P56" s="233"/>
      <c r="Q56" s="233"/>
      <c r="R56" s="233"/>
      <c r="S56" s="233"/>
      <c r="T56" s="233"/>
      <c r="U56" s="233"/>
      <c r="V56" s="233"/>
      <c r="W56" s="233"/>
      <c r="X56" s="233"/>
      <c r="Y56" s="233"/>
      <c r="Z56" s="233"/>
      <c r="AA56" s="45">
        <f t="shared" si="34"/>
        <v>0</v>
      </c>
      <c r="AC56" s="45">
        <f t="shared" si="35"/>
        <v>0</v>
      </c>
    </row>
    <row r="57" spans="2:29" x14ac:dyDescent="0.2">
      <c r="I57" s="233"/>
      <c r="J57" s="233"/>
      <c r="K57" s="233">
        <f t="shared" si="36"/>
        <v>0</v>
      </c>
      <c r="L57" s="233"/>
      <c r="M57" s="233"/>
      <c r="N57" s="233"/>
      <c r="O57" s="233"/>
      <c r="P57" s="233"/>
      <c r="Q57" s="233"/>
      <c r="R57" s="233"/>
      <c r="S57" s="233"/>
      <c r="T57" s="233"/>
      <c r="U57" s="233"/>
      <c r="V57" s="233"/>
      <c r="W57" s="233"/>
      <c r="X57" s="233"/>
      <c r="Y57" s="233"/>
      <c r="Z57" s="233"/>
      <c r="AA57" s="45">
        <f t="shared" si="34"/>
        <v>0</v>
      </c>
      <c r="AC57" s="45">
        <f t="shared" si="35"/>
        <v>0</v>
      </c>
    </row>
    <row r="58" spans="2:29" x14ac:dyDescent="0.2">
      <c r="I58" s="233"/>
      <c r="J58" s="233"/>
      <c r="K58" s="233">
        <f t="shared" si="36"/>
        <v>0</v>
      </c>
      <c r="L58" s="233"/>
      <c r="M58" s="233"/>
      <c r="N58" s="233"/>
      <c r="O58" s="233"/>
      <c r="P58" s="233"/>
      <c r="Q58" s="233"/>
      <c r="R58" s="233"/>
      <c r="S58" s="233"/>
      <c r="T58" s="233"/>
      <c r="U58" s="233"/>
      <c r="V58" s="233"/>
      <c r="W58" s="233"/>
      <c r="X58" s="233"/>
      <c r="Y58" s="233"/>
      <c r="Z58" s="233"/>
      <c r="AA58" s="45">
        <f t="shared" si="34"/>
        <v>0</v>
      </c>
      <c r="AC58" s="45">
        <f t="shared" si="35"/>
        <v>0</v>
      </c>
    </row>
    <row r="59" spans="2:29" x14ac:dyDescent="0.2">
      <c r="I59" s="233"/>
      <c r="J59" s="233"/>
      <c r="K59" s="233">
        <f t="shared" si="36"/>
        <v>0</v>
      </c>
      <c r="L59" s="233"/>
      <c r="M59" s="233"/>
      <c r="N59" s="233"/>
      <c r="O59" s="233"/>
      <c r="P59" s="233"/>
      <c r="Q59" s="233"/>
      <c r="R59" s="233"/>
      <c r="S59" s="233"/>
      <c r="T59" s="233"/>
      <c r="U59" s="233"/>
      <c r="V59" s="233"/>
      <c r="W59" s="233"/>
      <c r="X59" s="233"/>
      <c r="Y59" s="233"/>
      <c r="Z59" s="233"/>
      <c r="AA59" s="45">
        <f t="shared" si="34"/>
        <v>0</v>
      </c>
      <c r="AC59" s="45">
        <f t="shared" si="35"/>
        <v>0</v>
      </c>
    </row>
    <row r="60" spans="2:29" ht="13.5" thickBot="1" x14ac:dyDescent="0.25">
      <c r="I60" s="53">
        <f>SUM(I39:I59)</f>
        <v>0</v>
      </c>
      <c r="J60" s="53"/>
      <c r="K60" s="53">
        <f t="shared" ref="K60:AC60" si="37">SUM(K39:K59)</f>
        <v>0</v>
      </c>
      <c r="L60" s="53">
        <f t="shared" si="37"/>
        <v>0</v>
      </c>
      <c r="M60" s="53">
        <f t="shared" si="37"/>
        <v>0</v>
      </c>
      <c r="N60" s="53"/>
      <c r="O60" s="53">
        <f t="shared" si="37"/>
        <v>0</v>
      </c>
      <c r="P60" s="53"/>
      <c r="Q60" s="53">
        <f t="shared" si="37"/>
        <v>0</v>
      </c>
      <c r="R60" s="53"/>
      <c r="S60" s="53">
        <f t="shared" si="37"/>
        <v>0</v>
      </c>
      <c r="T60" s="53">
        <f t="shared" si="37"/>
        <v>0</v>
      </c>
      <c r="U60" s="53"/>
      <c r="V60" s="53"/>
      <c r="W60" s="53">
        <f t="shared" si="37"/>
        <v>0</v>
      </c>
      <c r="X60" s="53">
        <f t="shared" si="37"/>
        <v>0</v>
      </c>
      <c r="Y60" s="53"/>
      <c r="Z60" s="53"/>
      <c r="AA60" s="53">
        <f t="shared" si="37"/>
        <v>0</v>
      </c>
      <c r="AB60" s="53"/>
      <c r="AC60" s="53">
        <f t="shared" si="37"/>
        <v>0</v>
      </c>
    </row>
    <row r="61" spans="2:29" ht="13.5" thickTop="1" x14ac:dyDescent="0.2">
      <c r="I61" s="233"/>
      <c r="J61" s="233"/>
      <c r="K61" s="233"/>
      <c r="L61" s="233"/>
      <c r="M61" s="233"/>
      <c r="N61" s="233"/>
      <c r="O61" s="233"/>
      <c r="P61" s="233"/>
      <c r="Q61" s="233"/>
      <c r="R61" s="233"/>
      <c r="S61" s="233"/>
      <c r="T61" s="233"/>
      <c r="U61" s="233"/>
      <c r="V61" s="233"/>
      <c r="W61" s="233"/>
      <c r="X61" s="233"/>
      <c r="Y61" s="233"/>
      <c r="Z61" s="233"/>
      <c r="AA61" s="233"/>
      <c r="AB61" s="233"/>
      <c r="AC61" s="233"/>
    </row>
    <row r="63" spans="2:29" x14ac:dyDescent="0.2">
      <c r="B63" s="204" t="s">
        <v>1433</v>
      </c>
      <c r="I63" s="335">
        <v>0.02</v>
      </c>
      <c r="J63" s="45" t="s">
        <v>330</v>
      </c>
    </row>
    <row r="64" spans="2:29" x14ac:dyDescent="0.2">
      <c r="B64" s="205"/>
      <c r="E64" s="8"/>
      <c r="F64" s="8"/>
      <c r="G64" s="8"/>
      <c r="H64" s="8"/>
      <c r="I64" s="22"/>
      <c r="J64" s="22"/>
      <c r="K64" s="22"/>
      <c r="L64" s="22"/>
      <c r="M64" s="603" t="s">
        <v>1571</v>
      </c>
      <c r="N64" s="22"/>
      <c r="O64" s="709" t="s">
        <v>1572</v>
      </c>
      <c r="P64" s="711"/>
      <c r="Q64" s="22"/>
      <c r="R64" s="22"/>
      <c r="S64" s="22"/>
      <c r="T64" s="22"/>
      <c r="U64" s="22"/>
      <c r="V64" s="296" t="s">
        <v>868</v>
      </c>
      <c r="W64" s="297" t="s">
        <v>875</v>
      </c>
      <c r="X64" s="298" t="s">
        <v>869</v>
      </c>
      <c r="Y64" s="22"/>
      <c r="Z64" s="22"/>
      <c r="AA64" s="22"/>
      <c r="AB64" s="22"/>
      <c r="AC64" s="22"/>
    </row>
    <row r="65" spans="2:29" x14ac:dyDescent="0.2">
      <c r="B65" s="206" t="s">
        <v>28</v>
      </c>
      <c r="C65" s="70" t="s">
        <v>282</v>
      </c>
      <c r="D65" s="70"/>
      <c r="E65" s="278" t="s">
        <v>763</v>
      </c>
      <c r="F65" s="279" t="s">
        <v>595</v>
      </c>
      <c r="G65" s="278" t="s">
        <v>596</v>
      </c>
      <c r="H65" s="278" t="s">
        <v>707</v>
      </c>
      <c r="I65" s="24" t="s">
        <v>452</v>
      </c>
      <c r="J65" s="24" t="s">
        <v>703</v>
      </c>
      <c r="K65" s="24" t="s">
        <v>702</v>
      </c>
      <c r="L65" s="24" t="s">
        <v>334</v>
      </c>
      <c r="M65" s="604" t="s">
        <v>452</v>
      </c>
      <c r="N65" s="24" t="s">
        <v>491</v>
      </c>
      <c r="O65" s="283" t="s">
        <v>452</v>
      </c>
      <c r="P65" s="284" t="s">
        <v>703</v>
      </c>
      <c r="Q65" s="24" t="s">
        <v>704</v>
      </c>
      <c r="R65" s="24" t="s">
        <v>705</v>
      </c>
      <c r="S65" s="24" t="s">
        <v>866</v>
      </c>
      <c r="T65" s="24" t="s">
        <v>706</v>
      </c>
      <c r="U65" s="24"/>
      <c r="V65" s="283" t="s">
        <v>870</v>
      </c>
      <c r="W65" s="24" t="s">
        <v>876</v>
      </c>
      <c r="X65" s="284" t="s">
        <v>871</v>
      </c>
      <c r="Y65" s="24" t="s">
        <v>682</v>
      </c>
      <c r="Z65" s="24" t="s">
        <v>701</v>
      </c>
      <c r="AA65" s="24" t="s">
        <v>452</v>
      </c>
      <c r="AB65" s="24" t="s">
        <v>703</v>
      </c>
      <c r="AC65" s="24" t="s">
        <v>702</v>
      </c>
    </row>
    <row r="67" spans="2:29" x14ac:dyDescent="0.2">
      <c r="K67" s="45">
        <f t="shared" ref="K67:K74" si="38">I67-J67</f>
        <v>0</v>
      </c>
      <c r="N67" s="45">
        <v>12</v>
      </c>
      <c r="Z67" s="198">
        <f>ROUND(IF(L67&gt;0,L67*I$63*N67/12,IF(M67&gt;0,M67*I$63*N67/12,IF(K67=0,0,IF(I67*I$63*N67/12&gt;=K67,K67-1,I67*I$63*N67/12)))),2)+Y67</f>
        <v>0</v>
      </c>
      <c r="AA67" s="45">
        <f>I67+L67-Q67-O67+M67</f>
        <v>0</v>
      </c>
      <c r="AB67" s="45">
        <f t="shared" ref="AB67:AB130" si="39">J67+Z67-R67-P67</f>
        <v>0</v>
      </c>
      <c r="AC67" s="45">
        <f t="shared" ref="AC67" si="40">AA67-AB67</f>
        <v>0</v>
      </c>
    </row>
    <row r="68" spans="2:29" x14ac:dyDescent="0.2">
      <c r="B68" s="93"/>
      <c r="C68" s="172"/>
      <c r="D68" s="172"/>
      <c r="E68" s="172"/>
      <c r="F68" s="173"/>
      <c r="G68" s="1"/>
      <c r="H68" s="172"/>
      <c r="K68" s="45">
        <f t="shared" si="38"/>
        <v>0</v>
      </c>
      <c r="N68" s="45">
        <v>12</v>
      </c>
      <c r="Z68" s="198">
        <f t="shared" ref="Z68:Z131" si="41">ROUND(IF(L68&gt;0,L68*I$63*N68/12,IF(M68&gt;0,M68*I$63*N68/12,IF(K68=0,0,IF(I68*I$63*N68/12&gt;=K68,K68-1,I68*I$63*N68/12)))),2)+Y68</f>
        <v>0</v>
      </c>
      <c r="AA68" s="45">
        <f t="shared" ref="AA68:AA131" si="42">I68+L68-Q68-O68+M68</f>
        <v>0</v>
      </c>
      <c r="AB68" s="45">
        <f t="shared" si="39"/>
        <v>0</v>
      </c>
      <c r="AC68" s="45">
        <f t="shared" ref="AC68:AC131" si="43">AA68-AB68</f>
        <v>0</v>
      </c>
    </row>
    <row r="69" spans="2:29" ht="15" x14ac:dyDescent="0.35">
      <c r="B69" s="93"/>
      <c r="C69" s="174" t="s">
        <v>597</v>
      </c>
      <c r="D69" s="174"/>
      <c r="E69" s="172"/>
      <c r="F69" s="173"/>
      <c r="G69" s="1"/>
      <c r="H69" s="172"/>
      <c r="K69" s="45">
        <f t="shared" si="38"/>
        <v>0</v>
      </c>
      <c r="N69" s="45">
        <v>12</v>
      </c>
      <c r="Z69" s="198">
        <f t="shared" si="41"/>
        <v>0</v>
      </c>
      <c r="AA69" s="45">
        <f t="shared" si="42"/>
        <v>0</v>
      </c>
      <c r="AB69" s="45">
        <f t="shared" si="39"/>
        <v>0</v>
      </c>
      <c r="AC69" s="45">
        <f t="shared" si="43"/>
        <v>0</v>
      </c>
    </row>
    <row r="70" spans="2:29" ht="15" x14ac:dyDescent="0.35">
      <c r="B70" s="93"/>
      <c r="C70" s="174"/>
      <c r="D70" s="174"/>
      <c r="E70" s="172"/>
      <c r="F70" s="173"/>
      <c r="G70" s="1"/>
      <c r="H70" s="172"/>
      <c r="K70" s="45">
        <f t="shared" si="38"/>
        <v>0</v>
      </c>
      <c r="N70" s="45">
        <v>12</v>
      </c>
      <c r="Z70" s="198">
        <f t="shared" si="41"/>
        <v>0</v>
      </c>
      <c r="AA70" s="45">
        <f t="shared" si="42"/>
        <v>0</v>
      </c>
      <c r="AB70" s="45">
        <f t="shared" si="39"/>
        <v>0</v>
      </c>
      <c r="AC70" s="45">
        <f t="shared" si="43"/>
        <v>0</v>
      </c>
    </row>
    <row r="71" spans="2:29" x14ac:dyDescent="0.2">
      <c r="B71" s="181"/>
      <c r="C71" s="172"/>
      <c r="D71" s="184"/>
      <c r="E71" s="172"/>
      <c r="F71" s="182"/>
      <c r="G71" s="1"/>
      <c r="H71" s="172"/>
      <c r="K71" s="45">
        <f t="shared" si="38"/>
        <v>0</v>
      </c>
      <c r="N71" s="45">
        <v>12</v>
      </c>
      <c r="Z71" s="198">
        <f t="shared" si="41"/>
        <v>0</v>
      </c>
      <c r="AA71" s="45">
        <f t="shared" si="42"/>
        <v>0</v>
      </c>
      <c r="AB71" s="45">
        <f t="shared" si="39"/>
        <v>0</v>
      </c>
      <c r="AC71" s="45">
        <f t="shared" si="43"/>
        <v>0</v>
      </c>
    </row>
    <row r="72" spans="2:29" x14ac:dyDescent="0.2">
      <c r="B72" s="181"/>
      <c r="C72" s="172"/>
      <c r="D72" s="229"/>
      <c r="E72" s="229"/>
      <c r="F72" s="230"/>
      <c r="G72" s="231"/>
      <c r="H72" s="232"/>
      <c r="K72" s="45">
        <f t="shared" si="38"/>
        <v>0</v>
      </c>
      <c r="N72" s="45">
        <v>12</v>
      </c>
      <c r="Z72" s="198">
        <f t="shared" si="41"/>
        <v>0</v>
      </c>
      <c r="AA72" s="45">
        <f>I72+L72-Q72-O72+M72</f>
        <v>0</v>
      </c>
      <c r="AB72" s="45">
        <f>J72+Z72-R72-P72</f>
        <v>0</v>
      </c>
      <c r="AC72" s="45">
        <f t="shared" si="43"/>
        <v>0</v>
      </c>
    </row>
    <row r="73" spans="2:29" x14ac:dyDescent="0.2">
      <c r="B73" s="181"/>
      <c r="C73" s="172"/>
      <c r="D73" s="232"/>
      <c r="E73" s="232"/>
      <c r="F73" s="230"/>
      <c r="G73" s="231"/>
      <c r="H73" s="232"/>
      <c r="K73" s="45">
        <f t="shared" si="38"/>
        <v>0</v>
      </c>
      <c r="N73" s="45">
        <v>12</v>
      </c>
      <c r="Z73" s="198">
        <f t="shared" si="41"/>
        <v>0</v>
      </c>
      <c r="AA73" s="45">
        <f t="shared" si="42"/>
        <v>0</v>
      </c>
      <c r="AB73" s="45">
        <f t="shared" si="39"/>
        <v>0</v>
      </c>
      <c r="AC73" s="45">
        <f t="shared" si="43"/>
        <v>0</v>
      </c>
    </row>
    <row r="74" spans="2:29" x14ac:dyDescent="0.2">
      <c r="B74" s="181"/>
      <c r="C74" s="172"/>
      <c r="D74" s="232"/>
      <c r="E74" s="232"/>
      <c r="F74" s="233"/>
      <c r="G74" s="234"/>
      <c r="H74" s="232"/>
      <c r="I74" s="233"/>
      <c r="J74" s="233"/>
      <c r="K74" s="45">
        <f t="shared" si="38"/>
        <v>0</v>
      </c>
      <c r="N74" s="45">
        <v>12</v>
      </c>
      <c r="Z74" s="198">
        <f t="shared" si="41"/>
        <v>0</v>
      </c>
      <c r="AA74" s="45">
        <f t="shared" si="42"/>
        <v>0</v>
      </c>
      <c r="AB74" s="45">
        <f t="shared" si="39"/>
        <v>0</v>
      </c>
      <c r="AC74" s="45">
        <f t="shared" si="43"/>
        <v>0</v>
      </c>
    </row>
    <row r="75" spans="2:29" x14ac:dyDescent="0.2">
      <c r="B75" s="181"/>
      <c r="C75" s="172"/>
      <c r="D75" s="233"/>
      <c r="E75" s="232"/>
      <c r="F75" s="233"/>
      <c r="G75" s="235"/>
      <c r="H75" s="232"/>
      <c r="I75" s="233"/>
      <c r="J75" s="233"/>
      <c r="K75" s="45">
        <f t="shared" ref="K75:K124" si="44">I75-J75</f>
        <v>0</v>
      </c>
      <c r="N75" s="45">
        <v>12</v>
      </c>
      <c r="Z75" s="198">
        <f>ROUND(IF(L75&gt;0,L75*I$63*N75/12,IF(M75&gt;0,M75*I$63*N75/12,IF(K75=0,0,IF(I75*I$63*N75/12&gt;=K75,K75-1,I75*I$63*N75/12)))),2)+Y75</f>
        <v>0</v>
      </c>
      <c r="AA75" s="45">
        <f t="shared" si="42"/>
        <v>0</v>
      </c>
      <c r="AB75" s="45">
        <f>J75+Z75-R75-P75</f>
        <v>0</v>
      </c>
      <c r="AC75" s="45">
        <f t="shared" si="43"/>
        <v>0</v>
      </c>
    </row>
    <row r="76" spans="2:29" x14ac:dyDescent="0.2">
      <c r="B76" s="181"/>
      <c r="C76" s="229"/>
      <c r="D76" s="233"/>
      <c r="E76" s="229"/>
      <c r="F76" s="233"/>
      <c r="G76" s="235"/>
      <c r="H76" s="229"/>
      <c r="I76" s="233"/>
      <c r="J76" s="233"/>
      <c r="K76" s="45">
        <f t="shared" si="44"/>
        <v>0</v>
      </c>
      <c r="N76" s="45">
        <v>12</v>
      </c>
      <c r="Z76" s="198">
        <f t="shared" si="41"/>
        <v>0</v>
      </c>
      <c r="AA76" s="45">
        <f t="shared" si="42"/>
        <v>0</v>
      </c>
      <c r="AB76" s="45">
        <f t="shared" si="39"/>
        <v>0</v>
      </c>
      <c r="AC76" s="45">
        <f t="shared" si="43"/>
        <v>0</v>
      </c>
    </row>
    <row r="77" spans="2:29" x14ac:dyDescent="0.2">
      <c r="B77" s="181"/>
      <c r="C77" s="232"/>
      <c r="D77" s="233"/>
      <c r="E77" s="232"/>
      <c r="F77" s="233"/>
      <c r="G77" s="235"/>
      <c r="H77" s="232"/>
      <c r="I77" s="233"/>
      <c r="J77" s="233"/>
      <c r="K77" s="45">
        <f t="shared" si="44"/>
        <v>0</v>
      </c>
      <c r="N77" s="45">
        <v>12</v>
      </c>
      <c r="Z77" s="198">
        <f t="shared" si="41"/>
        <v>0</v>
      </c>
      <c r="AA77" s="45">
        <f t="shared" si="42"/>
        <v>0</v>
      </c>
      <c r="AB77" s="45">
        <f t="shared" si="39"/>
        <v>0</v>
      </c>
      <c r="AC77" s="45">
        <f t="shared" si="43"/>
        <v>0</v>
      </c>
    </row>
    <row r="78" spans="2:29" x14ac:dyDescent="0.2">
      <c r="B78" s="181"/>
      <c r="C78" s="232"/>
      <c r="D78" s="233"/>
      <c r="E78" s="232"/>
      <c r="F78" s="233"/>
      <c r="G78" s="235"/>
      <c r="H78" s="232"/>
      <c r="I78" s="233"/>
      <c r="J78" s="233"/>
      <c r="K78" s="45">
        <f t="shared" si="44"/>
        <v>0</v>
      </c>
      <c r="N78" s="45">
        <v>12</v>
      </c>
      <c r="Z78" s="198">
        <f t="shared" si="41"/>
        <v>0</v>
      </c>
      <c r="AA78" s="45">
        <f t="shared" si="42"/>
        <v>0</v>
      </c>
      <c r="AB78" s="45">
        <f t="shared" si="39"/>
        <v>0</v>
      </c>
      <c r="AC78" s="45">
        <f t="shared" si="43"/>
        <v>0</v>
      </c>
    </row>
    <row r="79" spans="2:29" x14ac:dyDescent="0.2">
      <c r="B79" s="181"/>
      <c r="C79" s="232"/>
      <c r="D79" s="233"/>
      <c r="E79" s="236"/>
      <c r="F79" s="233"/>
      <c r="G79" s="234"/>
      <c r="H79" s="232"/>
      <c r="I79" s="233"/>
      <c r="J79" s="233"/>
      <c r="K79" s="45">
        <f t="shared" ref="K79:K120" si="45">I79-J79</f>
        <v>0</v>
      </c>
      <c r="N79" s="45">
        <v>12</v>
      </c>
      <c r="Z79" s="198">
        <f t="shared" si="41"/>
        <v>0</v>
      </c>
      <c r="AA79" s="45">
        <f t="shared" si="42"/>
        <v>0</v>
      </c>
      <c r="AB79" s="45">
        <f t="shared" si="39"/>
        <v>0</v>
      </c>
      <c r="AC79" s="45">
        <f t="shared" si="43"/>
        <v>0</v>
      </c>
    </row>
    <row r="80" spans="2:29" x14ac:dyDescent="0.2">
      <c r="B80" s="181"/>
      <c r="C80" s="232"/>
      <c r="D80" s="233"/>
      <c r="E80" s="232"/>
      <c r="F80" s="233"/>
      <c r="G80" s="235"/>
      <c r="H80" s="232"/>
      <c r="I80" s="233"/>
      <c r="J80" s="233"/>
      <c r="K80" s="45">
        <f t="shared" si="45"/>
        <v>0</v>
      </c>
      <c r="N80" s="45">
        <v>12</v>
      </c>
      <c r="Z80" s="198">
        <f t="shared" si="41"/>
        <v>0</v>
      </c>
      <c r="AA80" s="45">
        <f t="shared" si="42"/>
        <v>0</v>
      </c>
      <c r="AB80" s="45">
        <f t="shared" si="39"/>
        <v>0</v>
      </c>
      <c r="AC80" s="45">
        <f t="shared" si="43"/>
        <v>0</v>
      </c>
    </row>
    <row r="81" spans="2:29" x14ac:dyDescent="0.2">
      <c r="B81" s="181"/>
      <c r="C81" s="232"/>
      <c r="D81" s="233"/>
      <c r="E81" s="236"/>
      <c r="F81" s="233"/>
      <c r="G81" s="234"/>
      <c r="H81" s="232"/>
      <c r="I81" s="233"/>
      <c r="J81" s="233"/>
      <c r="K81" s="45">
        <f t="shared" si="45"/>
        <v>0</v>
      </c>
      <c r="N81" s="45">
        <v>12</v>
      </c>
      <c r="Z81" s="198">
        <f t="shared" si="41"/>
        <v>0</v>
      </c>
      <c r="AA81" s="45">
        <f t="shared" si="42"/>
        <v>0</v>
      </c>
      <c r="AB81" s="45">
        <f t="shared" si="39"/>
        <v>0</v>
      </c>
      <c r="AC81" s="45">
        <f t="shared" si="43"/>
        <v>0</v>
      </c>
    </row>
    <row r="82" spans="2:29" x14ac:dyDescent="0.2">
      <c r="B82" s="181"/>
      <c r="C82" s="232"/>
      <c r="D82" s="233"/>
      <c r="E82" s="232"/>
      <c r="F82" s="233"/>
      <c r="G82" s="235"/>
      <c r="H82" s="232"/>
      <c r="I82" s="233"/>
      <c r="J82" s="233"/>
      <c r="K82" s="45">
        <f t="shared" ref="K82:K108" si="46">I82-J82</f>
        <v>0</v>
      </c>
      <c r="N82" s="45">
        <v>12</v>
      </c>
      <c r="Z82" s="198">
        <f t="shared" si="41"/>
        <v>0</v>
      </c>
      <c r="AA82" s="45">
        <f t="shared" si="42"/>
        <v>0</v>
      </c>
      <c r="AB82" s="45">
        <f t="shared" si="39"/>
        <v>0</v>
      </c>
      <c r="AC82" s="45">
        <f t="shared" si="43"/>
        <v>0</v>
      </c>
    </row>
    <row r="83" spans="2:29" x14ac:dyDescent="0.2">
      <c r="B83" s="181"/>
      <c r="C83" s="232"/>
      <c r="D83" s="233"/>
      <c r="E83" s="236"/>
      <c r="F83" s="233"/>
      <c r="G83" s="234"/>
      <c r="H83" s="232"/>
      <c r="I83" s="233"/>
      <c r="J83" s="233"/>
      <c r="K83" s="45">
        <f t="shared" si="46"/>
        <v>0</v>
      </c>
      <c r="N83" s="45">
        <v>12</v>
      </c>
      <c r="Z83" s="198">
        <f t="shared" si="41"/>
        <v>0</v>
      </c>
      <c r="AA83" s="45">
        <f t="shared" si="42"/>
        <v>0</v>
      </c>
      <c r="AB83" s="45">
        <f t="shared" si="39"/>
        <v>0</v>
      </c>
      <c r="AC83" s="45">
        <f t="shared" si="43"/>
        <v>0</v>
      </c>
    </row>
    <row r="84" spans="2:29" x14ac:dyDescent="0.2">
      <c r="B84" s="181"/>
      <c r="C84" s="232"/>
      <c r="D84" s="233"/>
      <c r="E84" s="232"/>
      <c r="F84" s="233"/>
      <c r="G84" s="235"/>
      <c r="H84" s="232"/>
      <c r="I84" s="233"/>
      <c r="J84" s="233"/>
      <c r="K84" s="45">
        <f t="shared" si="46"/>
        <v>0</v>
      </c>
      <c r="N84" s="45">
        <v>12</v>
      </c>
      <c r="Z84" s="198">
        <f t="shared" si="41"/>
        <v>0</v>
      </c>
      <c r="AA84" s="45">
        <f t="shared" si="42"/>
        <v>0</v>
      </c>
      <c r="AB84" s="45">
        <f t="shared" si="39"/>
        <v>0</v>
      </c>
      <c r="AC84" s="45">
        <f t="shared" si="43"/>
        <v>0</v>
      </c>
    </row>
    <row r="85" spans="2:29" x14ac:dyDescent="0.2">
      <c r="B85" s="181"/>
      <c r="C85" s="232"/>
      <c r="D85" s="233"/>
      <c r="E85" s="236"/>
      <c r="F85" s="233"/>
      <c r="G85" s="234"/>
      <c r="H85" s="232"/>
      <c r="I85" s="233"/>
      <c r="J85" s="233"/>
      <c r="K85" s="45">
        <f t="shared" si="46"/>
        <v>0</v>
      </c>
      <c r="N85" s="45">
        <v>12</v>
      </c>
      <c r="Z85" s="198">
        <f t="shared" si="41"/>
        <v>0</v>
      </c>
      <c r="AA85" s="45">
        <f t="shared" si="42"/>
        <v>0</v>
      </c>
      <c r="AB85" s="45">
        <f t="shared" si="39"/>
        <v>0</v>
      </c>
      <c r="AC85" s="45">
        <f t="shared" si="43"/>
        <v>0</v>
      </c>
    </row>
    <row r="86" spans="2:29" x14ac:dyDescent="0.2">
      <c r="B86" s="181"/>
      <c r="C86" s="232"/>
      <c r="D86" s="233"/>
      <c r="E86" s="232"/>
      <c r="F86" s="233"/>
      <c r="G86" s="234"/>
      <c r="H86" s="232"/>
      <c r="I86" s="233"/>
      <c r="J86" s="233"/>
      <c r="K86" s="45">
        <f t="shared" si="46"/>
        <v>0</v>
      </c>
      <c r="N86" s="45">
        <v>12</v>
      </c>
      <c r="Z86" s="198">
        <f t="shared" si="41"/>
        <v>0</v>
      </c>
      <c r="AA86" s="45">
        <f t="shared" si="42"/>
        <v>0</v>
      </c>
      <c r="AB86" s="45">
        <f t="shared" si="39"/>
        <v>0</v>
      </c>
      <c r="AC86" s="45">
        <f t="shared" si="43"/>
        <v>0</v>
      </c>
    </row>
    <row r="87" spans="2:29" x14ac:dyDescent="0.2">
      <c r="B87" s="181"/>
      <c r="C87" s="232"/>
      <c r="D87" s="233"/>
      <c r="E87" s="236"/>
      <c r="F87" s="233"/>
      <c r="G87" s="234"/>
      <c r="H87" s="232"/>
      <c r="I87" s="233"/>
      <c r="J87" s="233"/>
      <c r="K87" s="45">
        <f t="shared" si="46"/>
        <v>0</v>
      </c>
      <c r="N87" s="45">
        <v>12</v>
      </c>
      <c r="Z87" s="198">
        <f t="shared" si="41"/>
        <v>0</v>
      </c>
      <c r="AA87" s="45">
        <f t="shared" si="42"/>
        <v>0</v>
      </c>
      <c r="AB87" s="45">
        <f t="shared" si="39"/>
        <v>0</v>
      </c>
      <c r="AC87" s="45">
        <f t="shared" si="43"/>
        <v>0</v>
      </c>
    </row>
    <row r="88" spans="2:29" x14ac:dyDescent="0.2">
      <c r="B88" s="181"/>
      <c r="C88" s="232"/>
      <c r="D88" s="233"/>
      <c r="E88" s="232"/>
      <c r="F88" s="233"/>
      <c r="G88" s="234"/>
      <c r="H88" s="232"/>
      <c r="I88" s="233"/>
      <c r="J88" s="233"/>
      <c r="K88" s="45">
        <f t="shared" si="46"/>
        <v>0</v>
      </c>
      <c r="N88" s="45">
        <v>12</v>
      </c>
      <c r="Z88" s="198">
        <f t="shared" si="41"/>
        <v>0</v>
      </c>
      <c r="AA88" s="45">
        <f t="shared" si="42"/>
        <v>0</v>
      </c>
      <c r="AB88" s="45">
        <f t="shared" si="39"/>
        <v>0</v>
      </c>
      <c r="AC88" s="45">
        <f t="shared" si="43"/>
        <v>0</v>
      </c>
    </row>
    <row r="89" spans="2:29" x14ac:dyDescent="0.2">
      <c r="B89" s="181"/>
      <c r="C89" s="232"/>
      <c r="D89" s="233"/>
      <c r="E89" s="236"/>
      <c r="F89" s="233"/>
      <c r="G89" s="234"/>
      <c r="H89" s="232"/>
      <c r="I89" s="233"/>
      <c r="J89" s="233"/>
      <c r="K89" s="45">
        <f t="shared" si="46"/>
        <v>0</v>
      </c>
      <c r="N89" s="45">
        <v>12</v>
      </c>
      <c r="Z89" s="198">
        <f t="shared" si="41"/>
        <v>0</v>
      </c>
      <c r="AA89" s="45">
        <f t="shared" si="42"/>
        <v>0</v>
      </c>
      <c r="AB89" s="45">
        <f t="shared" si="39"/>
        <v>0</v>
      </c>
      <c r="AC89" s="45">
        <f t="shared" si="43"/>
        <v>0</v>
      </c>
    </row>
    <row r="90" spans="2:29" x14ac:dyDescent="0.2">
      <c r="B90" s="181"/>
      <c r="C90" s="232"/>
      <c r="D90" s="233"/>
      <c r="E90" s="232"/>
      <c r="F90" s="233"/>
      <c r="G90" s="234"/>
      <c r="H90" s="232"/>
      <c r="I90" s="233"/>
      <c r="J90" s="233"/>
      <c r="K90" s="45">
        <f t="shared" si="46"/>
        <v>0</v>
      </c>
      <c r="N90" s="45">
        <v>12</v>
      </c>
      <c r="Z90" s="198">
        <f t="shared" si="41"/>
        <v>0</v>
      </c>
      <c r="AA90" s="45">
        <f t="shared" si="42"/>
        <v>0</v>
      </c>
      <c r="AB90" s="45">
        <f t="shared" si="39"/>
        <v>0</v>
      </c>
      <c r="AC90" s="45">
        <f t="shared" si="43"/>
        <v>0</v>
      </c>
    </row>
    <row r="91" spans="2:29" x14ac:dyDescent="0.2">
      <c r="B91" s="181"/>
      <c r="C91" s="232"/>
      <c r="D91" s="233"/>
      <c r="E91" s="236"/>
      <c r="F91" s="233"/>
      <c r="G91" s="234"/>
      <c r="H91" s="232"/>
      <c r="I91" s="233"/>
      <c r="J91" s="233"/>
      <c r="K91" s="45">
        <f t="shared" si="46"/>
        <v>0</v>
      </c>
      <c r="N91" s="45">
        <v>12</v>
      </c>
      <c r="Z91" s="198">
        <f t="shared" si="41"/>
        <v>0</v>
      </c>
      <c r="AA91" s="45">
        <f t="shared" si="42"/>
        <v>0</v>
      </c>
      <c r="AB91" s="45">
        <f t="shared" si="39"/>
        <v>0</v>
      </c>
      <c r="AC91" s="45">
        <f t="shared" si="43"/>
        <v>0</v>
      </c>
    </row>
    <row r="92" spans="2:29" x14ac:dyDescent="0.2">
      <c r="B92" s="181"/>
      <c r="C92" s="232"/>
      <c r="D92" s="233"/>
      <c r="E92" s="232"/>
      <c r="F92" s="233"/>
      <c r="G92" s="234"/>
      <c r="H92" s="232"/>
      <c r="I92" s="233"/>
      <c r="J92" s="233"/>
      <c r="K92" s="45">
        <f t="shared" si="46"/>
        <v>0</v>
      </c>
      <c r="N92" s="45">
        <v>12</v>
      </c>
      <c r="Z92" s="198">
        <f t="shared" si="41"/>
        <v>0</v>
      </c>
      <c r="AA92" s="45">
        <f t="shared" si="42"/>
        <v>0</v>
      </c>
      <c r="AB92" s="45">
        <f t="shared" si="39"/>
        <v>0</v>
      </c>
      <c r="AC92" s="45">
        <f t="shared" si="43"/>
        <v>0</v>
      </c>
    </row>
    <row r="93" spans="2:29" x14ac:dyDescent="0.2">
      <c r="B93" s="181"/>
      <c r="C93" s="232"/>
      <c r="D93" s="233"/>
      <c r="E93" s="236"/>
      <c r="F93" s="233"/>
      <c r="G93" s="234"/>
      <c r="H93" s="232"/>
      <c r="I93" s="233"/>
      <c r="J93" s="233"/>
      <c r="K93" s="45">
        <f t="shared" si="46"/>
        <v>0</v>
      </c>
      <c r="N93" s="45">
        <v>12</v>
      </c>
      <c r="Z93" s="198">
        <f t="shared" si="41"/>
        <v>0</v>
      </c>
      <c r="AA93" s="45">
        <f t="shared" si="42"/>
        <v>0</v>
      </c>
      <c r="AB93" s="45">
        <f t="shared" si="39"/>
        <v>0</v>
      </c>
      <c r="AC93" s="45">
        <f t="shared" si="43"/>
        <v>0</v>
      </c>
    </row>
    <row r="94" spans="2:29" x14ac:dyDescent="0.2">
      <c r="B94" s="181"/>
      <c r="C94" s="232"/>
      <c r="D94" s="233"/>
      <c r="E94" s="232"/>
      <c r="F94" s="233"/>
      <c r="G94" s="234"/>
      <c r="H94" s="232"/>
      <c r="I94" s="233"/>
      <c r="J94" s="233"/>
      <c r="K94" s="45">
        <f t="shared" si="46"/>
        <v>0</v>
      </c>
      <c r="N94" s="45">
        <v>12</v>
      </c>
      <c r="Z94" s="198">
        <f t="shared" si="41"/>
        <v>0</v>
      </c>
      <c r="AA94" s="45">
        <f t="shared" si="42"/>
        <v>0</v>
      </c>
      <c r="AB94" s="45">
        <f t="shared" si="39"/>
        <v>0</v>
      </c>
      <c r="AC94" s="45">
        <f t="shared" si="43"/>
        <v>0</v>
      </c>
    </row>
    <row r="95" spans="2:29" x14ac:dyDescent="0.2">
      <c r="B95" s="181"/>
      <c r="C95" s="232"/>
      <c r="D95" s="233"/>
      <c r="E95" s="236"/>
      <c r="F95" s="233"/>
      <c r="G95" s="234"/>
      <c r="H95" s="232"/>
      <c r="I95" s="233"/>
      <c r="J95" s="233"/>
      <c r="K95" s="45">
        <f t="shared" si="46"/>
        <v>0</v>
      </c>
      <c r="N95" s="45">
        <v>12</v>
      </c>
      <c r="Z95" s="198">
        <f t="shared" si="41"/>
        <v>0</v>
      </c>
      <c r="AA95" s="45">
        <f t="shared" si="42"/>
        <v>0</v>
      </c>
      <c r="AB95" s="45">
        <f t="shared" si="39"/>
        <v>0</v>
      </c>
      <c r="AC95" s="45">
        <f t="shared" si="43"/>
        <v>0</v>
      </c>
    </row>
    <row r="96" spans="2:29" x14ac:dyDescent="0.2">
      <c r="B96" s="181"/>
      <c r="C96" s="232"/>
      <c r="D96" s="233"/>
      <c r="E96" s="232"/>
      <c r="F96" s="233"/>
      <c r="G96" s="234"/>
      <c r="H96" s="232"/>
      <c r="I96" s="233"/>
      <c r="J96" s="233"/>
      <c r="K96" s="45">
        <f t="shared" si="46"/>
        <v>0</v>
      </c>
      <c r="N96" s="45">
        <v>12</v>
      </c>
      <c r="Z96" s="198">
        <f t="shared" si="41"/>
        <v>0</v>
      </c>
      <c r="AA96" s="45">
        <f t="shared" si="42"/>
        <v>0</v>
      </c>
      <c r="AB96" s="45">
        <f t="shared" si="39"/>
        <v>0</v>
      </c>
      <c r="AC96" s="45">
        <f t="shared" si="43"/>
        <v>0</v>
      </c>
    </row>
    <row r="97" spans="2:29" x14ac:dyDescent="0.2">
      <c r="B97" s="181"/>
      <c r="C97" s="232"/>
      <c r="D97" s="233"/>
      <c r="E97" s="236"/>
      <c r="F97" s="233"/>
      <c r="G97" s="234"/>
      <c r="H97" s="232"/>
      <c r="I97" s="233"/>
      <c r="J97" s="233"/>
      <c r="K97" s="45">
        <f t="shared" si="46"/>
        <v>0</v>
      </c>
      <c r="N97" s="45">
        <v>12</v>
      </c>
      <c r="Z97" s="198">
        <f t="shared" si="41"/>
        <v>0</v>
      </c>
      <c r="AA97" s="45">
        <f t="shared" si="42"/>
        <v>0</v>
      </c>
      <c r="AB97" s="45">
        <f t="shared" si="39"/>
        <v>0</v>
      </c>
      <c r="AC97" s="45">
        <f t="shared" si="43"/>
        <v>0</v>
      </c>
    </row>
    <row r="98" spans="2:29" x14ac:dyDescent="0.2">
      <c r="B98" s="181"/>
      <c r="C98" s="232"/>
      <c r="D98" s="233"/>
      <c r="E98" s="232"/>
      <c r="F98" s="233"/>
      <c r="G98" s="234"/>
      <c r="H98" s="232"/>
      <c r="I98" s="233"/>
      <c r="J98" s="233"/>
      <c r="K98" s="45">
        <f t="shared" si="46"/>
        <v>0</v>
      </c>
      <c r="N98" s="45">
        <v>12</v>
      </c>
      <c r="Z98" s="198">
        <f t="shared" si="41"/>
        <v>0</v>
      </c>
      <c r="AA98" s="45">
        <f t="shared" si="42"/>
        <v>0</v>
      </c>
      <c r="AB98" s="45">
        <f t="shared" si="39"/>
        <v>0</v>
      </c>
      <c r="AC98" s="45">
        <f t="shared" si="43"/>
        <v>0</v>
      </c>
    </row>
    <row r="99" spans="2:29" x14ac:dyDescent="0.2">
      <c r="B99" s="181"/>
      <c r="C99" s="232"/>
      <c r="D99" s="233"/>
      <c r="E99" s="236"/>
      <c r="F99" s="233"/>
      <c r="G99" s="234"/>
      <c r="H99" s="232"/>
      <c r="I99" s="233"/>
      <c r="J99" s="233"/>
      <c r="K99" s="45">
        <f t="shared" si="46"/>
        <v>0</v>
      </c>
      <c r="N99" s="45">
        <v>12</v>
      </c>
      <c r="Z99" s="198">
        <f t="shared" si="41"/>
        <v>0</v>
      </c>
      <c r="AA99" s="45">
        <f t="shared" si="42"/>
        <v>0</v>
      </c>
      <c r="AB99" s="45">
        <f t="shared" si="39"/>
        <v>0</v>
      </c>
      <c r="AC99" s="45">
        <f t="shared" si="43"/>
        <v>0</v>
      </c>
    </row>
    <row r="100" spans="2:29" x14ac:dyDescent="0.2">
      <c r="B100" s="181"/>
      <c r="C100" s="232"/>
      <c r="D100" s="233"/>
      <c r="E100" s="232"/>
      <c r="F100" s="233"/>
      <c r="G100" s="235"/>
      <c r="H100" s="232"/>
      <c r="I100" s="233"/>
      <c r="J100" s="233"/>
      <c r="K100" s="45">
        <f t="shared" si="46"/>
        <v>0</v>
      </c>
      <c r="N100" s="45">
        <v>12</v>
      </c>
      <c r="Z100" s="198">
        <f t="shared" si="41"/>
        <v>0</v>
      </c>
      <c r="AA100" s="45">
        <f t="shared" si="42"/>
        <v>0</v>
      </c>
      <c r="AB100" s="45">
        <f t="shared" si="39"/>
        <v>0</v>
      </c>
      <c r="AC100" s="45">
        <f t="shared" si="43"/>
        <v>0</v>
      </c>
    </row>
    <row r="101" spans="2:29" x14ac:dyDescent="0.2">
      <c r="B101" s="181"/>
      <c r="C101" s="232"/>
      <c r="D101" s="233"/>
      <c r="E101" s="232"/>
      <c r="F101" s="233"/>
      <c r="G101" s="235"/>
      <c r="H101" s="232"/>
      <c r="I101" s="233"/>
      <c r="J101" s="233"/>
      <c r="K101" s="45">
        <f t="shared" si="46"/>
        <v>0</v>
      </c>
      <c r="N101" s="45">
        <v>12</v>
      </c>
      <c r="Z101" s="198">
        <f t="shared" si="41"/>
        <v>0</v>
      </c>
      <c r="AA101" s="45">
        <f t="shared" si="42"/>
        <v>0</v>
      </c>
      <c r="AB101" s="45">
        <f t="shared" si="39"/>
        <v>0</v>
      </c>
      <c r="AC101" s="45">
        <f t="shared" si="43"/>
        <v>0</v>
      </c>
    </row>
    <row r="102" spans="2:29" x14ac:dyDescent="0.2">
      <c r="B102" s="181"/>
      <c r="C102" s="232"/>
      <c r="D102" s="233"/>
      <c r="E102" s="232"/>
      <c r="F102" s="233"/>
      <c r="G102" s="235"/>
      <c r="H102" s="232"/>
      <c r="I102" s="233"/>
      <c r="J102" s="233"/>
      <c r="K102" s="45">
        <f t="shared" si="46"/>
        <v>0</v>
      </c>
      <c r="N102" s="45">
        <v>12</v>
      </c>
      <c r="Z102" s="198">
        <f t="shared" si="41"/>
        <v>0</v>
      </c>
      <c r="AA102" s="45">
        <f t="shared" si="42"/>
        <v>0</v>
      </c>
      <c r="AB102" s="45">
        <f t="shared" si="39"/>
        <v>0</v>
      </c>
      <c r="AC102" s="45">
        <f t="shared" si="43"/>
        <v>0</v>
      </c>
    </row>
    <row r="103" spans="2:29" x14ac:dyDescent="0.2">
      <c r="B103" s="181"/>
      <c r="C103" s="232"/>
      <c r="D103" s="233"/>
      <c r="E103" s="232"/>
      <c r="F103" s="233"/>
      <c r="G103" s="234"/>
      <c r="H103" s="232"/>
      <c r="I103" s="233"/>
      <c r="J103" s="233"/>
      <c r="K103" s="45">
        <f t="shared" si="46"/>
        <v>0</v>
      </c>
      <c r="N103" s="45">
        <v>12</v>
      </c>
      <c r="Z103" s="198">
        <f t="shared" si="41"/>
        <v>0</v>
      </c>
      <c r="AA103" s="45">
        <f t="shared" si="42"/>
        <v>0</v>
      </c>
      <c r="AB103" s="45">
        <f t="shared" si="39"/>
        <v>0</v>
      </c>
      <c r="AC103" s="45">
        <f t="shared" si="43"/>
        <v>0</v>
      </c>
    </row>
    <row r="104" spans="2:29" x14ac:dyDescent="0.2">
      <c r="B104" s="181"/>
      <c r="C104" s="232"/>
      <c r="D104" s="233"/>
      <c r="E104" s="232"/>
      <c r="F104" s="233"/>
      <c r="G104" s="235"/>
      <c r="H104" s="232"/>
      <c r="I104" s="233"/>
      <c r="J104" s="233"/>
      <c r="K104" s="45">
        <f t="shared" si="46"/>
        <v>0</v>
      </c>
      <c r="N104" s="45">
        <v>12</v>
      </c>
      <c r="Z104" s="198">
        <f t="shared" si="41"/>
        <v>0</v>
      </c>
      <c r="AA104" s="45">
        <f t="shared" si="42"/>
        <v>0</v>
      </c>
      <c r="AB104" s="45">
        <f t="shared" si="39"/>
        <v>0</v>
      </c>
      <c r="AC104" s="45">
        <f t="shared" si="43"/>
        <v>0</v>
      </c>
    </row>
    <row r="105" spans="2:29" x14ac:dyDescent="0.2">
      <c r="B105" s="181"/>
      <c r="C105" s="232"/>
      <c r="D105" s="233"/>
      <c r="E105" s="232"/>
      <c r="F105" s="233"/>
      <c r="G105" s="234"/>
      <c r="H105" s="232"/>
      <c r="I105" s="233"/>
      <c r="J105" s="233"/>
      <c r="K105" s="45">
        <f t="shared" si="46"/>
        <v>0</v>
      </c>
      <c r="N105" s="45">
        <v>12</v>
      </c>
      <c r="Z105" s="198">
        <f t="shared" si="41"/>
        <v>0</v>
      </c>
      <c r="AA105" s="45">
        <f t="shared" si="42"/>
        <v>0</v>
      </c>
      <c r="AB105" s="45">
        <f t="shared" si="39"/>
        <v>0</v>
      </c>
      <c r="AC105" s="45">
        <f t="shared" si="43"/>
        <v>0</v>
      </c>
    </row>
    <row r="106" spans="2:29" x14ac:dyDescent="0.2">
      <c r="B106" s="93"/>
      <c r="C106" s="232"/>
      <c r="D106" s="233"/>
      <c r="E106" s="232"/>
      <c r="F106" s="237"/>
      <c r="G106" s="231"/>
      <c r="H106" s="232"/>
      <c r="I106" s="233"/>
      <c r="J106" s="233"/>
      <c r="K106" s="45">
        <f t="shared" si="46"/>
        <v>0</v>
      </c>
      <c r="N106" s="45">
        <v>12</v>
      </c>
      <c r="Z106" s="198">
        <f t="shared" si="41"/>
        <v>0</v>
      </c>
      <c r="AA106" s="45">
        <f t="shared" si="42"/>
        <v>0</v>
      </c>
      <c r="AB106" s="45">
        <f t="shared" si="39"/>
        <v>0</v>
      </c>
      <c r="AC106" s="45">
        <f t="shared" si="43"/>
        <v>0</v>
      </c>
    </row>
    <row r="107" spans="2:29" x14ac:dyDescent="0.2">
      <c r="B107" s="93"/>
      <c r="C107" s="232"/>
      <c r="D107" s="232"/>
      <c r="E107" s="232"/>
      <c r="F107" s="237"/>
      <c r="G107" s="231"/>
      <c r="H107" s="232"/>
      <c r="I107" s="233"/>
      <c r="J107" s="233"/>
      <c r="K107" s="45">
        <f t="shared" si="46"/>
        <v>0</v>
      </c>
      <c r="N107" s="45">
        <v>12</v>
      </c>
      <c r="Z107" s="198">
        <f t="shared" si="41"/>
        <v>0</v>
      </c>
      <c r="AA107" s="45">
        <f t="shared" si="42"/>
        <v>0</v>
      </c>
      <c r="AB107" s="45">
        <f t="shared" si="39"/>
        <v>0</v>
      </c>
      <c r="AC107" s="45">
        <f t="shared" si="43"/>
        <v>0</v>
      </c>
    </row>
    <row r="108" spans="2:29" x14ac:dyDescent="0.2">
      <c r="B108" s="93"/>
      <c r="C108" s="232"/>
      <c r="D108" s="238"/>
      <c r="E108" s="232"/>
      <c r="F108" s="237"/>
      <c r="G108" s="231"/>
      <c r="H108" s="232"/>
      <c r="I108" s="233"/>
      <c r="J108" s="233"/>
      <c r="K108" s="45">
        <f t="shared" si="46"/>
        <v>0</v>
      </c>
      <c r="N108" s="45">
        <v>12</v>
      </c>
      <c r="Z108" s="198">
        <f t="shared" si="41"/>
        <v>0</v>
      </c>
      <c r="AA108" s="45">
        <f t="shared" si="42"/>
        <v>0</v>
      </c>
      <c r="AB108" s="45">
        <f t="shared" si="39"/>
        <v>0</v>
      </c>
      <c r="AC108" s="45">
        <f t="shared" si="43"/>
        <v>0</v>
      </c>
    </row>
    <row r="109" spans="2:29" x14ac:dyDescent="0.2">
      <c r="B109" s="93"/>
      <c r="C109" s="232"/>
      <c r="D109" s="238"/>
      <c r="E109" s="232"/>
      <c r="F109" s="237"/>
      <c r="G109" s="231"/>
      <c r="H109" s="232"/>
      <c r="I109" s="233"/>
      <c r="J109" s="233"/>
      <c r="K109" s="45">
        <f t="shared" ref="K109:K118" si="47">I109-J109</f>
        <v>0</v>
      </c>
      <c r="N109" s="45">
        <v>12</v>
      </c>
      <c r="Z109" s="198">
        <f t="shared" si="41"/>
        <v>0</v>
      </c>
      <c r="AA109" s="45">
        <f t="shared" si="42"/>
        <v>0</v>
      </c>
      <c r="AB109" s="45">
        <f t="shared" si="39"/>
        <v>0</v>
      </c>
      <c r="AC109" s="45">
        <f t="shared" si="43"/>
        <v>0</v>
      </c>
    </row>
    <row r="110" spans="2:29" x14ac:dyDescent="0.2">
      <c r="B110" s="93"/>
      <c r="C110" s="232"/>
      <c r="D110" s="238"/>
      <c r="E110" s="232"/>
      <c r="F110" s="237"/>
      <c r="G110" s="231"/>
      <c r="H110" s="232"/>
      <c r="I110" s="233"/>
      <c r="J110" s="233"/>
      <c r="K110" s="45">
        <f t="shared" ref="K110" si="48">I110-J110</f>
        <v>0</v>
      </c>
      <c r="N110" s="45">
        <v>12</v>
      </c>
      <c r="Z110" s="198">
        <f t="shared" si="41"/>
        <v>0</v>
      </c>
      <c r="AA110" s="45">
        <f t="shared" si="42"/>
        <v>0</v>
      </c>
      <c r="AB110" s="45">
        <f t="shared" si="39"/>
        <v>0</v>
      </c>
      <c r="AC110" s="45">
        <f t="shared" si="43"/>
        <v>0</v>
      </c>
    </row>
    <row r="111" spans="2:29" x14ac:dyDescent="0.2">
      <c r="B111" s="93"/>
      <c r="C111" s="232"/>
      <c r="D111" s="238"/>
      <c r="E111" s="232"/>
      <c r="F111" s="237"/>
      <c r="G111" s="231"/>
      <c r="H111" s="232"/>
      <c r="I111" s="233"/>
      <c r="J111" s="233"/>
      <c r="K111" s="45">
        <f t="shared" si="47"/>
        <v>0</v>
      </c>
      <c r="N111" s="45">
        <v>12</v>
      </c>
      <c r="Z111" s="198">
        <f t="shared" si="41"/>
        <v>0</v>
      </c>
      <c r="AA111" s="45">
        <f t="shared" si="42"/>
        <v>0</v>
      </c>
      <c r="AB111" s="45">
        <f t="shared" si="39"/>
        <v>0</v>
      </c>
      <c r="AC111" s="45">
        <f t="shared" si="43"/>
        <v>0</v>
      </c>
    </row>
    <row r="112" spans="2:29" x14ac:dyDescent="0.2">
      <c r="B112" s="93"/>
      <c r="C112" s="232"/>
      <c r="D112" s="238"/>
      <c r="E112" s="232"/>
      <c r="F112" s="237"/>
      <c r="G112" s="231"/>
      <c r="H112" s="232"/>
      <c r="I112" s="233"/>
      <c r="J112" s="233"/>
      <c r="K112" s="45">
        <f t="shared" si="47"/>
        <v>0</v>
      </c>
      <c r="N112" s="45">
        <v>12</v>
      </c>
      <c r="Z112" s="198">
        <f t="shared" si="41"/>
        <v>0</v>
      </c>
      <c r="AA112" s="45">
        <f t="shared" si="42"/>
        <v>0</v>
      </c>
      <c r="AB112" s="45">
        <f t="shared" si="39"/>
        <v>0</v>
      </c>
      <c r="AC112" s="45">
        <f t="shared" si="43"/>
        <v>0</v>
      </c>
    </row>
    <row r="113" spans="2:29" x14ac:dyDescent="0.2">
      <c r="B113" s="93"/>
      <c r="C113" s="232"/>
      <c r="D113" s="238"/>
      <c r="E113" s="232"/>
      <c r="F113" s="237"/>
      <c r="G113" s="231"/>
      <c r="H113" s="232"/>
      <c r="I113" s="233"/>
      <c r="J113" s="233"/>
      <c r="K113" s="45">
        <f t="shared" si="47"/>
        <v>0</v>
      </c>
      <c r="N113" s="45">
        <v>12</v>
      </c>
      <c r="Z113" s="198">
        <f t="shared" si="41"/>
        <v>0</v>
      </c>
      <c r="AA113" s="45">
        <f t="shared" si="42"/>
        <v>0</v>
      </c>
      <c r="AB113" s="45">
        <f t="shared" si="39"/>
        <v>0</v>
      </c>
      <c r="AC113" s="45">
        <f t="shared" si="43"/>
        <v>0</v>
      </c>
    </row>
    <row r="114" spans="2:29" x14ac:dyDescent="0.2">
      <c r="B114" s="93"/>
      <c r="C114" s="232"/>
      <c r="D114" s="238"/>
      <c r="E114" s="232"/>
      <c r="F114" s="237"/>
      <c r="G114" s="231"/>
      <c r="H114" s="232"/>
      <c r="I114" s="233"/>
      <c r="J114" s="233"/>
      <c r="K114" s="45">
        <f t="shared" si="47"/>
        <v>0</v>
      </c>
      <c r="N114" s="45">
        <v>12</v>
      </c>
      <c r="Z114" s="198">
        <f t="shared" si="41"/>
        <v>0</v>
      </c>
      <c r="AA114" s="45">
        <f t="shared" si="42"/>
        <v>0</v>
      </c>
      <c r="AB114" s="45">
        <f t="shared" si="39"/>
        <v>0</v>
      </c>
      <c r="AC114" s="45">
        <f t="shared" si="43"/>
        <v>0</v>
      </c>
    </row>
    <row r="115" spans="2:29" x14ac:dyDescent="0.2">
      <c r="B115" s="93"/>
      <c r="C115" s="232"/>
      <c r="D115" s="238"/>
      <c r="E115" s="232"/>
      <c r="F115" s="237"/>
      <c r="G115" s="231"/>
      <c r="H115" s="232"/>
      <c r="I115" s="233"/>
      <c r="J115" s="233"/>
      <c r="K115" s="45">
        <f t="shared" si="47"/>
        <v>0</v>
      </c>
      <c r="N115" s="45">
        <v>12</v>
      </c>
      <c r="Z115" s="198">
        <f t="shared" si="41"/>
        <v>0</v>
      </c>
      <c r="AA115" s="45">
        <f t="shared" si="42"/>
        <v>0</v>
      </c>
      <c r="AB115" s="45">
        <f t="shared" si="39"/>
        <v>0</v>
      </c>
      <c r="AC115" s="45">
        <f t="shared" si="43"/>
        <v>0</v>
      </c>
    </row>
    <row r="116" spans="2:29" x14ac:dyDescent="0.2">
      <c r="B116" s="93"/>
      <c r="C116" s="232"/>
      <c r="D116" s="232"/>
      <c r="E116" s="232"/>
      <c r="F116" s="237"/>
      <c r="G116" s="231"/>
      <c r="H116" s="232"/>
      <c r="I116" s="233"/>
      <c r="J116" s="233"/>
      <c r="K116" s="45">
        <f t="shared" si="47"/>
        <v>0</v>
      </c>
      <c r="N116" s="45">
        <v>12</v>
      </c>
      <c r="Z116" s="198">
        <f t="shared" si="41"/>
        <v>0</v>
      </c>
      <c r="AA116" s="45">
        <f t="shared" si="42"/>
        <v>0</v>
      </c>
      <c r="AB116" s="45">
        <f t="shared" si="39"/>
        <v>0</v>
      </c>
      <c r="AC116" s="45">
        <f t="shared" si="43"/>
        <v>0</v>
      </c>
    </row>
    <row r="117" spans="2:29" x14ac:dyDescent="0.2">
      <c r="B117" s="93"/>
      <c r="C117" s="232"/>
      <c r="D117" s="232"/>
      <c r="E117" s="232"/>
      <c r="F117" s="237"/>
      <c r="G117" s="1"/>
      <c r="H117" s="232"/>
      <c r="I117" s="233"/>
      <c r="J117" s="233"/>
      <c r="K117" s="45">
        <f t="shared" si="47"/>
        <v>0</v>
      </c>
      <c r="N117" s="45">
        <v>12</v>
      </c>
      <c r="Z117" s="198">
        <f t="shared" si="41"/>
        <v>0</v>
      </c>
      <c r="AA117" s="45">
        <f t="shared" si="42"/>
        <v>0</v>
      </c>
      <c r="AB117" s="45">
        <f t="shared" si="39"/>
        <v>0</v>
      </c>
      <c r="AC117" s="45">
        <f t="shared" si="43"/>
        <v>0</v>
      </c>
    </row>
    <row r="118" spans="2:29" x14ac:dyDescent="0.2">
      <c r="B118" s="93"/>
      <c r="C118" s="232"/>
      <c r="D118" s="232"/>
      <c r="E118" s="236"/>
      <c r="F118" s="237"/>
      <c r="G118" s="239"/>
      <c r="H118" s="232"/>
      <c r="I118" s="233"/>
      <c r="J118" s="233"/>
      <c r="K118" s="45">
        <f t="shared" si="47"/>
        <v>0</v>
      </c>
      <c r="N118" s="45">
        <v>12</v>
      </c>
      <c r="Z118" s="198">
        <f t="shared" si="41"/>
        <v>0</v>
      </c>
      <c r="AA118" s="45">
        <f t="shared" si="42"/>
        <v>0</v>
      </c>
      <c r="AB118" s="45">
        <f t="shared" si="39"/>
        <v>0</v>
      </c>
      <c r="AC118" s="45">
        <f t="shared" si="43"/>
        <v>0</v>
      </c>
    </row>
    <row r="119" spans="2:29" x14ac:dyDescent="0.2">
      <c r="B119" s="93"/>
      <c r="C119" s="172"/>
      <c r="D119" s="172"/>
      <c r="E119" s="172"/>
      <c r="F119" s="173"/>
      <c r="G119" s="1"/>
      <c r="H119" s="172"/>
      <c r="K119" s="45">
        <f t="shared" si="45"/>
        <v>0</v>
      </c>
      <c r="N119" s="45">
        <v>12</v>
      </c>
      <c r="Z119" s="198">
        <f t="shared" si="41"/>
        <v>0</v>
      </c>
      <c r="AA119" s="45">
        <f t="shared" si="42"/>
        <v>0</v>
      </c>
      <c r="AB119" s="45">
        <f t="shared" si="39"/>
        <v>0</v>
      </c>
      <c r="AC119" s="45">
        <f t="shared" si="43"/>
        <v>0</v>
      </c>
    </row>
    <row r="120" spans="2:29" x14ac:dyDescent="0.2">
      <c r="B120" s="93"/>
      <c r="C120" s="172"/>
      <c r="D120" s="172"/>
      <c r="E120" s="172"/>
      <c r="F120" s="173"/>
      <c r="G120" s="1"/>
      <c r="H120" s="172"/>
      <c r="K120" s="45">
        <f t="shared" si="45"/>
        <v>0</v>
      </c>
      <c r="N120" s="45">
        <v>12</v>
      </c>
      <c r="Z120" s="198">
        <f t="shared" si="41"/>
        <v>0</v>
      </c>
      <c r="AA120" s="45">
        <f t="shared" si="42"/>
        <v>0</v>
      </c>
      <c r="AB120" s="45">
        <f t="shared" si="39"/>
        <v>0</v>
      </c>
      <c r="AC120" s="45">
        <f t="shared" si="43"/>
        <v>0</v>
      </c>
    </row>
    <row r="121" spans="2:29" x14ac:dyDescent="0.2">
      <c r="B121" s="93"/>
      <c r="C121" s="172"/>
      <c r="D121" s="172"/>
      <c r="E121" s="172"/>
      <c r="F121" s="173"/>
      <c r="G121" s="1"/>
      <c r="H121" s="172"/>
      <c r="K121" s="45">
        <f t="shared" si="44"/>
        <v>0</v>
      </c>
      <c r="N121" s="45">
        <v>12</v>
      </c>
      <c r="Z121" s="198">
        <f t="shared" si="41"/>
        <v>0</v>
      </c>
      <c r="AA121" s="45">
        <f t="shared" si="42"/>
        <v>0</v>
      </c>
      <c r="AB121" s="45">
        <f t="shared" si="39"/>
        <v>0</v>
      </c>
      <c r="AC121" s="45">
        <f t="shared" si="43"/>
        <v>0</v>
      </c>
    </row>
    <row r="122" spans="2:29" ht="15" x14ac:dyDescent="0.35">
      <c r="B122" s="93"/>
      <c r="C122" s="174" t="s">
        <v>598</v>
      </c>
      <c r="D122" s="174"/>
      <c r="E122" s="172"/>
      <c r="F122" s="173"/>
      <c r="G122" s="1"/>
      <c r="H122" s="172"/>
      <c r="K122" s="45">
        <f t="shared" si="44"/>
        <v>0</v>
      </c>
      <c r="N122" s="45">
        <v>12</v>
      </c>
      <c r="Z122" s="198">
        <f t="shared" si="41"/>
        <v>0</v>
      </c>
      <c r="AA122" s="45">
        <f t="shared" si="42"/>
        <v>0</v>
      </c>
      <c r="AB122" s="45">
        <f t="shared" si="39"/>
        <v>0</v>
      </c>
      <c r="AC122" s="45">
        <f t="shared" si="43"/>
        <v>0</v>
      </c>
    </row>
    <row r="123" spans="2:29" ht="15" x14ac:dyDescent="0.35">
      <c r="B123" s="93"/>
      <c r="C123" s="174"/>
      <c r="D123" s="174"/>
      <c r="E123" s="172"/>
      <c r="F123" s="173"/>
      <c r="G123" s="1"/>
      <c r="H123" s="172"/>
      <c r="K123" s="45">
        <f t="shared" si="44"/>
        <v>0</v>
      </c>
      <c r="N123" s="45">
        <v>12</v>
      </c>
      <c r="Z123" s="198">
        <f t="shared" si="41"/>
        <v>0</v>
      </c>
      <c r="AA123" s="45">
        <f t="shared" si="42"/>
        <v>0</v>
      </c>
      <c r="AB123" s="45">
        <f t="shared" si="39"/>
        <v>0</v>
      </c>
      <c r="AC123" s="45">
        <f t="shared" si="43"/>
        <v>0</v>
      </c>
    </row>
    <row r="124" spans="2:29" x14ac:dyDescent="0.2">
      <c r="B124" s="181"/>
      <c r="C124" s="232"/>
      <c r="D124" s="232"/>
      <c r="E124" s="232"/>
      <c r="F124" s="233"/>
      <c r="G124" s="181"/>
      <c r="H124" s="232"/>
      <c r="I124" s="240"/>
      <c r="J124" s="233"/>
      <c r="K124" s="45">
        <f t="shared" si="44"/>
        <v>0</v>
      </c>
      <c r="N124" s="45">
        <v>12</v>
      </c>
      <c r="Z124" s="198">
        <f t="shared" si="41"/>
        <v>0</v>
      </c>
      <c r="AA124" s="45">
        <f t="shared" si="42"/>
        <v>0</v>
      </c>
      <c r="AB124" s="45">
        <f t="shared" si="39"/>
        <v>0</v>
      </c>
      <c r="AC124" s="45">
        <f t="shared" si="43"/>
        <v>0</v>
      </c>
    </row>
    <row r="125" spans="2:29" x14ac:dyDescent="0.2">
      <c r="B125" s="181"/>
      <c r="C125" s="232"/>
      <c r="D125" s="232"/>
      <c r="E125" s="232"/>
      <c r="F125" s="233"/>
      <c r="G125" s="230"/>
      <c r="H125" s="241"/>
      <c r="I125" s="240"/>
      <c r="J125" s="233"/>
      <c r="K125" s="45">
        <f t="shared" ref="K125:K128" si="49">I125-J125</f>
        <v>0</v>
      </c>
      <c r="N125" s="45">
        <v>12</v>
      </c>
      <c r="Z125" s="198">
        <f t="shared" si="41"/>
        <v>0</v>
      </c>
      <c r="AA125" s="45">
        <f t="shared" si="42"/>
        <v>0</v>
      </c>
      <c r="AB125" s="45">
        <f t="shared" si="39"/>
        <v>0</v>
      </c>
      <c r="AC125" s="45">
        <f t="shared" si="43"/>
        <v>0</v>
      </c>
    </row>
    <row r="126" spans="2:29" x14ac:dyDescent="0.2">
      <c r="B126" s="181"/>
      <c r="C126" s="232"/>
      <c r="D126" s="232"/>
      <c r="E126" s="232"/>
      <c r="F126" s="233"/>
      <c r="G126" s="181"/>
      <c r="H126" s="241"/>
      <c r="I126" s="240"/>
      <c r="J126" s="233"/>
      <c r="K126" s="45">
        <f t="shared" si="49"/>
        <v>0</v>
      </c>
      <c r="N126" s="45">
        <v>12</v>
      </c>
      <c r="Z126" s="198">
        <f t="shared" si="41"/>
        <v>0</v>
      </c>
      <c r="AA126" s="45">
        <f t="shared" si="42"/>
        <v>0</v>
      </c>
      <c r="AB126" s="45">
        <f t="shared" si="39"/>
        <v>0</v>
      </c>
      <c r="AC126" s="45">
        <f t="shared" si="43"/>
        <v>0</v>
      </c>
    </row>
    <row r="127" spans="2:29" x14ac:dyDescent="0.2">
      <c r="B127" s="181"/>
      <c r="C127" s="232"/>
      <c r="D127" s="232"/>
      <c r="E127" s="232"/>
      <c r="F127" s="233"/>
      <c r="G127" s="230"/>
      <c r="H127" s="241"/>
      <c r="I127" s="240"/>
      <c r="J127" s="233"/>
      <c r="K127" s="45">
        <f t="shared" si="49"/>
        <v>0</v>
      </c>
      <c r="N127" s="45">
        <v>12</v>
      </c>
      <c r="Z127" s="198">
        <f t="shared" si="41"/>
        <v>0</v>
      </c>
      <c r="AA127" s="45">
        <f t="shared" si="42"/>
        <v>0</v>
      </c>
      <c r="AB127" s="45">
        <f t="shared" si="39"/>
        <v>0</v>
      </c>
      <c r="AC127" s="45">
        <f t="shared" si="43"/>
        <v>0</v>
      </c>
    </row>
    <row r="128" spans="2:29" x14ac:dyDescent="0.2">
      <c r="B128" s="181"/>
      <c r="C128" s="232"/>
      <c r="D128" s="232"/>
      <c r="E128" s="232"/>
      <c r="F128" s="233"/>
      <c r="G128" s="181"/>
      <c r="H128" s="241"/>
      <c r="I128" s="240"/>
      <c r="J128" s="233"/>
      <c r="K128" s="45">
        <f t="shared" si="49"/>
        <v>0</v>
      </c>
      <c r="N128" s="45">
        <v>12</v>
      </c>
      <c r="Z128" s="198">
        <f t="shared" si="41"/>
        <v>0</v>
      </c>
      <c r="AA128" s="45">
        <f t="shared" si="42"/>
        <v>0</v>
      </c>
      <c r="AB128" s="45">
        <f t="shared" si="39"/>
        <v>0</v>
      </c>
      <c r="AC128" s="45">
        <f t="shared" si="43"/>
        <v>0</v>
      </c>
    </row>
    <row r="129" spans="2:29" x14ac:dyDescent="0.2">
      <c r="B129" s="181"/>
      <c r="C129" s="232"/>
      <c r="D129" s="232"/>
      <c r="E129" s="232"/>
      <c r="F129" s="233"/>
      <c r="G129" s="181"/>
      <c r="H129" s="241"/>
      <c r="I129" s="240"/>
      <c r="J129" s="233"/>
      <c r="K129" s="45">
        <f t="shared" ref="K129:K147" si="50">I129-J129</f>
        <v>0</v>
      </c>
      <c r="N129" s="45">
        <v>12</v>
      </c>
      <c r="Z129" s="198">
        <f t="shared" si="41"/>
        <v>0</v>
      </c>
      <c r="AA129" s="45">
        <f t="shared" si="42"/>
        <v>0</v>
      </c>
      <c r="AB129" s="45">
        <f t="shared" si="39"/>
        <v>0</v>
      </c>
      <c r="AC129" s="45">
        <f t="shared" si="43"/>
        <v>0</v>
      </c>
    </row>
    <row r="130" spans="2:29" x14ac:dyDescent="0.2">
      <c r="B130" s="181"/>
      <c r="C130" s="232"/>
      <c r="D130" s="232"/>
      <c r="E130" s="232"/>
      <c r="F130" s="233"/>
      <c r="G130" s="181"/>
      <c r="H130" s="241"/>
      <c r="I130" s="240"/>
      <c r="J130" s="233"/>
      <c r="K130" s="45">
        <f t="shared" si="50"/>
        <v>0</v>
      </c>
      <c r="N130" s="45">
        <v>12</v>
      </c>
      <c r="Z130" s="198">
        <f t="shared" si="41"/>
        <v>0</v>
      </c>
      <c r="AA130" s="45">
        <f t="shared" si="42"/>
        <v>0</v>
      </c>
      <c r="AB130" s="45">
        <f t="shared" si="39"/>
        <v>0</v>
      </c>
      <c r="AC130" s="45">
        <f t="shared" si="43"/>
        <v>0</v>
      </c>
    </row>
    <row r="131" spans="2:29" x14ac:dyDescent="0.2">
      <c r="B131" s="181"/>
      <c r="C131" s="232"/>
      <c r="D131" s="232"/>
      <c r="E131" s="232"/>
      <c r="F131" s="233"/>
      <c r="G131" s="181"/>
      <c r="H131" s="241"/>
      <c r="I131" s="240"/>
      <c r="J131" s="233"/>
      <c r="K131" s="45">
        <f t="shared" si="50"/>
        <v>0</v>
      </c>
      <c r="N131" s="45">
        <v>12</v>
      </c>
      <c r="Z131" s="198">
        <f t="shared" si="41"/>
        <v>0</v>
      </c>
      <c r="AA131" s="45">
        <f t="shared" si="42"/>
        <v>0</v>
      </c>
      <c r="AB131" s="45">
        <f t="shared" ref="AB131:AB147" si="51">J131+Z131-R131-P131</f>
        <v>0</v>
      </c>
      <c r="AC131" s="45">
        <f t="shared" si="43"/>
        <v>0</v>
      </c>
    </row>
    <row r="132" spans="2:29" x14ac:dyDescent="0.2">
      <c r="B132" s="181"/>
      <c r="C132" s="232"/>
      <c r="D132" s="232"/>
      <c r="E132" s="232"/>
      <c r="F132" s="233"/>
      <c r="G132" s="181"/>
      <c r="H132" s="241"/>
      <c r="I132" s="233"/>
      <c r="J132" s="233"/>
      <c r="K132" s="45">
        <f t="shared" si="50"/>
        <v>0</v>
      </c>
      <c r="N132" s="45">
        <v>12</v>
      </c>
      <c r="Z132" s="198">
        <f t="shared" ref="Z132:Z147" si="52">ROUND(IF(L132&gt;0,L132*I$63*N132/12,IF(M132&gt;0,M132*I$63*N132/12,IF(K132=0,0,IF(I132*I$63*N132/12&gt;=K132,K132-1,I132*I$63*N132/12)))),2)+Y132</f>
        <v>0</v>
      </c>
      <c r="AA132" s="45">
        <f t="shared" ref="AA132:AA147" si="53">I132+L132-Q132-O132+M132</f>
        <v>0</v>
      </c>
      <c r="AB132" s="45">
        <f t="shared" si="51"/>
        <v>0</v>
      </c>
      <c r="AC132" s="45">
        <f t="shared" ref="AC132:AC147" si="54">AA132-AB132</f>
        <v>0</v>
      </c>
    </row>
    <row r="133" spans="2:29" x14ac:dyDescent="0.2">
      <c r="B133" s="181"/>
      <c r="C133" s="232"/>
      <c r="D133" s="232"/>
      <c r="E133" s="232"/>
      <c r="F133" s="233"/>
      <c r="G133" s="181"/>
      <c r="H133" s="241"/>
      <c r="I133" s="233"/>
      <c r="J133" s="233"/>
      <c r="K133" s="45">
        <f t="shared" si="50"/>
        <v>0</v>
      </c>
      <c r="N133" s="45">
        <v>12</v>
      </c>
      <c r="Z133" s="198">
        <f t="shared" si="52"/>
        <v>0</v>
      </c>
      <c r="AA133" s="45">
        <f t="shared" si="53"/>
        <v>0</v>
      </c>
      <c r="AB133" s="45">
        <f t="shared" si="51"/>
        <v>0</v>
      </c>
      <c r="AC133" s="45">
        <f t="shared" si="54"/>
        <v>0</v>
      </c>
    </row>
    <row r="134" spans="2:29" x14ac:dyDescent="0.2">
      <c r="B134" s="181"/>
      <c r="C134" s="232"/>
      <c r="D134" s="232"/>
      <c r="E134" s="232"/>
      <c r="F134" s="233"/>
      <c r="G134" s="181"/>
      <c r="H134" s="241"/>
      <c r="I134" s="233"/>
      <c r="J134" s="233"/>
      <c r="K134" s="45">
        <f t="shared" si="50"/>
        <v>0</v>
      </c>
      <c r="N134" s="45">
        <v>12</v>
      </c>
      <c r="Z134" s="198">
        <f t="shared" si="52"/>
        <v>0</v>
      </c>
      <c r="AA134" s="45">
        <f t="shared" si="53"/>
        <v>0</v>
      </c>
      <c r="AB134" s="45">
        <f t="shared" si="51"/>
        <v>0</v>
      </c>
      <c r="AC134" s="45">
        <f t="shared" si="54"/>
        <v>0</v>
      </c>
    </row>
    <row r="135" spans="2:29" x14ac:dyDescent="0.2">
      <c r="B135" s="181"/>
      <c r="C135" s="232"/>
      <c r="D135" s="232"/>
      <c r="E135" s="232"/>
      <c r="F135" s="233"/>
      <c r="G135" s="181"/>
      <c r="H135" s="241"/>
      <c r="I135" s="233"/>
      <c r="J135" s="233"/>
      <c r="K135" s="45">
        <f t="shared" si="50"/>
        <v>0</v>
      </c>
      <c r="N135" s="45">
        <v>12</v>
      </c>
      <c r="Z135" s="198">
        <f t="shared" si="52"/>
        <v>0</v>
      </c>
      <c r="AA135" s="45">
        <f t="shared" si="53"/>
        <v>0</v>
      </c>
      <c r="AB135" s="45">
        <f t="shared" si="51"/>
        <v>0</v>
      </c>
      <c r="AC135" s="45">
        <f t="shared" si="54"/>
        <v>0</v>
      </c>
    </row>
    <row r="136" spans="2:29" x14ac:dyDescent="0.2">
      <c r="B136" s="181"/>
      <c r="C136" s="232"/>
      <c r="D136" s="232"/>
      <c r="E136" s="232"/>
      <c r="F136" s="233"/>
      <c r="G136" s="181"/>
      <c r="H136" s="241"/>
      <c r="I136" s="233"/>
      <c r="J136" s="233"/>
      <c r="K136" s="45">
        <f t="shared" si="50"/>
        <v>0</v>
      </c>
      <c r="N136" s="45">
        <v>12</v>
      </c>
      <c r="Z136" s="198">
        <f t="shared" si="52"/>
        <v>0</v>
      </c>
      <c r="AA136" s="45">
        <f t="shared" si="53"/>
        <v>0</v>
      </c>
      <c r="AB136" s="45">
        <f t="shared" si="51"/>
        <v>0</v>
      </c>
      <c r="AC136" s="45">
        <f t="shared" si="54"/>
        <v>0</v>
      </c>
    </row>
    <row r="137" spans="2:29" x14ac:dyDescent="0.2">
      <c r="B137" s="181"/>
      <c r="C137" s="232"/>
      <c r="D137" s="232"/>
      <c r="E137" s="232"/>
      <c r="F137" s="233"/>
      <c r="G137" s="181"/>
      <c r="H137" s="241"/>
      <c r="I137" s="233"/>
      <c r="J137" s="233"/>
      <c r="K137" s="45">
        <f t="shared" si="50"/>
        <v>0</v>
      </c>
      <c r="N137" s="45">
        <v>12</v>
      </c>
      <c r="Z137" s="198">
        <f t="shared" si="52"/>
        <v>0</v>
      </c>
      <c r="AA137" s="45">
        <f t="shared" si="53"/>
        <v>0</v>
      </c>
      <c r="AB137" s="45">
        <f t="shared" si="51"/>
        <v>0</v>
      </c>
      <c r="AC137" s="45">
        <f t="shared" si="54"/>
        <v>0</v>
      </c>
    </row>
    <row r="138" spans="2:29" x14ac:dyDescent="0.2">
      <c r="B138" s="181"/>
      <c r="C138" s="232"/>
      <c r="D138" s="232"/>
      <c r="E138" s="232"/>
      <c r="F138" s="233"/>
      <c r="G138" s="181"/>
      <c r="H138" s="241"/>
      <c r="I138" s="233"/>
      <c r="J138" s="233"/>
      <c r="K138" s="45">
        <f t="shared" si="50"/>
        <v>0</v>
      </c>
      <c r="N138" s="45">
        <v>12</v>
      </c>
      <c r="Z138" s="198">
        <f t="shared" si="52"/>
        <v>0</v>
      </c>
      <c r="AA138" s="45">
        <f t="shared" si="53"/>
        <v>0</v>
      </c>
      <c r="AB138" s="45">
        <f t="shared" si="51"/>
        <v>0</v>
      </c>
      <c r="AC138" s="45">
        <f t="shared" si="54"/>
        <v>0</v>
      </c>
    </row>
    <row r="139" spans="2:29" x14ac:dyDescent="0.2">
      <c r="B139" s="181"/>
      <c r="C139" s="232"/>
      <c r="D139" s="232"/>
      <c r="E139" s="232"/>
      <c r="F139" s="233"/>
      <c r="G139" s="181"/>
      <c r="H139" s="241"/>
      <c r="I139" s="233"/>
      <c r="J139" s="233"/>
      <c r="K139" s="45">
        <f t="shared" si="50"/>
        <v>0</v>
      </c>
      <c r="N139" s="45">
        <v>12</v>
      </c>
      <c r="Z139" s="198">
        <f t="shared" si="52"/>
        <v>0</v>
      </c>
      <c r="AA139" s="45">
        <f t="shared" si="53"/>
        <v>0</v>
      </c>
      <c r="AB139" s="45">
        <f t="shared" si="51"/>
        <v>0</v>
      </c>
      <c r="AC139" s="45">
        <f t="shared" si="54"/>
        <v>0</v>
      </c>
    </row>
    <row r="140" spans="2:29" x14ac:dyDescent="0.2">
      <c r="B140" s="181"/>
      <c r="C140" s="232"/>
      <c r="D140" s="232"/>
      <c r="E140" s="232"/>
      <c r="F140" s="233"/>
      <c r="G140" s="181"/>
      <c r="H140" s="241"/>
      <c r="I140" s="233"/>
      <c r="J140" s="233"/>
      <c r="K140" s="45">
        <f t="shared" si="50"/>
        <v>0</v>
      </c>
      <c r="N140" s="45">
        <v>12</v>
      </c>
      <c r="Z140" s="198">
        <f t="shared" si="52"/>
        <v>0</v>
      </c>
      <c r="AA140" s="45">
        <f t="shared" si="53"/>
        <v>0</v>
      </c>
      <c r="AB140" s="45">
        <f t="shared" si="51"/>
        <v>0</v>
      </c>
      <c r="AC140" s="45">
        <f t="shared" si="54"/>
        <v>0</v>
      </c>
    </row>
    <row r="141" spans="2:29" x14ac:dyDescent="0.2">
      <c r="B141" s="181"/>
      <c r="C141" s="232"/>
      <c r="D141" s="232"/>
      <c r="E141" s="232"/>
      <c r="F141" s="233"/>
      <c r="G141" s="181"/>
      <c r="H141" s="241"/>
      <c r="I141" s="233"/>
      <c r="J141" s="233"/>
      <c r="K141" s="45">
        <f t="shared" si="50"/>
        <v>0</v>
      </c>
      <c r="N141" s="45">
        <v>12</v>
      </c>
      <c r="Z141" s="198">
        <f t="shared" si="52"/>
        <v>0</v>
      </c>
      <c r="AA141" s="45">
        <f t="shared" si="53"/>
        <v>0</v>
      </c>
      <c r="AB141" s="45">
        <f t="shared" si="51"/>
        <v>0</v>
      </c>
      <c r="AC141" s="45">
        <f t="shared" si="54"/>
        <v>0</v>
      </c>
    </row>
    <row r="142" spans="2:29" x14ac:dyDescent="0.2">
      <c r="B142" s="181"/>
      <c r="C142" s="232"/>
      <c r="D142" s="232"/>
      <c r="E142" s="232"/>
      <c r="F142" s="233"/>
      <c r="G142" s="181"/>
      <c r="H142" s="241"/>
      <c r="I142" s="233"/>
      <c r="J142" s="233"/>
      <c r="K142" s="45">
        <f t="shared" si="50"/>
        <v>0</v>
      </c>
      <c r="N142" s="45">
        <v>12</v>
      </c>
      <c r="Z142" s="198">
        <f t="shared" si="52"/>
        <v>0</v>
      </c>
      <c r="AA142" s="45">
        <f t="shared" si="53"/>
        <v>0</v>
      </c>
      <c r="AB142" s="45">
        <f t="shared" si="51"/>
        <v>0</v>
      </c>
      <c r="AC142" s="45">
        <f t="shared" si="54"/>
        <v>0</v>
      </c>
    </row>
    <row r="143" spans="2:29" x14ac:dyDescent="0.2">
      <c r="B143" s="181"/>
      <c r="C143" s="232"/>
      <c r="D143" s="232"/>
      <c r="E143" s="232"/>
      <c r="F143" s="233"/>
      <c r="G143" s="181"/>
      <c r="H143" s="241"/>
      <c r="I143" s="233"/>
      <c r="J143" s="233"/>
      <c r="K143" s="45">
        <f t="shared" si="50"/>
        <v>0</v>
      </c>
      <c r="N143" s="45">
        <v>12</v>
      </c>
      <c r="Z143" s="198">
        <f t="shared" si="52"/>
        <v>0</v>
      </c>
      <c r="AA143" s="45">
        <f t="shared" si="53"/>
        <v>0</v>
      </c>
      <c r="AB143" s="45">
        <f t="shared" si="51"/>
        <v>0</v>
      </c>
      <c r="AC143" s="45">
        <f t="shared" si="54"/>
        <v>0</v>
      </c>
    </row>
    <row r="144" spans="2:29" x14ac:dyDescent="0.2">
      <c r="B144" s="181"/>
      <c r="C144" s="232"/>
      <c r="D144" s="232"/>
      <c r="E144" s="232"/>
      <c r="F144" s="233"/>
      <c r="G144" s="181"/>
      <c r="H144" s="241"/>
      <c r="I144" s="233"/>
      <c r="J144" s="233"/>
      <c r="K144" s="45">
        <f t="shared" si="50"/>
        <v>0</v>
      </c>
      <c r="N144" s="45">
        <v>12</v>
      </c>
      <c r="Z144" s="198">
        <f t="shared" si="52"/>
        <v>0</v>
      </c>
      <c r="AA144" s="45">
        <f t="shared" si="53"/>
        <v>0</v>
      </c>
      <c r="AB144" s="45">
        <f t="shared" si="51"/>
        <v>0</v>
      </c>
      <c r="AC144" s="45">
        <f t="shared" si="54"/>
        <v>0</v>
      </c>
    </row>
    <row r="145" spans="2:31" x14ac:dyDescent="0.2">
      <c r="B145" s="181"/>
      <c r="C145" s="232"/>
      <c r="D145" s="232"/>
      <c r="E145" s="232"/>
      <c r="F145" s="233"/>
      <c r="G145" s="181"/>
      <c r="H145" s="241"/>
      <c r="I145" s="233"/>
      <c r="J145" s="233"/>
      <c r="K145" s="45">
        <f t="shared" si="50"/>
        <v>0</v>
      </c>
      <c r="N145" s="45">
        <v>12</v>
      </c>
      <c r="Z145" s="198">
        <f t="shared" si="52"/>
        <v>0</v>
      </c>
      <c r="AA145" s="45">
        <f t="shared" si="53"/>
        <v>0</v>
      </c>
      <c r="AB145" s="45">
        <f t="shared" si="51"/>
        <v>0</v>
      </c>
      <c r="AC145" s="45">
        <f t="shared" si="54"/>
        <v>0</v>
      </c>
    </row>
    <row r="146" spans="2:31" x14ac:dyDescent="0.2">
      <c r="B146" s="181"/>
      <c r="C146" s="232"/>
      <c r="D146" s="232"/>
      <c r="E146" s="232"/>
      <c r="F146" s="233"/>
      <c r="G146" s="181"/>
      <c r="H146" s="241"/>
      <c r="I146" s="233"/>
      <c r="J146" s="233"/>
      <c r="K146" s="45">
        <f t="shared" si="50"/>
        <v>0</v>
      </c>
      <c r="N146" s="45">
        <v>12</v>
      </c>
      <c r="Z146" s="198">
        <f t="shared" si="52"/>
        <v>0</v>
      </c>
      <c r="AA146" s="45">
        <f t="shared" si="53"/>
        <v>0</v>
      </c>
      <c r="AB146" s="45">
        <f t="shared" si="51"/>
        <v>0</v>
      </c>
      <c r="AC146" s="45">
        <f t="shared" si="54"/>
        <v>0</v>
      </c>
    </row>
    <row r="147" spans="2:31" x14ac:dyDescent="0.2">
      <c r="B147" s="181"/>
      <c r="C147" s="236"/>
      <c r="D147" s="232"/>
      <c r="E147" s="232"/>
      <c r="F147" s="233"/>
      <c r="G147" s="181"/>
      <c r="H147" s="241"/>
      <c r="I147" s="233"/>
      <c r="J147" s="233"/>
      <c r="K147" s="45">
        <f t="shared" si="50"/>
        <v>0</v>
      </c>
      <c r="N147" s="45">
        <v>12</v>
      </c>
      <c r="Z147" s="198">
        <f t="shared" si="52"/>
        <v>0</v>
      </c>
      <c r="AA147" s="45">
        <f t="shared" si="53"/>
        <v>0</v>
      </c>
      <c r="AB147" s="45">
        <f t="shared" si="51"/>
        <v>0</v>
      </c>
      <c r="AC147" s="45">
        <f t="shared" si="54"/>
        <v>0</v>
      </c>
    </row>
    <row r="149" spans="2:31" ht="13.5" thickBot="1" x14ac:dyDescent="0.25">
      <c r="C149" s="45" t="s">
        <v>418</v>
      </c>
      <c r="I149" s="53">
        <f>SUM(I66:I148)</f>
        <v>0</v>
      </c>
      <c r="J149" s="53">
        <f t="shared" ref="J149:AC149" si="55">SUM(J66:J148)</f>
        <v>0</v>
      </c>
      <c r="K149" s="53">
        <f t="shared" si="55"/>
        <v>0</v>
      </c>
      <c r="L149" s="53">
        <f t="shared" si="55"/>
        <v>0</v>
      </c>
      <c r="M149" s="53">
        <f t="shared" si="55"/>
        <v>0</v>
      </c>
      <c r="N149" s="53"/>
      <c r="O149" s="53">
        <f t="shared" si="55"/>
        <v>0</v>
      </c>
      <c r="P149" s="53">
        <f t="shared" si="55"/>
        <v>0</v>
      </c>
      <c r="Q149" s="53">
        <f t="shared" si="55"/>
        <v>0</v>
      </c>
      <c r="R149" s="53">
        <f t="shared" si="55"/>
        <v>0</v>
      </c>
      <c r="S149" s="53">
        <f t="shared" si="55"/>
        <v>0</v>
      </c>
      <c r="T149" s="53">
        <f t="shared" si="55"/>
        <v>0</v>
      </c>
      <c r="U149" s="53"/>
      <c r="V149" s="53">
        <f t="shared" si="55"/>
        <v>0</v>
      </c>
      <c r="W149" s="53">
        <f t="shared" si="55"/>
        <v>0</v>
      </c>
      <c r="X149" s="53">
        <f t="shared" si="55"/>
        <v>0</v>
      </c>
      <c r="Y149" s="53">
        <f t="shared" si="55"/>
        <v>0</v>
      </c>
      <c r="Z149" s="53">
        <f t="shared" si="55"/>
        <v>0</v>
      </c>
      <c r="AA149" s="53">
        <f t="shared" si="55"/>
        <v>0</v>
      </c>
      <c r="AB149" s="53">
        <f t="shared" si="55"/>
        <v>0</v>
      </c>
      <c r="AC149" s="53">
        <f t="shared" si="55"/>
        <v>0</v>
      </c>
    </row>
    <row r="150" spans="2:31" ht="13.5" thickTop="1" x14ac:dyDescent="0.2"/>
    <row r="151" spans="2:31" x14ac:dyDescent="0.2">
      <c r="B151" s="204" t="s">
        <v>208</v>
      </c>
      <c r="I151" s="335">
        <v>0.2</v>
      </c>
      <c r="J151" s="45" t="s">
        <v>330</v>
      </c>
    </row>
    <row r="152" spans="2:31" x14ac:dyDescent="0.2">
      <c r="B152" s="205"/>
      <c r="I152" s="22"/>
      <c r="J152" s="22"/>
      <c r="K152" s="22"/>
      <c r="L152" s="22"/>
      <c r="M152" s="22"/>
      <c r="N152" s="22"/>
      <c r="O152" s="22"/>
      <c r="P152" s="22"/>
      <c r="Q152" s="22"/>
      <c r="R152" s="22"/>
      <c r="S152" s="22"/>
      <c r="T152" s="22"/>
      <c r="U152" s="22"/>
      <c r="V152" s="296" t="s">
        <v>868</v>
      </c>
      <c r="W152" s="297" t="s">
        <v>875</v>
      </c>
      <c r="X152" s="298" t="s">
        <v>869</v>
      </c>
      <c r="Y152" s="22"/>
      <c r="Z152" s="22"/>
      <c r="AA152" s="22"/>
      <c r="AB152" s="22"/>
      <c r="AC152" s="22"/>
    </row>
    <row r="153" spans="2:31" x14ac:dyDescent="0.2">
      <c r="B153" s="206" t="s">
        <v>28</v>
      </c>
      <c r="C153" s="70" t="s">
        <v>282</v>
      </c>
      <c r="D153" s="70"/>
      <c r="E153" s="110"/>
      <c r="F153" s="111"/>
      <c r="G153" s="110"/>
      <c r="H153" s="110"/>
      <c r="I153" s="24" t="s">
        <v>452</v>
      </c>
      <c r="J153" s="24" t="s">
        <v>703</v>
      </c>
      <c r="K153" s="24" t="s">
        <v>702</v>
      </c>
      <c r="L153" s="24" t="s">
        <v>334</v>
      </c>
      <c r="M153" s="24"/>
      <c r="N153" s="24" t="s">
        <v>491</v>
      </c>
      <c r="O153" s="24"/>
      <c r="P153" s="24"/>
      <c r="Q153" s="24" t="s">
        <v>704</v>
      </c>
      <c r="R153" s="24" t="s">
        <v>705</v>
      </c>
      <c r="S153" s="24" t="s">
        <v>867</v>
      </c>
      <c r="T153" s="24" t="s">
        <v>706</v>
      </c>
      <c r="U153" s="24"/>
      <c r="V153" s="283" t="s">
        <v>870</v>
      </c>
      <c r="W153" s="24" t="s">
        <v>876</v>
      </c>
      <c r="X153" s="284" t="s">
        <v>871</v>
      </c>
      <c r="Y153" s="24" t="s">
        <v>682</v>
      </c>
      <c r="Z153" s="24" t="s">
        <v>701</v>
      </c>
      <c r="AA153" s="24" t="s">
        <v>452</v>
      </c>
      <c r="AB153" s="24" t="s">
        <v>703</v>
      </c>
      <c r="AC153" s="24" t="s">
        <v>702</v>
      </c>
      <c r="AE153" s="66"/>
    </row>
    <row r="155" spans="2:31" x14ac:dyDescent="0.2">
      <c r="B155" s="93"/>
      <c r="C155" s="1"/>
      <c r="D155" s="1"/>
      <c r="E155" s="1"/>
      <c r="F155" s="1"/>
      <c r="G155" s="1"/>
      <c r="H155" s="18"/>
      <c r="I155" s="104"/>
      <c r="K155" s="45">
        <f>+I155-J155</f>
        <v>0</v>
      </c>
      <c r="L155" s="104"/>
      <c r="M155" s="104"/>
      <c r="N155" s="104">
        <v>12</v>
      </c>
      <c r="O155" s="104"/>
      <c r="P155" s="104"/>
      <c r="Q155" s="104"/>
      <c r="R155" s="104"/>
      <c r="Z155" s="198">
        <f t="shared" ref="Z155:Z190" si="56">ROUND(IF(L155&gt;0,L155*I$151*N155/12,IF(K155=0,0,IF(I155*I$151*N155/12&gt;=K155,K155-1,I155*I$151*N155/12))),2)+Y155</f>
        <v>0</v>
      </c>
      <c r="AA155" s="45">
        <f>I155+L155-Q155</f>
        <v>0</v>
      </c>
      <c r="AB155" s="45">
        <f>J155+Z155-R155</f>
        <v>0</v>
      </c>
      <c r="AC155" s="45">
        <f t="shared" ref="AC155" si="57">+AA155-AB155</f>
        <v>0</v>
      </c>
    </row>
    <row r="156" spans="2:31" x14ac:dyDescent="0.2">
      <c r="B156" s="209"/>
      <c r="C156" s="199"/>
      <c r="D156" s="199"/>
      <c r="E156" s="199"/>
      <c r="F156" s="199"/>
      <c r="G156" s="199"/>
      <c r="H156" s="18"/>
      <c r="I156" s="104"/>
      <c r="K156" s="45">
        <f>+I156-J156</f>
        <v>0</v>
      </c>
      <c r="L156" s="104"/>
      <c r="M156" s="104"/>
      <c r="N156" s="104">
        <v>12</v>
      </c>
      <c r="O156" s="104"/>
      <c r="P156" s="104"/>
      <c r="Q156" s="104"/>
      <c r="R156" s="104"/>
      <c r="Z156" s="198">
        <f t="shared" si="56"/>
        <v>0</v>
      </c>
      <c r="AA156" s="45">
        <f t="shared" ref="AA156:AA190" si="58">I156+L156-Q156</f>
        <v>0</v>
      </c>
      <c r="AB156" s="45">
        <f t="shared" ref="AB156:AB190" si="59">J156+Z156-R156</f>
        <v>0</v>
      </c>
      <c r="AC156" s="45">
        <f t="shared" ref="AC156:AC190" si="60">+AA156-AB156</f>
        <v>0</v>
      </c>
    </row>
    <row r="157" spans="2:31" x14ac:dyDescent="0.2">
      <c r="B157" s="209"/>
      <c r="C157" s="199"/>
      <c r="D157" s="199"/>
      <c r="E157" s="199"/>
      <c r="F157" s="199"/>
      <c r="G157" s="199"/>
      <c r="H157" s="18"/>
      <c r="I157" s="104"/>
      <c r="K157" s="45">
        <f>+I157-J157</f>
        <v>0</v>
      </c>
      <c r="L157" s="104"/>
      <c r="M157" s="104"/>
      <c r="N157" s="104">
        <v>12</v>
      </c>
      <c r="O157" s="104"/>
      <c r="P157" s="104"/>
      <c r="Q157" s="104"/>
      <c r="R157" s="104"/>
      <c r="Z157" s="198">
        <f t="shared" si="56"/>
        <v>0</v>
      </c>
      <c r="AA157" s="45">
        <f t="shared" si="58"/>
        <v>0</v>
      </c>
      <c r="AB157" s="45">
        <f t="shared" si="59"/>
        <v>0</v>
      </c>
      <c r="AC157" s="45">
        <f t="shared" si="60"/>
        <v>0</v>
      </c>
    </row>
    <row r="158" spans="2:31" x14ac:dyDescent="0.2">
      <c r="B158" s="93"/>
      <c r="C158" s="1"/>
      <c r="D158" s="1"/>
      <c r="E158" s="1"/>
      <c r="F158" s="1"/>
      <c r="G158" s="1"/>
      <c r="K158" s="45">
        <f t="shared" ref="K158:K190" si="61">+I158-J158</f>
        <v>0</v>
      </c>
      <c r="N158" s="104">
        <v>12</v>
      </c>
      <c r="O158" s="104"/>
      <c r="P158" s="104"/>
      <c r="Q158" s="104"/>
      <c r="R158" s="104"/>
      <c r="Z158" s="198">
        <f t="shared" si="56"/>
        <v>0</v>
      </c>
      <c r="AA158" s="45">
        <f t="shared" si="58"/>
        <v>0</v>
      </c>
      <c r="AB158" s="45">
        <f t="shared" si="59"/>
        <v>0</v>
      </c>
      <c r="AC158" s="45">
        <f t="shared" si="60"/>
        <v>0</v>
      </c>
    </row>
    <row r="159" spans="2:31" x14ac:dyDescent="0.2">
      <c r="B159" s="58"/>
      <c r="C159" s="1"/>
      <c r="D159" s="1"/>
      <c r="E159" s="1"/>
      <c r="F159" s="1"/>
      <c r="G159" s="1"/>
      <c r="K159" s="45">
        <f t="shared" si="61"/>
        <v>0</v>
      </c>
      <c r="N159" s="104">
        <v>12</v>
      </c>
      <c r="O159" s="104"/>
      <c r="P159" s="104"/>
      <c r="Q159" s="104"/>
      <c r="R159" s="104"/>
      <c r="Z159" s="198">
        <f t="shared" si="56"/>
        <v>0</v>
      </c>
      <c r="AA159" s="45">
        <f t="shared" si="58"/>
        <v>0</v>
      </c>
      <c r="AB159" s="45">
        <f t="shared" si="59"/>
        <v>0</v>
      </c>
      <c r="AC159" s="45">
        <f t="shared" si="60"/>
        <v>0</v>
      </c>
    </row>
    <row r="160" spans="2:31" x14ac:dyDescent="0.2">
      <c r="B160" s="93"/>
      <c r="C160" s="1"/>
      <c r="D160" s="1"/>
      <c r="E160" s="1"/>
      <c r="F160" s="1"/>
      <c r="G160" s="1"/>
      <c r="K160" s="45">
        <f t="shared" si="61"/>
        <v>0</v>
      </c>
      <c r="N160" s="104">
        <v>12</v>
      </c>
      <c r="O160" s="104"/>
      <c r="P160" s="104"/>
      <c r="Q160" s="104"/>
      <c r="R160" s="104"/>
      <c r="Z160" s="198">
        <f t="shared" si="56"/>
        <v>0</v>
      </c>
      <c r="AA160" s="45">
        <f t="shared" si="58"/>
        <v>0</v>
      </c>
      <c r="AB160" s="45">
        <f t="shared" si="59"/>
        <v>0</v>
      </c>
      <c r="AC160" s="45">
        <f t="shared" si="60"/>
        <v>0</v>
      </c>
    </row>
    <row r="161" spans="2:29" x14ac:dyDescent="0.2">
      <c r="B161" s="93"/>
      <c r="C161" s="1"/>
      <c r="D161" s="1"/>
      <c r="E161" s="1"/>
      <c r="F161" s="1"/>
      <c r="G161" s="1"/>
      <c r="K161" s="45">
        <f t="shared" si="61"/>
        <v>0</v>
      </c>
      <c r="N161" s="104">
        <v>12</v>
      </c>
      <c r="O161" s="104"/>
      <c r="P161" s="104"/>
      <c r="Q161" s="104"/>
      <c r="R161" s="104"/>
      <c r="Z161" s="198">
        <f t="shared" si="56"/>
        <v>0</v>
      </c>
      <c r="AA161" s="45">
        <f t="shared" si="58"/>
        <v>0</v>
      </c>
      <c r="AB161" s="45">
        <f t="shared" si="59"/>
        <v>0</v>
      </c>
      <c r="AC161" s="45">
        <f t="shared" si="60"/>
        <v>0</v>
      </c>
    </row>
    <row r="162" spans="2:29" x14ac:dyDescent="0.2">
      <c r="B162" s="93"/>
      <c r="C162" s="1"/>
      <c r="D162" s="1"/>
      <c r="E162" s="1"/>
      <c r="F162" s="1"/>
      <c r="G162" s="1"/>
      <c r="K162" s="45">
        <f t="shared" si="61"/>
        <v>0</v>
      </c>
      <c r="N162" s="104">
        <v>12</v>
      </c>
      <c r="O162" s="104"/>
      <c r="P162" s="104"/>
      <c r="Q162" s="104"/>
      <c r="R162" s="104"/>
      <c r="Z162" s="198">
        <f t="shared" si="56"/>
        <v>0</v>
      </c>
      <c r="AA162" s="45">
        <f t="shared" si="58"/>
        <v>0</v>
      </c>
      <c r="AB162" s="45">
        <f t="shared" si="59"/>
        <v>0</v>
      </c>
      <c r="AC162" s="45">
        <f t="shared" si="60"/>
        <v>0</v>
      </c>
    </row>
    <row r="163" spans="2:29" x14ac:dyDescent="0.2">
      <c r="B163" s="207"/>
      <c r="K163" s="45">
        <f t="shared" si="61"/>
        <v>0</v>
      </c>
      <c r="N163" s="104">
        <v>12</v>
      </c>
      <c r="O163" s="104"/>
      <c r="P163" s="104"/>
      <c r="Q163" s="104"/>
      <c r="R163" s="104"/>
      <c r="Z163" s="198">
        <f t="shared" si="56"/>
        <v>0</v>
      </c>
      <c r="AA163" s="45">
        <f t="shared" si="58"/>
        <v>0</v>
      </c>
      <c r="AB163" s="45">
        <f t="shared" si="59"/>
        <v>0</v>
      </c>
      <c r="AC163" s="45">
        <f t="shared" si="60"/>
        <v>0</v>
      </c>
    </row>
    <row r="164" spans="2:29" x14ac:dyDescent="0.2">
      <c r="B164" s="207"/>
      <c r="K164" s="45">
        <f t="shared" si="61"/>
        <v>0</v>
      </c>
      <c r="N164" s="104">
        <v>12</v>
      </c>
      <c r="O164" s="104"/>
      <c r="P164" s="104"/>
      <c r="Q164" s="104"/>
      <c r="R164" s="104"/>
      <c r="Z164" s="198">
        <f t="shared" si="56"/>
        <v>0</v>
      </c>
      <c r="AA164" s="45">
        <f t="shared" si="58"/>
        <v>0</v>
      </c>
      <c r="AB164" s="45">
        <f t="shared" si="59"/>
        <v>0</v>
      </c>
      <c r="AC164" s="45">
        <f t="shared" si="60"/>
        <v>0</v>
      </c>
    </row>
    <row r="165" spans="2:29" x14ac:dyDescent="0.2">
      <c r="B165" s="207"/>
      <c r="K165" s="45">
        <f t="shared" si="61"/>
        <v>0</v>
      </c>
      <c r="N165" s="104">
        <v>12</v>
      </c>
      <c r="O165" s="104"/>
      <c r="P165" s="104"/>
      <c r="Q165" s="104"/>
      <c r="R165" s="104"/>
      <c r="Z165" s="198">
        <f t="shared" si="56"/>
        <v>0</v>
      </c>
      <c r="AA165" s="45">
        <f t="shared" si="58"/>
        <v>0</v>
      </c>
      <c r="AB165" s="45">
        <f t="shared" si="59"/>
        <v>0</v>
      </c>
      <c r="AC165" s="45">
        <f t="shared" si="60"/>
        <v>0</v>
      </c>
    </row>
    <row r="166" spans="2:29" x14ac:dyDescent="0.2">
      <c r="B166" s="207"/>
      <c r="K166" s="45">
        <f t="shared" si="61"/>
        <v>0</v>
      </c>
      <c r="N166" s="104">
        <v>12</v>
      </c>
      <c r="O166" s="104"/>
      <c r="P166" s="104"/>
      <c r="Q166" s="104"/>
      <c r="R166" s="104"/>
      <c r="Z166" s="198">
        <f t="shared" si="56"/>
        <v>0</v>
      </c>
      <c r="AA166" s="45">
        <f t="shared" si="58"/>
        <v>0</v>
      </c>
      <c r="AB166" s="45">
        <f t="shared" si="59"/>
        <v>0</v>
      </c>
      <c r="AC166" s="45">
        <f t="shared" si="60"/>
        <v>0</v>
      </c>
    </row>
    <row r="167" spans="2:29" x14ac:dyDescent="0.2">
      <c r="B167" s="207"/>
      <c r="K167" s="45">
        <f t="shared" si="61"/>
        <v>0</v>
      </c>
      <c r="N167" s="104">
        <v>12</v>
      </c>
      <c r="O167" s="104"/>
      <c r="P167" s="104"/>
      <c r="Q167" s="104"/>
      <c r="R167" s="104"/>
      <c r="Z167" s="198">
        <f t="shared" si="56"/>
        <v>0</v>
      </c>
      <c r="AA167" s="45">
        <f t="shared" si="58"/>
        <v>0</v>
      </c>
      <c r="AB167" s="45">
        <f t="shared" si="59"/>
        <v>0</v>
      </c>
      <c r="AC167" s="45">
        <f t="shared" si="60"/>
        <v>0</v>
      </c>
    </row>
    <row r="168" spans="2:29" x14ac:dyDescent="0.2">
      <c r="B168" s="207"/>
      <c r="K168" s="45">
        <f t="shared" si="61"/>
        <v>0</v>
      </c>
      <c r="N168" s="104">
        <v>12</v>
      </c>
      <c r="O168" s="104"/>
      <c r="P168" s="104"/>
      <c r="Q168" s="104"/>
      <c r="R168" s="104"/>
      <c r="Z168" s="198">
        <f t="shared" si="56"/>
        <v>0</v>
      </c>
      <c r="AA168" s="45">
        <f t="shared" si="58"/>
        <v>0</v>
      </c>
      <c r="AB168" s="45">
        <f t="shared" si="59"/>
        <v>0</v>
      </c>
      <c r="AC168" s="45">
        <f t="shared" si="60"/>
        <v>0</v>
      </c>
    </row>
    <row r="169" spans="2:29" x14ac:dyDescent="0.2">
      <c r="B169" s="207"/>
      <c r="K169" s="45">
        <f t="shared" si="61"/>
        <v>0</v>
      </c>
      <c r="N169" s="104">
        <v>12</v>
      </c>
      <c r="O169" s="104"/>
      <c r="P169" s="104"/>
      <c r="Q169" s="104"/>
      <c r="R169" s="104"/>
      <c r="Z169" s="198">
        <f t="shared" si="56"/>
        <v>0</v>
      </c>
      <c r="AA169" s="45">
        <f t="shared" si="58"/>
        <v>0</v>
      </c>
      <c r="AB169" s="45">
        <f t="shared" si="59"/>
        <v>0</v>
      </c>
      <c r="AC169" s="45">
        <f t="shared" si="60"/>
        <v>0</v>
      </c>
    </row>
    <row r="170" spans="2:29" x14ac:dyDescent="0.2">
      <c r="B170" s="207"/>
      <c r="K170" s="45">
        <f t="shared" si="61"/>
        <v>0</v>
      </c>
      <c r="N170" s="104">
        <v>12</v>
      </c>
      <c r="O170" s="104"/>
      <c r="P170" s="104"/>
      <c r="Q170" s="104"/>
      <c r="R170" s="104"/>
      <c r="Z170" s="198">
        <f t="shared" si="56"/>
        <v>0</v>
      </c>
      <c r="AA170" s="45">
        <f t="shared" si="58"/>
        <v>0</v>
      </c>
      <c r="AB170" s="45">
        <f t="shared" si="59"/>
        <v>0</v>
      </c>
      <c r="AC170" s="45">
        <f t="shared" si="60"/>
        <v>0</v>
      </c>
    </row>
    <row r="171" spans="2:29" x14ac:dyDescent="0.2">
      <c r="B171" s="207"/>
      <c r="K171" s="45">
        <f t="shared" si="61"/>
        <v>0</v>
      </c>
      <c r="N171" s="104">
        <v>12</v>
      </c>
      <c r="O171" s="104"/>
      <c r="P171" s="104"/>
      <c r="Q171" s="104"/>
      <c r="R171" s="104"/>
      <c r="Z171" s="198">
        <f t="shared" si="56"/>
        <v>0</v>
      </c>
      <c r="AA171" s="45">
        <f t="shared" si="58"/>
        <v>0</v>
      </c>
      <c r="AB171" s="45">
        <f t="shared" si="59"/>
        <v>0</v>
      </c>
      <c r="AC171" s="45">
        <f t="shared" si="60"/>
        <v>0</v>
      </c>
    </row>
    <row r="172" spans="2:29" x14ac:dyDescent="0.2">
      <c r="B172" s="207"/>
      <c r="K172" s="45">
        <f t="shared" si="61"/>
        <v>0</v>
      </c>
      <c r="N172" s="104">
        <v>12</v>
      </c>
      <c r="O172" s="104"/>
      <c r="P172" s="104"/>
      <c r="Q172" s="104"/>
      <c r="R172" s="104"/>
      <c r="Z172" s="198">
        <f t="shared" si="56"/>
        <v>0</v>
      </c>
      <c r="AA172" s="45">
        <f t="shared" si="58"/>
        <v>0</v>
      </c>
      <c r="AB172" s="45">
        <f t="shared" si="59"/>
        <v>0</v>
      </c>
      <c r="AC172" s="45">
        <f t="shared" si="60"/>
        <v>0</v>
      </c>
    </row>
    <row r="173" spans="2:29" x14ac:dyDescent="0.2">
      <c r="B173" s="207"/>
      <c r="K173" s="45">
        <f t="shared" si="61"/>
        <v>0</v>
      </c>
      <c r="N173" s="104">
        <v>12</v>
      </c>
      <c r="O173" s="104"/>
      <c r="P173" s="104"/>
      <c r="Q173" s="104"/>
      <c r="R173" s="104"/>
      <c r="Z173" s="198">
        <f t="shared" si="56"/>
        <v>0</v>
      </c>
      <c r="AA173" s="45">
        <f t="shared" si="58"/>
        <v>0</v>
      </c>
      <c r="AB173" s="45">
        <f t="shared" si="59"/>
        <v>0</v>
      </c>
      <c r="AC173" s="45">
        <f t="shared" si="60"/>
        <v>0</v>
      </c>
    </row>
    <row r="174" spans="2:29" x14ac:dyDescent="0.2">
      <c r="B174" s="207"/>
      <c r="K174" s="45">
        <f t="shared" ref="K174:K189" si="62">+I174-J174</f>
        <v>0</v>
      </c>
      <c r="N174" s="104">
        <v>12</v>
      </c>
      <c r="O174" s="104"/>
      <c r="P174" s="104"/>
      <c r="Q174" s="104"/>
      <c r="R174" s="104"/>
      <c r="Z174" s="198">
        <f t="shared" si="56"/>
        <v>0</v>
      </c>
      <c r="AA174" s="45">
        <f t="shared" si="58"/>
        <v>0</v>
      </c>
      <c r="AB174" s="45">
        <f t="shared" si="59"/>
        <v>0</v>
      </c>
      <c r="AC174" s="45">
        <f t="shared" si="60"/>
        <v>0</v>
      </c>
    </row>
    <row r="175" spans="2:29" x14ac:dyDescent="0.2">
      <c r="B175" s="207"/>
      <c r="K175" s="45">
        <f t="shared" si="62"/>
        <v>0</v>
      </c>
      <c r="N175" s="104">
        <v>12</v>
      </c>
      <c r="O175" s="104"/>
      <c r="P175" s="104"/>
      <c r="Q175" s="104"/>
      <c r="R175" s="104"/>
      <c r="Z175" s="198">
        <f t="shared" si="56"/>
        <v>0</v>
      </c>
      <c r="AA175" s="45">
        <f t="shared" si="58"/>
        <v>0</v>
      </c>
      <c r="AB175" s="45">
        <f t="shared" si="59"/>
        <v>0</v>
      </c>
      <c r="AC175" s="45">
        <f t="shared" si="60"/>
        <v>0</v>
      </c>
    </row>
    <row r="176" spans="2:29" x14ac:dyDescent="0.2">
      <c r="B176" s="207"/>
      <c r="K176" s="45">
        <f t="shared" si="62"/>
        <v>0</v>
      </c>
      <c r="N176" s="104">
        <v>12</v>
      </c>
      <c r="O176" s="104"/>
      <c r="P176" s="104"/>
      <c r="Q176" s="104"/>
      <c r="R176" s="104"/>
      <c r="Z176" s="198">
        <f t="shared" si="56"/>
        <v>0</v>
      </c>
      <c r="AA176" s="45">
        <f t="shared" si="58"/>
        <v>0</v>
      </c>
      <c r="AB176" s="45">
        <f t="shared" si="59"/>
        <v>0</v>
      </c>
      <c r="AC176" s="45">
        <f t="shared" si="60"/>
        <v>0</v>
      </c>
    </row>
    <row r="177" spans="2:29" x14ac:dyDescent="0.2">
      <c r="B177" s="207"/>
      <c r="K177" s="45">
        <f t="shared" si="62"/>
        <v>0</v>
      </c>
      <c r="N177" s="104">
        <v>12</v>
      </c>
      <c r="O177" s="104"/>
      <c r="P177" s="104"/>
      <c r="Q177" s="104"/>
      <c r="R177" s="104"/>
      <c r="Z177" s="198">
        <f t="shared" si="56"/>
        <v>0</v>
      </c>
      <c r="AA177" s="45">
        <f t="shared" si="58"/>
        <v>0</v>
      </c>
      <c r="AB177" s="45">
        <f t="shared" si="59"/>
        <v>0</v>
      </c>
      <c r="AC177" s="45">
        <f t="shared" si="60"/>
        <v>0</v>
      </c>
    </row>
    <row r="178" spans="2:29" x14ac:dyDescent="0.2">
      <c r="B178" s="207"/>
      <c r="K178" s="45">
        <f t="shared" si="62"/>
        <v>0</v>
      </c>
      <c r="N178" s="104">
        <v>12</v>
      </c>
      <c r="O178" s="104"/>
      <c r="P178" s="104"/>
      <c r="Q178" s="104"/>
      <c r="R178" s="104"/>
      <c r="Z178" s="198">
        <f t="shared" si="56"/>
        <v>0</v>
      </c>
      <c r="AA178" s="45">
        <f t="shared" si="58"/>
        <v>0</v>
      </c>
      <c r="AB178" s="45">
        <f t="shared" si="59"/>
        <v>0</v>
      </c>
      <c r="AC178" s="45">
        <f t="shared" si="60"/>
        <v>0</v>
      </c>
    </row>
    <row r="179" spans="2:29" x14ac:dyDescent="0.2">
      <c r="B179" s="207"/>
      <c r="K179" s="45">
        <f t="shared" si="62"/>
        <v>0</v>
      </c>
      <c r="N179" s="104">
        <v>12</v>
      </c>
      <c r="O179" s="104"/>
      <c r="P179" s="104"/>
      <c r="Q179" s="104"/>
      <c r="R179" s="104"/>
      <c r="Z179" s="198">
        <f t="shared" si="56"/>
        <v>0</v>
      </c>
      <c r="AA179" s="45">
        <f t="shared" si="58"/>
        <v>0</v>
      </c>
      <c r="AB179" s="45">
        <f t="shared" si="59"/>
        <v>0</v>
      </c>
      <c r="AC179" s="45">
        <f t="shared" si="60"/>
        <v>0</v>
      </c>
    </row>
    <row r="180" spans="2:29" x14ac:dyDescent="0.2">
      <c r="B180" s="207"/>
      <c r="K180" s="45">
        <f t="shared" si="62"/>
        <v>0</v>
      </c>
      <c r="N180" s="104">
        <v>12</v>
      </c>
      <c r="O180" s="104"/>
      <c r="P180" s="104"/>
      <c r="Q180" s="104"/>
      <c r="R180" s="104"/>
      <c r="Z180" s="198">
        <f t="shared" si="56"/>
        <v>0</v>
      </c>
      <c r="AA180" s="45">
        <f t="shared" si="58"/>
        <v>0</v>
      </c>
      <c r="AB180" s="45">
        <f t="shared" si="59"/>
        <v>0</v>
      </c>
      <c r="AC180" s="45">
        <f t="shared" si="60"/>
        <v>0</v>
      </c>
    </row>
    <row r="181" spans="2:29" x14ac:dyDescent="0.2">
      <c r="B181" s="207"/>
      <c r="K181" s="45">
        <f t="shared" si="62"/>
        <v>0</v>
      </c>
      <c r="N181" s="104">
        <v>12</v>
      </c>
      <c r="O181" s="104"/>
      <c r="P181" s="104"/>
      <c r="Q181" s="104"/>
      <c r="R181" s="104"/>
      <c r="Z181" s="198">
        <f t="shared" si="56"/>
        <v>0</v>
      </c>
      <c r="AA181" s="45">
        <f t="shared" si="58"/>
        <v>0</v>
      </c>
      <c r="AB181" s="45">
        <f t="shared" si="59"/>
        <v>0</v>
      </c>
      <c r="AC181" s="45">
        <f t="shared" si="60"/>
        <v>0</v>
      </c>
    </row>
    <row r="182" spans="2:29" x14ac:dyDescent="0.2">
      <c r="B182" s="207"/>
      <c r="K182" s="45">
        <f t="shared" si="62"/>
        <v>0</v>
      </c>
      <c r="N182" s="104">
        <v>12</v>
      </c>
      <c r="O182" s="104"/>
      <c r="P182" s="104"/>
      <c r="Q182" s="104"/>
      <c r="R182" s="104"/>
      <c r="Z182" s="198">
        <f t="shared" si="56"/>
        <v>0</v>
      </c>
      <c r="AA182" s="45">
        <f t="shared" si="58"/>
        <v>0</v>
      </c>
      <c r="AB182" s="45">
        <f t="shared" si="59"/>
        <v>0</v>
      </c>
      <c r="AC182" s="45">
        <f t="shared" si="60"/>
        <v>0</v>
      </c>
    </row>
    <row r="183" spans="2:29" x14ac:dyDescent="0.2">
      <c r="B183" s="207"/>
      <c r="K183" s="45">
        <f t="shared" si="62"/>
        <v>0</v>
      </c>
      <c r="N183" s="104">
        <v>12</v>
      </c>
      <c r="O183" s="104"/>
      <c r="P183" s="104"/>
      <c r="Q183" s="104"/>
      <c r="R183" s="104"/>
      <c r="Z183" s="198">
        <f t="shared" si="56"/>
        <v>0</v>
      </c>
      <c r="AA183" s="45">
        <f t="shared" si="58"/>
        <v>0</v>
      </c>
      <c r="AB183" s="45">
        <f t="shared" si="59"/>
        <v>0</v>
      </c>
      <c r="AC183" s="45">
        <f t="shared" si="60"/>
        <v>0</v>
      </c>
    </row>
    <row r="184" spans="2:29" x14ac:dyDescent="0.2">
      <c r="B184" s="207"/>
      <c r="K184" s="45">
        <f t="shared" si="62"/>
        <v>0</v>
      </c>
      <c r="N184" s="104">
        <v>12</v>
      </c>
      <c r="O184" s="104"/>
      <c r="P184" s="104"/>
      <c r="Q184" s="104"/>
      <c r="R184" s="104"/>
      <c r="Z184" s="198">
        <f t="shared" si="56"/>
        <v>0</v>
      </c>
      <c r="AA184" s="45">
        <f t="shared" si="58"/>
        <v>0</v>
      </c>
      <c r="AB184" s="45">
        <f t="shared" si="59"/>
        <v>0</v>
      </c>
      <c r="AC184" s="45">
        <f t="shared" si="60"/>
        <v>0</v>
      </c>
    </row>
    <row r="185" spans="2:29" x14ac:dyDescent="0.2">
      <c r="B185" s="207"/>
      <c r="K185" s="45">
        <f t="shared" si="62"/>
        <v>0</v>
      </c>
      <c r="N185" s="104">
        <v>12</v>
      </c>
      <c r="O185" s="104"/>
      <c r="P185" s="104"/>
      <c r="Q185" s="104"/>
      <c r="R185" s="104"/>
      <c r="Z185" s="198">
        <f t="shared" si="56"/>
        <v>0</v>
      </c>
      <c r="AA185" s="45">
        <f t="shared" si="58"/>
        <v>0</v>
      </c>
      <c r="AB185" s="45">
        <f t="shared" si="59"/>
        <v>0</v>
      </c>
      <c r="AC185" s="45">
        <f t="shared" si="60"/>
        <v>0</v>
      </c>
    </row>
    <row r="186" spans="2:29" x14ac:dyDescent="0.2">
      <c r="B186" s="207"/>
      <c r="K186" s="45">
        <f t="shared" si="62"/>
        <v>0</v>
      </c>
      <c r="N186" s="104">
        <v>12</v>
      </c>
      <c r="O186" s="104"/>
      <c r="P186" s="104"/>
      <c r="Q186" s="104"/>
      <c r="R186" s="104"/>
      <c r="Z186" s="198">
        <f t="shared" si="56"/>
        <v>0</v>
      </c>
      <c r="AA186" s="45">
        <f t="shared" si="58"/>
        <v>0</v>
      </c>
      <c r="AB186" s="45">
        <f t="shared" si="59"/>
        <v>0</v>
      </c>
      <c r="AC186" s="45">
        <f t="shared" si="60"/>
        <v>0</v>
      </c>
    </row>
    <row r="187" spans="2:29" x14ac:dyDescent="0.2">
      <c r="B187" s="207"/>
      <c r="K187" s="45">
        <f t="shared" si="62"/>
        <v>0</v>
      </c>
      <c r="N187" s="104">
        <v>12</v>
      </c>
      <c r="O187" s="104"/>
      <c r="P187" s="104"/>
      <c r="Q187" s="104"/>
      <c r="R187" s="104"/>
      <c r="Z187" s="198">
        <f t="shared" si="56"/>
        <v>0</v>
      </c>
      <c r="AA187" s="45">
        <f t="shared" si="58"/>
        <v>0</v>
      </c>
      <c r="AB187" s="45">
        <f t="shared" si="59"/>
        <v>0</v>
      </c>
      <c r="AC187" s="45">
        <f t="shared" si="60"/>
        <v>0</v>
      </c>
    </row>
    <row r="188" spans="2:29" x14ac:dyDescent="0.2">
      <c r="B188" s="207"/>
      <c r="K188" s="45">
        <f t="shared" si="62"/>
        <v>0</v>
      </c>
      <c r="N188" s="104">
        <v>12</v>
      </c>
      <c r="O188" s="104"/>
      <c r="P188" s="104"/>
      <c r="Q188" s="104"/>
      <c r="R188" s="104"/>
      <c r="Z188" s="198">
        <f t="shared" si="56"/>
        <v>0</v>
      </c>
      <c r="AA188" s="45">
        <f t="shared" si="58"/>
        <v>0</v>
      </c>
      <c r="AB188" s="45">
        <f t="shared" si="59"/>
        <v>0</v>
      </c>
      <c r="AC188" s="45">
        <f t="shared" si="60"/>
        <v>0</v>
      </c>
    </row>
    <row r="189" spans="2:29" x14ac:dyDescent="0.2">
      <c r="B189" s="207"/>
      <c r="K189" s="45">
        <f t="shared" si="62"/>
        <v>0</v>
      </c>
      <c r="N189" s="104">
        <v>12</v>
      </c>
      <c r="O189" s="104"/>
      <c r="P189" s="104"/>
      <c r="Q189" s="104"/>
      <c r="R189" s="104"/>
      <c r="Z189" s="198">
        <f t="shared" si="56"/>
        <v>0</v>
      </c>
      <c r="AA189" s="45">
        <f t="shared" si="58"/>
        <v>0</v>
      </c>
      <c r="AB189" s="45">
        <f t="shared" si="59"/>
        <v>0</v>
      </c>
      <c r="AC189" s="45">
        <f t="shared" si="60"/>
        <v>0</v>
      </c>
    </row>
    <row r="190" spans="2:29" x14ac:dyDescent="0.2">
      <c r="B190" s="207"/>
      <c r="K190" s="45">
        <f t="shared" si="61"/>
        <v>0</v>
      </c>
      <c r="N190" s="104">
        <v>12</v>
      </c>
      <c r="O190" s="104"/>
      <c r="P190" s="104"/>
      <c r="Q190" s="104"/>
      <c r="R190" s="104"/>
      <c r="Z190" s="198">
        <f t="shared" si="56"/>
        <v>0</v>
      </c>
      <c r="AA190" s="45">
        <f t="shared" si="58"/>
        <v>0</v>
      </c>
      <c r="AB190" s="45">
        <f t="shared" si="59"/>
        <v>0</v>
      </c>
      <c r="AC190" s="45">
        <f t="shared" si="60"/>
        <v>0</v>
      </c>
    </row>
    <row r="192" spans="2:29" ht="13.5" thickBot="1" x14ac:dyDescent="0.25">
      <c r="C192" s="45" t="s">
        <v>418</v>
      </c>
      <c r="I192" s="53">
        <f>SUM(I154:I191)</f>
        <v>0</v>
      </c>
      <c r="J192" s="53">
        <f>SUM(J154:J191)</f>
        <v>0</v>
      </c>
      <c r="K192" s="53">
        <f>SUM(K154:K191)</f>
        <v>0</v>
      </c>
      <c r="L192" s="53">
        <f>SUM(L154:L191)</f>
        <v>0</v>
      </c>
      <c r="M192" s="53"/>
      <c r="N192" s="53"/>
      <c r="O192" s="53"/>
      <c r="P192" s="53"/>
      <c r="Q192" s="53">
        <f t="shared" ref="Q192:AC192" si="63">SUM(Q154:Q191)</f>
        <v>0</v>
      </c>
      <c r="R192" s="53">
        <f t="shared" si="63"/>
        <v>0</v>
      </c>
      <c r="S192" s="53">
        <f t="shared" si="63"/>
        <v>0</v>
      </c>
      <c r="T192" s="53">
        <f t="shared" si="63"/>
        <v>0</v>
      </c>
      <c r="U192" s="53"/>
      <c r="V192" s="53">
        <f t="shared" si="63"/>
        <v>0</v>
      </c>
      <c r="W192" s="53">
        <f t="shared" si="63"/>
        <v>0</v>
      </c>
      <c r="X192" s="53">
        <f t="shared" si="63"/>
        <v>0</v>
      </c>
      <c r="Y192" s="53">
        <f t="shared" si="63"/>
        <v>0</v>
      </c>
      <c r="Z192" s="53">
        <f t="shared" si="63"/>
        <v>0</v>
      </c>
      <c r="AA192" s="53">
        <f t="shared" si="63"/>
        <v>0</v>
      </c>
      <c r="AB192" s="53">
        <f t="shared" si="63"/>
        <v>0</v>
      </c>
      <c r="AC192" s="53">
        <f t="shared" si="63"/>
        <v>0</v>
      </c>
    </row>
    <row r="193" spans="2:29" ht="13.5" thickTop="1" x14ac:dyDescent="0.2"/>
    <row r="195" spans="2:29" x14ac:dyDescent="0.2">
      <c r="B195" s="204" t="s">
        <v>419</v>
      </c>
      <c r="I195" s="335">
        <v>0.2</v>
      </c>
      <c r="J195" s="45" t="s">
        <v>330</v>
      </c>
    </row>
    <row r="196" spans="2:29" x14ac:dyDescent="0.2">
      <c r="B196" s="205"/>
      <c r="I196" s="22"/>
      <c r="J196" s="22"/>
      <c r="K196" s="22"/>
      <c r="L196" s="22"/>
      <c r="M196" s="22"/>
      <c r="N196" s="22"/>
      <c r="O196" s="22"/>
      <c r="P196" s="22"/>
      <c r="Q196" s="22"/>
      <c r="R196" s="22"/>
      <c r="S196" s="22"/>
      <c r="T196" s="22"/>
      <c r="U196" s="22"/>
      <c r="V196" s="296" t="s">
        <v>868</v>
      </c>
      <c r="W196" s="297" t="s">
        <v>875</v>
      </c>
      <c r="X196" s="298" t="s">
        <v>869</v>
      </c>
      <c r="Y196" s="22"/>
      <c r="Z196" s="22"/>
      <c r="AA196" s="22"/>
      <c r="AB196" s="22"/>
      <c r="AC196" s="22"/>
    </row>
    <row r="197" spans="2:29" x14ac:dyDescent="0.2">
      <c r="B197" s="206" t="s">
        <v>28</v>
      </c>
      <c r="C197" s="70" t="s">
        <v>282</v>
      </c>
      <c r="D197" s="70"/>
      <c r="E197" s="110"/>
      <c r="F197" s="111"/>
      <c r="G197" s="110"/>
      <c r="H197" s="110"/>
      <c r="I197" s="24" t="s">
        <v>452</v>
      </c>
      <c r="J197" s="24" t="s">
        <v>703</v>
      </c>
      <c r="K197" s="24" t="s">
        <v>702</v>
      </c>
      <c r="L197" s="24" t="s">
        <v>334</v>
      </c>
      <c r="M197" s="24"/>
      <c r="N197" s="24" t="s">
        <v>491</v>
      </c>
      <c r="O197" s="24"/>
      <c r="P197" s="24"/>
      <c r="Q197" s="24" t="s">
        <v>704</v>
      </c>
      <c r="R197" s="24" t="s">
        <v>705</v>
      </c>
      <c r="S197" s="24" t="s">
        <v>867</v>
      </c>
      <c r="T197" s="24" t="s">
        <v>706</v>
      </c>
      <c r="U197" s="24"/>
      <c r="V197" s="283" t="s">
        <v>870</v>
      </c>
      <c r="W197" s="24" t="s">
        <v>876</v>
      </c>
      <c r="X197" s="284" t="s">
        <v>871</v>
      </c>
      <c r="Y197" s="24" t="s">
        <v>682</v>
      </c>
      <c r="Z197" s="24" t="s">
        <v>701</v>
      </c>
      <c r="AA197" s="24" t="s">
        <v>452</v>
      </c>
      <c r="AB197" s="24" t="s">
        <v>703</v>
      </c>
      <c r="AC197" s="24" t="s">
        <v>702</v>
      </c>
    </row>
    <row r="199" spans="2:29" x14ac:dyDescent="0.2">
      <c r="B199" s="210"/>
      <c r="C199" s="199"/>
      <c r="D199" s="199"/>
      <c r="E199" s="199"/>
      <c r="F199" s="199"/>
      <c r="G199" s="199"/>
      <c r="H199" s="1"/>
      <c r="I199" s="74"/>
      <c r="K199" s="45">
        <f>+I199-J199</f>
        <v>0</v>
      </c>
      <c r="N199" s="104">
        <v>12</v>
      </c>
      <c r="O199" s="104"/>
      <c r="P199" s="104"/>
      <c r="Q199" s="104"/>
      <c r="R199" s="104"/>
      <c r="Z199" s="198">
        <f t="shared" ref="Z199:Z224" si="64">ROUND(IF(L199&gt;0,L199*I$195*N199/12,IF(K199=0,0,IF(I199*I$195*N199/12&gt;=K199,K199-1,I199*I$195*N199/12))),2)+Y199</f>
        <v>0</v>
      </c>
      <c r="AA199" s="45">
        <f>I199+L199-Q199</f>
        <v>0</v>
      </c>
      <c r="AB199" s="45">
        <f>J199+Z199-R199</f>
        <v>0</v>
      </c>
      <c r="AC199" s="45">
        <f>+AA199-AB199</f>
        <v>0</v>
      </c>
    </row>
    <row r="200" spans="2:29" x14ac:dyDescent="0.2">
      <c r="B200" s="58"/>
      <c r="C200" s="1"/>
      <c r="D200" s="1"/>
      <c r="E200" s="1"/>
      <c r="F200" s="1"/>
      <c r="G200" s="1"/>
      <c r="H200" s="1"/>
      <c r="I200" s="74"/>
      <c r="K200" s="45">
        <f>+I200-J200</f>
        <v>0</v>
      </c>
      <c r="N200" s="104">
        <v>12</v>
      </c>
      <c r="O200" s="104"/>
      <c r="P200" s="104"/>
      <c r="Q200" s="104"/>
      <c r="R200" s="104"/>
      <c r="Z200" s="198">
        <f t="shared" si="64"/>
        <v>0</v>
      </c>
      <c r="AA200" s="45">
        <f t="shared" ref="AA200:AA224" si="65">I200+L200-Q200</f>
        <v>0</v>
      </c>
      <c r="AB200" s="45">
        <f t="shared" ref="AB200:AB224" si="66">J200+Z200-R200</f>
        <v>0</v>
      </c>
      <c r="AC200" s="45">
        <f t="shared" ref="AC200:AC224" si="67">+AA200-AB200</f>
        <v>0</v>
      </c>
    </row>
    <row r="201" spans="2:29" x14ac:dyDescent="0.2">
      <c r="B201" s="58"/>
      <c r="C201" s="1"/>
      <c r="D201" s="1"/>
      <c r="E201" s="1"/>
      <c r="F201" s="1"/>
      <c r="G201" s="1"/>
      <c r="H201" s="1"/>
      <c r="I201" s="74"/>
      <c r="K201" s="45">
        <f>+I201-J201</f>
        <v>0</v>
      </c>
      <c r="N201" s="104">
        <v>12</v>
      </c>
      <c r="O201" s="104"/>
      <c r="P201" s="104"/>
      <c r="Q201" s="104"/>
      <c r="R201" s="104"/>
      <c r="Z201" s="198">
        <f t="shared" si="64"/>
        <v>0</v>
      </c>
      <c r="AA201" s="45">
        <f t="shared" si="65"/>
        <v>0</v>
      </c>
      <c r="AB201" s="45">
        <f t="shared" si="66"/>
        <v>0</v>
      </c>
      <c r="AC201" s="45">
        <f t="shared" si="67"/>
        <v>0</v>
      </c>
    </row>
    <row r="202" spans="2:29" x14ac:dyDescent="0.2">
      <c r="B202" s="58"/>
      <c r="C202" s="1"/>
      <c r="D202" s="1"/>
      <c r="E202" s="1"/>
      <c r="F202" s="1"/>
      <c r="G202" s="1"/>
      <c r="H202" s="1"/>
      <c r="I202" s="74"/>
      <c r="K202" s="45">
        <f t="shared" ref="K202:K223" si="68">+I202-J202</f>
        <v>0</v>
      </c>
      <c r="N202" s="104">
        <v>12</v>
      </c>
      <c r="O202" s="104"/>
      <c r="P202" s="104"/>
      <c r="Q202" s="104"/>
      <c r="R202" s="104"/>
      <c r="Z202" s="198">
        <f t="shared" si="64"/>
        <v>0</v>
      </c>
      <c r="AA202" s="45">
        <f t="shared" si="65"/>
        <v>0</v>
      </c>
      <c r="AB202" s="45">
        <f t="shared" si="66"/>
        <v>0</v>
      </c>
      <c r="AC202" s="45">
        <f t="shared" si="67"/>
        <v>0</v>
      </c>
    </row>
    <row r="203" spans="2:29" x14ac:dyDescent="0.2">
      <c r="B203" s="58"/>
      <c r="C203" s="1"/>
      <c r="D203" s="1"/>
      <c r="E203" s="1"/>
      <c r="F203" s="1"/>
      <c r="G203" s="1"/>
      <c r="H203" s="1"/>
      <c r="I203" s="74"/>
      <c r="K203" s="45">
        <f t="shared" si="68"/>
        <v>0</v>
      </c>
      <c r="N203" s="104">
        <v>12</v>
      </c>
      <c r="O203" s="104"/>
      <c r="P203" s="104"/>
      <c r="Q203" s="104"/>
      <c r="R203" s="104"/>
      <c r="Z203" s="198">
        <f t="shared" si="64"/>
        <v>0</v>
      </c>
      <c r="AA203" s="45">
        <f t="shared" si="65"/>
        <v>0</v>
      </c>
      <c r="AB203" s="45">
        <f t="shared" si="66"/>
        <v>0</v>
      </c>
      <c r="AC203" s="45">
        <f t="shared" si="67"/>
        <v>0</v>
      </c>
    </row>
    <row r="204" spans="2:29" x14ac:dyDescent="0.2">
      <c r="B204" s="58"/>
      <c r="C204" s="1"/>
      <c r="D204" s="1"/>
      <c r="E204" s="1"/>
      <c r="F204" s="1"/>
      <c r="G204" s="1"/>
      <c r="H204" s="1"/>
      <c r="I204" s="74"/>
      <c r="K204" s="45">
        <f t="shared" si="68"/>
        <v>0</v>
      </c>
      <c r="N204" s="104">
        <v>12</v>
      </c>
      <c r="O204" s="104"/>
      <c r="P204" s="104"/>
      <c r="Q204" s="104"/>
      <c r="R204" s="104"/>
      <c r="Z204" s="198">
        <f t="shared" si="64"/>
        <v>0</v>
      </c>
      <c r="AA204" s="45">
        <f t="shared" si="65"/>
        <v>0</v>
      </c>
      <c r="AB204" s="45">
        <f t="shared" si="66"/>
        <v>0</v>
      </c>
      <c r="AC204" s="45">
        <f t="shared" si="67"/>
        <v>0</v>
      </c>
    </row>
    <row r="205" spans="2:29" x14ac:dyDescent="0.2">
      <c r="B205" s="58"/>
      <c r="C205" s="1"/>
      <c r="D205" s="1"/>
      <c r="E205" s="1"/>
      <c r="F205" s="1"/>
      <c r="G205" s="1"/>
      <c r="H205" s="1"/>
      <c r="I205" s="74"/>
      <c r="K205" s="45">
        <f t="shared" si="68"/>
        <v>0</v>
      </c>
      <c r="N205" s="104">
        <v>12</v>
      </c>
      <c r="O205" s="104"/>
      <c r="P205" s="104"/>
      <c r="Q205" s="104"/>
      <c r="R205" s="104"/>
      <c r="Z205" s="198">
        <f t="shared" si="64"/>
        <v>0</v>
      </c>
      <c r="AA205" s="45">
        <f t="shared" si="65"/>
        <v>0</v>
      </c>
      <c r="AB205" s="45">
        <f t="shared" si="66"/>
        <v>0</v>
      </c>
      <c r="AC205" s="45">
        <f t="shared" si="67"/>
        <v>0</v>
      </c>
    </row>
    <row r="206" spans="2:29" x14ac:dyDescent="0.2">
      <c r="B206" s="58"/>
      <c r="C206" s="1"/>
      <c r="D206" s="1"/>
      <c r="E206" s="1"/>
      <c r="F206" s="1"/>
      <c r="G206" s="1"/>
      <c r="H206" s="1"/>
      <c r="I206" s="74"/>
      <c r="K206" s="45">
        <f t="shared" si="68"/>
        <v>0</v>
      </c>
      <c r="N206" s="104">
        <v>12</v>
      </c>
      <c r="O206" s="104"/>
      <c r="P206" s="104"/>
      <c r="Q206" s="104"/>
      <c r="R206" s="104"/>
      <c r="Z206" s="198">
        <f t="shared" si="64"/>
        <v>0</v>
      </c>
      <c r="AA206" s="45">
        <f t="shared" si="65"/>
        <v>0</v>
      </c>
      <c r="AB206" s="45">
        <f t="shared" si="66"/>
        <v>0</v>
      </c>
      <c r="AC206" s="45">
        <f t="shared" si="67"/>
        <v>0</v>
      </c>
    </row>
    <row r="207" spans="2:29" x14ac:dyDescent="0.2">
      <c r="B207" s="58"/>
      <c r="C207" s="1"/>
      <c r="D207" s="1"/>
      <c r="E207" s="1"/>
      <c r="F207" s="1"/>
      <c r="G207" s="1"/>
      <c r="H207" s="1"/>
      <c r="I207" s="74"/>
      <c r="K207" s="45">
        <f t="shared" si="68"/>
        <v>0</v>
      </c>
      <c r="N207" s="104">
        <v>12</v>
      </c>
      <c r="O207" s="104"/>
      <c r="P207" s="104"/>
      <c r="Q207" s="104"/>
      <c r="R207" s="104"/>
      <c r="Z207" s="198">
        <f t="shared" si="64"/>
        <v>0</v>
      </c>
      <c r="AA207" s="45">
        <f t="shared" si="65"/>
        <v>0</v>
      </c>
      <c r="AB207" s="45">
        <f t="shared" si="66"/>
        <v>0</v>
      </c>
      <c r="AC207" s="45">
        <f t="shared" si="67"/>
        <v>0</v>
      </c>
    </row>
    <row r="208" spans="2:29" x14ac:dyDescent="0.2">
      <c r="B208" s="58"/>
      <c r="C208" s="1"/>
      <c r="D208" s="1"/>
      <c r="E208" s="1"/>
      <c r="F208" s="1"/>
      <c r="G208" s="1"/>
      <c r="H208" s="1"/>
      <c r="I208" s="74"/>
      <c r="K208" s="45">
        <f t="shared" si="68"/>
        <v>0</v>
      </c>
      <c r="N208" s="104">
        <v>12</v>
      </c>
      <c r="O208" s="104"/>
      <c r="P208" s="104"/>
      <c r="Q208" s="104"/>
      <c r="R208" s="104"/>
      <c r="Z208" s="198">
        <f t="shared" si="64"/>
        <v>0</v>
      </c>
      <c r="AA208" s="45">
        <f t="shared" si="65"/>
        <v>0</v>
      </c>
      <c r="AB208" s="45">
        <f t="shared" si="66"/>
        <v>0</v>
      </c>
      <c r="AC208" s="45">
        <f t="shared" si="67"/>
        <v>0</v>
      </c>
    </row>
    <row r="209" spans="2:29" x14ac:dyDescent="0.2">
      <c r="B209" s="58"/>
      <c r="C209" s="1"/>
      <c r="D209" s="1"/>
      <c r="E209" s="1"/>
      <c r="F209" s="1"/>
      <c r="G209" s="1"/>
      <c r="H209" s="1"/>
      <c r="I209" s="74"/>
      <c r="K209" s="45">
        <f t="shared" si="68"/>
        <v>0</v>
      </c>
      <c r="N209" s="104">
        <v>12</v>
      </c>
      <c r="O209" s="104"/>
      <c r="P209" s="104"/>
      <c r="Q209" s="104"/>
      <c r="R209" s="104"/>
      <c r="Z209" s="198">
        <f t="shared" si="64"/>
        <v>0</v>
      </c>
      <c r="AA209" s="45">
        <f t="shared" si="65"/>
        <v>0</v>
      </c>
      <c r="AB209" s="45">
        <f t="shared" si="66"/>
        <v>0</v>
      </c>
      <c r="AC209" s="45">
        <f t="shared" si="67"/>
        <v>0</v>
      </c>
    </row>
    <row r="210" spans="2:29" x14ac:dyDescent="0.2">
      <c r="B210" s="58"/>
      <c r="C210" s="1"/>
      <c r="D210" s="1"/>
      <c r="E210" s="1"/>
      <c r="F210" s="1"/>
      <c r="G210" s="1"/>
      <c r="H210" s="1"/>
      <c r="I210" s="74"/>
      <c r="K210" s="45">
        <f t="shared" si="68"/>
        <v>0</v>
      </c>
      <c r="N210" s="104">
        <v>12</v>
      </c>
      <c r="O210" s="104"/>
      <c r="P210" s="104"/>
      <c r="Q210" s="104"/>
      <c r="R210" s="104"/>
      <c r="Z210" s="198">
        <f t="shared" si="64"/>
        <v>0</v>
      </c>
      <c r="AA210" s="45">
        <f t="shared" si="65"/>
        <v>0</v>
      </c>
      <c r="AB210" s="45">
        <f t="shared" si="66"/>
        <v>0</v>
      </c>
      <c r="AC210" s="45">
        <f t="shared" si="67"/>
        <v>0</v>
      </c>
    </row>
    <row r="211" spans="2:29" x14ac:dyDescent="0.2">
      <c r="B211" s="58"/>
      <c r="C211" s="1"/>
      <c r="D211" s="1"/>
      <c r="E211" s="1"/>
      <c r="F211" s="1"/>
      <c r="G211" s="1"/>
      <c r="H211" s="1"/>
      <c r="I211" s="74"/>
      <c r="K211" s="45">
        <f t="shared" si="68"/>
        <v>0</v>
      </c>
      <c r="N211" s="104">
        <v>12</v>
      </c>
      <c r="O211" s="104"/>
      <c r="P211" s="104"/>
      <c r="Q211" s="104"/>
      <c r="R211" s="104"/>
      <c r="Z211" s="198">
        <f t="shared" si="64"/>
        <v>0</v>
      </c>
      <c r="AA211" s="45">
        <f t="shared" si="65"/>
        <v>0</v>
      </c>
      <c r="AB211" s="45">
        <f t="shared" si="66"/>
        <v>0</v>
      </c>
      <c r="AC211" s="45">
        <f t="shared" si="67"/>
        <v>0</v>
      </c>
    </row>
    <row r="212" spans="2:29" x14ac:dyDescent="0.2">
      <c r="B212" s="58"/>
      <c r="C212" s="1"/>
      <c r="D212" s="1"/>
      <c r="E212" s="1"/>
      <c r="F212" s="1"/>
      <c r="G212" s="1"/>
      <c r="H212" s="1"/>
      <c r="I212" s="74"/>
      <c r="K212" s="45">
        <f t="shared" si="68"/>
        <v>0</v>
      </c>
      <c r="N212" s="104">
        <v>12</v>
      </c>
      <c r="O212" s="104"/>
      <c r="P212" s="104"/>
      <c r="Q212" s="104"/>
      <c r="R212" s="104"/>
      <c r="Z212" s="198">
        <f t="shared" si="64"/>
        <v>0</v>
      </c>
      <c r="AA212" s="45">
        <f t="shared" si="65"/>
        <v>0</v>
      </c>
      <c r="AB212" s="45">
        <f t="shared" si="66"/>
        <v>0</v>
      </c>
      <c r="AC212" s="45">
        <f t="shared" si="67"/>
        <v>0</v>
      </c>
    </row>
    <row r="213" spans="2:29" x14ac:dyDescent="0.2">
      <c r="B213" s="58"/>
      <c r="C213" s="1"/>
      <c r="D213" s="1"/>
      <c r="E213" s="1"/>
      <c r="F213" s="1"/>
      <c r="G213" s="1"/>
      <c r="H213" s="1"/>
      <c r="I213" s="74"/>
      <c r="K213" s="45">
        <f t="shared" si="68"/>
        <v>0</v>
      </c>
      <c r="N213" s="104">
        <v>12</v>
      </c>
      <c r="O213" s="104"/>
      <c r="P213" s="104"/>
      <c r="Q213" s="104"/>
      <c r="R213" s="104"/>
      <c r="Z213" s="198">
        <f t="shared" si="64"/>
        <v>0</v>
      </c>
      <c r="AA213" s="45">
        <f t="shared" si="65"/>
        <v>0</v>
      </c>
      <c r="AB213" s="45">
        <f t="shared" si="66"/>
        <v>0</v>
      </c>
      <c r="AC213" s="45">
        <f t="shared" si="67"/>
        <v>0</v>
      </c>
    </row>
    <row r="214" spans="2:29" x14ac:dyDescent="0.2">
      <c r="B214" s="58"/>
      <c r="C214" s="1"/>
      <c r="D214" s="1"/>
      <c r="E214" s="1"/>
      <c r="F214" s="1"/>
      <c r="G214" s="1"/>
      <c r="H214" s="1"/>
      <c r="I214" s="74"/>
      <c r="K214" s="45">
        <f t="shared" si="68"/>
        <v>0</v>
      </c>
      <c r="N214" s="104">
        <v>12</v>
      </c>
      <c r="O214" s="104"/>
      <c r="P214" s="104"/>
      <c r="Q214" s="104"/>
      <c r="R214" s="104"/>
      <c r="Z214" s="198">
        <f t="shared" si="64"/>
        <v>0</v>
      </c>
      <c r="AA214" s="45">
        <f t="shared" si="65"/>
        <v>0</v>
      </c>
      <c r="AB214" s="45">
        <f t="shared" si="66"/>
        <v>0</v>
      </c>
      <c r="AC214" s="45">
        <f t="shared" si="67"/>
        <v>0</v>
      </c>
    </row>
    <row r="215" spans="2:29" x14ac:dyDescent="0.2">
      <c r="B215" s="58"/>
      <c r="C215" s="1"/>
      <c r="D215" s="1"/>
      <c r="E215" s="1"/>
      <c r="F215" s="1"/>
      <c r="G215" s="1"/>
      <c r="H215" s="1"/>
      <c r="I215" s="74"/>
      <c r="K215" s="45">
        <f t="shared" si="68"/>
        <v>0</v>
      </c>
      <c r="N215" s="104">
        <v>12</v>
      </c>
      <c r="O215" s="104"/>
      <c r="P215" s="104"/>
      <c r="Q215" s="104"/>
      <c r="R215" s="104"/>
      <c r="Z215" s="198">
        <f t="shared" si="64"/>
        <v>0</v>
      </c>
      <c r="AA215" s="45">
        <f t="shared" si="65"/>
        <v>0</v>
      </c>
      <c r="AB215" s="45">
        <f t="shared" si="66"/>
        <v>0</v>
      </c>
      <c r="AC215" s="45">
        <f t="shared" si="67"/>
        <v>0</v>
      </c>
    </row>
    <row r="216" spans="2:29" x14ac:dyDescent="0.2">
      <c r="B216" s="58"/>
      <c r="C216" s="1"/>
      <c r="D216" s="1"/>
      <c r="E216" s="1"/>
      <c r="F216" s="1"/>
      <c r="G216" s="1"/>
      <c r="H216" s="1"/>
      <c r="I216" s="74"/>
      <c r="K216" s="45">
        <f t="shared" si="68"/>
        <v>0</v>
      </c>
      <c r="N216" s="104">
        <v>12</v>
      </c>
      <c r="O216" s="104"/>
      <c r="P216" s="104"/>
      <c r="Q216" s="104"/>
      <c r="R216" s="104"/>
      <c r="Z216" s="198">
        <f t="shared" si="64"/>
        <v>0</v>
      </c>
      <c r="AA216" s="45">
        <f t="shared" si="65"/>
        <v>0</v>
      </c>
      <c r="AB216" s="45">
        <f t="shared" si="66"/>
        <v>0</v>
      </c>
      <c r="AC216" s="45">
        <f t="shared" si="67"/>
        <v>0</v>
      </c>
    </row>
    <row r="217" spans="2:29" x14ac:dyDescent="0.2">
      <c r="B217" s="58"/>
      <c r="C217" s="1"/>
      <c r="D217" s="1"/>
      <c r="E217" s="1"/>
      <c r="F217" s="1"/>
      <c r="G217" s="1"/>
      <c r="H217" s="1"/>
      <c r="I217" s="74"/>
      <c r="K217" s="45">
        <f t="shared" si="68"/>
        <v>0</v>
      </c>
      <c r="N217" s="104">
        <v>12</v>
      </c>
      <c r="O217" s="104"/>
      <c r="P217" s="104"/>
      <c r="Q217" s="104"/>
      <c r="R217" s="104"/>
      <c r="Z217" s="198">
        <f t="shared" si="64"/>
        <v>0</v>
      </c>
      <c r="AA217" s="45">
        <f t="shared" si="65"/>
        <v>0</v>
      </c>
      <c r="AB217" s="45">
        <f t="shared" si="66"/>
        <v>0</v>
      </c>
      <c r="AC217" s="45">
        <f t="shared" si="67"/>
        <v>0</v>
      </c>
    </row>
    <row r="218" spans="2:29" x14ac:dyDescent="0.2">
      <c r="B218" s="58"/>
      <c r="C218" s="1"/>
      <c r="D218" s="1"/>
      <c r="E218" s="1"/>
      <c r="F218" s="1"/>
      <c r="G218" s="1"/>
      <c r="H218" s="1"/>
      <c r="I218" s="74"/>
      <c r="K218" s="45">
        <f t="shared" si="68"/>
        <v>0</v>
      </c>
      <c r="N218" s="104">
        <v>12</v>
      </c>
      <c r="O218" s="104"/>
      <c r="P218" s="104"/>
      <c r="Q218" s="104"/>
      <c r="R218" s="104"/>
      <c r="Z218" s="198">
        <f t="shared" si="64"/>
        <v>0</v>
      </c>
      <c r="AA218" s="45">
        <f t="shared" si="65"/>
        <v>0</v>
      </c>
      <c r="AB218" s="45">
        <f t="shared" si="66"/>
        <v>0</v>
      </c>
      <c r="AC218" s="45">
        <f t="shared" si="67"/>
        <v>0</v>
      </c>
    </row>
    <row r="219" spans="2:29" x14ac:dyDescent="0.2">
      <c r="B219" s="58"/>
      <c r="C219" s="1"/>
      <c r="D219" s="1"/>
      <c r="E219" s="1"/>
      <c r="F219" s="1"/>
      <c r="G219" s="1"/>
      <c r="H219" s="1"/>
      <c r="I219" s="74"/>
      <c r="K219" s="45">
        <f t="shared" si="68"/>
        <v>0</v>
      </c>
      <c r="N219" s="104">
        <v>12</v>
      </c>
      <c r="O219" s="104"/>
      <c r="P219" s="104"/>
      <c r="Q219" s="104"/>
      <c r="R219" s="104"/>
      <c r="Z219" s="198">
        <f t="shared" si="64"/>
        <v>0</v>
      </c>
      <c r="AA219" s="45">
        <f t="shared" si="65"/>
        <v>0</v>
      </c>
      <c r="AB219" s="45">
        <f t="shared" si="66"/>
        <v>0</v>
      </c>
      <c r="AC219" s="45">
        <f t="shared" si="67"/>
        <v>0</v>
      </c>
    </row>
    <row r="220" spans="2:29" x14ac:dyDescent="0.2">
      <c r="B220" s="58"/>
      <c r="C220" s="1"/>
      <c r="D220" s="1"/>
      <c r="E220" s="1"/>
      <c r="F220" s="1"/>
      <c r="G220" s="1"/>
      <c r="H220" s="1"/>
      <c r="I220" s="74"/>
      <c r="K220" s="45">
        <f t="shared" si="68"/>
        <v>0</v>
      </c>
      <c r="N220" s="104">
        <v>12</v>
      </c>
      <c r="O220" s="104"/>
      <c r="P220" s="104"/>
      <c r="Q220" s="104"/>
      <c r="R220" s="104"/>
      <c r="Z220" s="198">
        <f t="shared" si="64"/>
        <v>0</v>
      </c>
      <c r="AA220" s="45">
        <f t="shared" si="65"/>
        <v>0</v>
      </c>
      <c r="AB220" s="45">
        <f t="shared" si="66"/>
        <v>0</v>
      </c>
      <c r="AC220" s="45">
        <f t="shared" si="67"/>
        <v>0</v>
      </c>
    </row>
    <row r="221" spans="2:29" x14ac:dyDescent="0.2">
      <c r="B221" s="58"/>
      <c r="C221" s="1"/>
      <c r="D221" s="1"/>
      <c r="E221" s="1"/>
      <c r="F221" s="1"/>
      <c r="G221" s="1"/>
      <c r="H221" s="1"/>
      <c r="I221" s="74"/>
      <c r="K221" s="45">
        <f t="shared" si="68"/>
        <v>0</v>
      </c>
      <c r="N221" s="104">
        <v>12</v>
      </c>
      <c r="O221" s="104"/>
      <c r="P221" s="104"/>
      <c r="Q221" s="104"/>
      <c r="R221" s="104"/>
      <c r="Z221" s="198">
        <f t="shared" si="64"/>
        <v>0</v>
      </c>
      <c r="AA221" s="45">
        <f t="shared" si="65"/>
        <v>0</v>
      </c>
      <c r="AB221" s="45">
        <f t="shared" si="66"/>
        <v>0</v>
      </c>
      <c r="AC221" s="45">
        <f t="shared" si="67"/>
        <v>0</v>
      </c>
    </row>
    <row r="222" spans="2:29" x14ac:dyDescent="0.2">
      <c r="B222" s="58"/>
      <c r="C222" s="1"/>
      <c r="D222" s="1"/>
      <c r="E222" s="1"/>
      <c r="F222" s="1"/>
      <c r="G222" s="1"/>
      <c r="H222" s="1"/>
      <c r="I222" s="74"/>
      <c r="K222" s="45">
        <f t="shared" si="68"/>
        <v>0</v>
      </c>
      <c r="N222" s="104">
        <v>12</v>
      </c>
      <c r="O222" s="104"/>
      <c r="P222" s="104"/>
      <c r="Q222" s="104"/>
      <c r="R222" s="104"/>
      <c r="Z222" s="198">
        <f t="shared" si="64"/>
        <v>0</v>
      </c>
      <c r="AA222" s="45">
        <f t="shared" si="65"/>
        <v>0</v>
      </c>
      <c r="AB222" s="45">
        <f t="shared" si="66"/>
        <v>0</v>
      </c>
      <c r="AC222" s="45">
        <f t="shared" si="67"/>
        <v>0</v>
      </c>
    </row>
    <row r="223" spans="2:29" x14ac:dyDescent="0.2">
      <c r="B223" s="58"/>
      <c r="C223" s="1"/>
      <c r="D223" s="1"/>
      <c r="E223" s="1"/>
      <c r="F223" s="1"/>
      <c r="G223" s="1"/>
      <c r="H223" s="1"/>
      <c r="I223" s="74"/>
      <c r="K223" s="45">
        <f t="shared" si="68"/>
        <v>0</v>
      </c>
      <c r="N223" s="104">
        <v>12</v>
      </c>
      <c r="O223" s="104"/>
      <c r="P223" s="104"/>
      <c r="Q223" s="104"/>
      <c r="R223" s="104"/>
      <c r="Z223" s="198">
        <f t="shared" si="64"/>
        <v>0</v>
      </c>
      <c r="AA223" s="45">
        <f t="shared" si="65"/>
        <v>0</v>
      </c>
      <c r="AB223" s="45">
        <f t="shared" si="66"/>
        <v>0</v>
      </c>
      <c r="AC223" s="45">
        <f t="shared" si="67"/>
        <v>0</v>
      </c>
    </row>
    <row r="224" spans="2:29" x14ac:dyDescent="0.2">
      <c r="B224" s="58"/>
      <c r="C224" s="1"/>
      <c r="D224" s="1"/>
      <c r="E224" s="1"/>
      <c r="F224" s="1"/>
      <c r="G224" s="1"/>
      <c r="H224" s="1"/>
      <c r="I224" s="74"/>
      <c r="K224" s="45">
        <f>+I224-J224</f>
        <v>0</v>
      </c>
      <c r="N224" s="104">
        <v>12</v>
      </c>
      <c r="O224" s="104"/>
      <c r="P224" s="104"/>
      <c r="Q224" s="104"/>
      <c r="R224" s="104"/>
      <c r="Z224" s="198">
        <f t="shared" si="64"/>
        <v>0</v>
      </c>
      <c r="AA224" s="45">
        <f t="shared" si="65"/>
        <v>0</v>
      </c>
      <c r="AB224" s="45">
        <f t="shared" si="66"/>
        <v>0</v>
      </c>
      <c r="AC224" s="45">
        <f t="shared" si="67"/>
        <v>0</v>
      </c>
    </row>
    <row r="226" spans="2:29" ht="13.5" thickBot="1" x14ac:dyDescent="0.25">
      <c r="C226" s="45" t="s">
        <v>418</v>
      </c>
      <c r="I226" s="53">
        <f>SUM(I198:I225)</f>
        <v>0</v>
      </c>
      <c r="J226" s="53">
        <f>SUM(J198:J225)</f>
        <v>0</v>
      </c>
      <c r="K226" s="53">
        <f>SUM(K198:K225)</f>
        <v>0</v>
      </c>
      <c r="L226" s="53">
        <f>SUM(L198:L225)</f>
        <v>0</v>
      </c>
      <c r="M226" s="53"/>
      <c r="N226" s="53"/>
      <c r="O226" s="53"/>
      <c r="P226" s="53"/>
      <c r="Q226" s="53">
        <f t="shared" ref="Q226:AC226" si="69">SUM(Q198:Q225)</f>
        <v>0</v>
      </c>
      <c r="R226" s="53">
        <f t="shared" si="69"/>
        <v>0</v>
      </c>
      <c r="S226" s="53">
        <f t="shared" si="69"/>
        <v>0</v>
      </c>
      <c r="T226" s="53">
        <f t="shared" si="69"/>
        <v>0</v>
      </c>
      <c r="U226" s="53"/>
      <c r="V226" s="53">
        <f t="shared" si="69"/>
        <v>0</v>
      </c>
      <c r="W226" s="53">
        <f t="shared" si="69"/>
        <v>0</v>
      </c>
      <c r="X226" s="53">
        <f t="shared" si="69"/>
        <v>0</v>
      </c>
      <c r="Y226" s="53">
        <f t="shared" si="69"/>
        <v>0</v>
      </c>
      <c r="Z226" s="53">
        <f t="shared" si="69"/>
        <v>0</v>
      </c>
      <c r="AA226" s="53">
        <f t="shared" si="69"/>
        <v>0</v>
      </c>
      <c r="AB226" s="53">
        <f t="shared" si="69"/>
        <v>0</v>
      </c>
      <c r="AC226" s="53">
        <f t="shared" si="69"/>
        <v>0</v>
      </c>
    </row>
    <row r="227" spans="2:29" ht="13.5" thickTop="1" x14ac:dyDescent="0.2"/>
    <row r="229" spans="2:29" x14ac:dyDescent="0.2">
      <c r="B229" s="204" t="s">
        <v>420</v>
      </c>
      <c r="I229" s="335">
        <v>0.33339999999999997</v>
      </c>
      <c r="J229" s="45" t="s">
        <v>330</v>
      </c>
    </row>
    <row r="230" spans="2:29" x14ac:dyDescent="0.2">
      <c r="B230" s="205"/>
      <c r="I230" s="22"/>
      <c r="J230" s="22"/>
      <c r="K230" s="22"/>
      <c r="L230" s="22"/>
      <c r="M230" s="22"/>
      <c r="N230" s="22"/>
      <c r="O230" s="22"/>
      <c r="P230" s="22"/>
      <c r="Q230" s="22"/>
      <c r="R230" s="22"/>
      <c r="S230" s="22"/>
      <c r="T230" s="22"/>
      <c r="U230" s="22"/>
      <c r="V230" s="296" t="s">
        <v>868</v>
      </c>
      <c r="W230" s="297" t="s">
        <v>875</v>
      </c>
      <c r="X230" s="298" t="s">
        <v>869</v>
      </c>
      <c r="Y230" s="22"/>
      <c r="Z230" s="22"/>
      <c r="AA230" s="22"/>
      <c r="AB230" s="22"/>
      <c r="AC230" s="22"/>
    </row>
    <row r="231" spans="2:29" x14ac:dyDescent="0.2">
      <c r="B231" s="206" t="s">
        <v>28</v>
      </c>
      <c r="C231" s="70" t="s">
        <v>282</v>
      </c>
      <c r="D231" s="70"/>
      <c r="E231" s="110"/>
      <c r="F231" s="111"/>
      <c r="G231" s="110"/>
      <c r="H231" s="110"/>
      <c r="I231" s="24" t="s">
        <v>452</v>
      </c>
      <c r="J231" s="24" t="s">
        <v>703</v>
      </c>
      <c r="K231" s="24" t="s">
        <v>702</v>
      </c>
      <c r="L231" s="24" t="s">
        <v>334</v>
      </c>
      <c r="M231" s="24"/>
      <c r="N231" s="24" t="s">
        <v>491</v>
      </c>
      <c r="O231" s="24"/>
      <c r="P231" s="24"/>
      <c r="Q231" s="24" t="s">
        <v>704</v>
      </c>
      <c r="R231" s="24" t="s">
        <v>705</v>
      </c>
      <c r="S231" s="24" t="s">
        <v>867</v>
      </c>
      <c r="T231" s="24" t="s">
        <v>706</v>
      </c>
      <c r="U231" s="24"/>
      <c r="V231" s="283" t="s">
        <v>870</v>
      </c>
      <c r="W231" s="24" t="s">
        <v>876</v>
      </c>
      <c r="X231" s="284" t="s">
        <v>871</v>
      </c>
      <c r="Y231" s="24" t="s">
        <v>682</v>
      </c>
      <c r="Z231" s="24" t="s">
        <v>701</v>
      </c>
      <c r="AA231" s="24" t="s">
        <v>452</v>
      </c>
      <c r="AB231" s="24" t="s">
        <v>703</v>
      </c>
      <c r="AC231" s="24" t="s">
        <v>702</v>
      </c>
    </row>
    <row r="233" spans="2:29" x14ac:dyDescent="0.2">
      <c r="B233" s="93"/>
      <c r="C233" s="1"/>
      <c r="D233" s="1"/>
      <c r="E233" s="1"/>
      <c r="F233" s="1"/>
      <c r="G233" s="1"/>
      <c r="H233" s="18"/>
      <c r="I233" s="104"/>
      <c r="K233" s="45">
        <f>+I233-J233</f>
        <v>0</v>
      </c>
      <c r="L233" s="104"/>
      <c r="M233" s="104"/>
      <c r="N233" s="104">
        <v>12</v>
      </c>
      <c r="O233" s="104"/>
      <c r="P233" s="104"/>
      <c r="Q233" s="104"/>
      <c r="R233" s="104"/>
      <c r="Z233" s="198">
        <f t="shared" ref="Z233:Z263" si="70">ROUND(IF(L233&gt;0,L233*I$229*N233/12,IF(K233=0,0,IF(I233*I$229*N233/12&gt;=K233,K233-1,I233*I$229*N233/12))),2)+Y233</f>
        <v>0</v>
      </c>
      <c r="AA233" s="45">
        <f>I233+L233-Q233</f>
        <v>0</v>
      </c>
      <c r="AB233" s="45">
        <f>J233+Z233-R233</f>
        <v>0</v>
      </c>
      <c r="AC233" s="45">
        <f>+AA233-AB233</f>
        <v>0</v>
      </c>
    </row>
    <row r="234" spans="2:29" x14ac:dyDescent="0.2">
      <c r="B234" s="93"/>
      <c r="C234" s="1"/>
      <c r="D234" s="1"/>
      <c r="E234" s="1"/>
      <c r="F234" s="1"/>
      <c r="G234" s="1"/>
      <c r="H234" s="18"/>
      <c r="I234" s="104"/>
      <c r="K234" s="45">
        <f t="shared" ref="K234:K261" si="71">+I234-J234</f>
        <v>0</v>
      </c>
      <c r="L234" s="104"/>
      <c r="M234" s="104"/>
      <c r="N234" s="104">
        <v>12</v>
      </c>
      <c r="O234" s="104"/>
      <c r="P234" s="104"/>
      <c r="Q234" s="104"/>
      <c r="R234" s="104"/>
      <c r="Z234" s="198">
        <f t="shared" si="70"/>
        <v>0</v>
      </c>
      <c r="AA234" s="45">
        <f t="shared" ref="AA234:AA263" si="72">I234+L234-Q234</f>
        <v>0</v>
      </c>
      <c r="AB234" s="45">
        <f t="shared" ref="AB234:AB263" si="73">J234+Z234-R234</f>
        <v>0</v>
      </c>
      <c r="AC234" s="45">
        <f t="shared" ref="AC234:AC263" si="74">+AA234-AB234</f>
        <v>0</v>
      </c>
    </row>
    <row r="235" spans="2:29" x14ac:dyDescent="0.2">
      <c r="B235" s="93"/>
      <c r="C235" s="1"/>
      <c r="D235" s="1"/>
      <c r="E235" s="1"/>
      <c r="F235" s="1"/>
      <c r="G235" s="1"/>
      <c r="H235" s="18"/>
      <c r="I235" s="104"/>
      <c r="K235" s="45">
        <f t="shared" si="71"/>
        <v>0</v>
      </c>
      <c r="L235" s="104"/>
      <c r="M235" s="104"/>
      <c r="N235" s="104">
        <v>12</v>
      </c>
      <c r="O235" s="104"/>
      <c r="P235" s="104"/>
      <c r="Q235" s="104"/>
      <c r="R235" s="104"/>
      <c r="Z235" s="198">
        <f t="shared" si="70"/>
        <v>0</v>
      </c>
      <c r="AA235" s="45">
        <f t="shared" si="72"/>
        <v>0</v>
      </c>
      <c r="AB235" s="45">
        <f t="shared" si="73"/>
        <v>0</v>
      </c>
      <c r="AC235" s="45">
        <f t="shared" si="74"/>
        <v>0</v>
      </c>
    </row>
    <row r="236" spans="2:29" x14ac:dyDescent="0.2">
      <c r="B236" s="93"/>
      <c r="C236" s="1"/>
      <c r="D236" s="1"/>
      <c r="E236" s="1"/>
      <c r="F236" s="1"/>
      <c r="G236" s="1"/>
      <c r="H236" s="18"/>
      <c r="I236" s="104"/>
      <c r="K236" s="45">
        <f t="shared" si="71"/>
        <v>0</v>
      </c>
      <c r="L236" s="104"/>
      <c r="M236" s="104"/>
      <c r="N236" s="104">
        <v>12</v>
      </c>
      <c r="O236" s="104"/>
      <c r="P236" s="104"/>
      <c r="Q236" s="104"/>
      <c r="R236" s="104"/>
      <c r="Z236" s="198">
        <f t="shared" si="70"/>
        <v>0</v>
      </c>
      <c r="AA236" s="45">
        <f t="shared" si="72"/>
        <v>0</v>
      </c>
      <c r="AB236" s="45">
        <f t="shared" si="73"/>
        <v>0</v>
      </c>
      <c r="AC236" s="45">
        <f t="shared" si="74"/>
        <v>0</v>
      </c>
    </row>
    <row r="237" spans="2:29" x14ac:dyDescent="0.2">
      <c r="B237" s="93"/>
      <c r="C237" s="1"/>
      <c r="D237" s="1"/>
      <c r="E237" s="1"/>
      <c r="F237" s="1"/>
      <c r="G237" s="1"/>
      <c r="H237" s="18"/>
      <c r="I237" s="104"/>
      <c r="K237" s="45">
        <f t="shared" si="71"/>
        <v>0</v>
      </c>
      <c r="L237" s="104"/>
      <c r="M237" s="104"/>
      <c r="N237" s="104">
        <v>12</v>
      </c>
      <c r="O237" s="104"/>
      <c r="P237" s="104"/>
      <c r="Q237" s="104"/>
      <c r="R237" s="104"/>
      <c r="Z237" s="198">
        <f t="shared" si="70"/>
        <v>0</v>
      </c>
      <c r="AA237" s="45">
        <f t="shared" si="72"/>
        <v>0</v>
      </c>
      <c r="AB237" s="45">
        <f t="shared" si="73"/>
        <v>0</v>
      </c>
      <c r="AC237" s="45">
        <f t="shared" si="74"/>
        <v>0</v>
      </c>
    </row>
    <row r="238" spans="2:29" x14ac:dyDescent="0.2">
      <c r="B238" s="93"/>
      <c r="C238" s="1"/>
      <c r="D238" s="1"/>
      <c r="E238" s="1"/>
      <c r="F238" s="1"/>
      <c r="G238" s="1"/>
      <c r="H238" s="18"/>
      <c r="I238" s="104"/>
      <c r="K238" s="45">
        <f t="shared" si="71"/>
        <v>0</v>
      </c>
      <c r="L238" s="104"/>
      <c r="M238" s="104"/>
      <c r="N238" s="104">
        <v>12</v>
      </c>
      <c r="O238" s="104"/>
      <c r="P238" s="104"/>
      <c r="Q238" s="104"/>
      <c r="R238" s="104"/>
      <c r="Z238" s="198">
        <f t="shared" si="70"/>
        <v>0</v>
      </c>
      <c r="AA238" s="45">
        <f t="shared" si="72"/>
        <v>0</v>
      </c>
      <c r="AB238" s="45">
        <f t="shared" si="73"/>
        <v>0</v>
      </c>
      <c r="AC238" s="45">
        <f t="shared" si="74"/>
        <v>0</v>
      </c>
    </row>
    <row r="239" spans="2:29" x14ac:dyDescent="0.2">
      <c r="B239" s="93"/>
      <c r="C239" s="1"/>
      <c r="D239" s="1"/>
      <c r="E239" s="1"/>
      <c r="F239" s="1"/>
      <c r="G239" s="1"/>
      <c r="H239" s="18"/>
      <c r="I239" s="104"/>
      <c r="K239" s="45">
        <f t="shared" si="71"/>
        <v>0</v>
      </c>
      <c r="L239" s="104"/>
      <c r="M239" s="104"/>
      <c r="N239" s="104">
        <v>12</v>
      </c>
      <c r="O239" s="104"/>
      <c r="P239" s="104"/>
      <c r="Q239" s="104"/>
      <c r="R239" s="104"/>
      <c r="Z239" s="198">
        <f t="shared" si="70"/>
        <v>0</v>
      </c>
      <c r="AA239" s="45">
        <f t="shared" si="72"/>
        <v>0</v>
      </c>
      <c r="AB239" s="45">
        <f t="shared" si="73"/>
        <v>0</v>
      </c>
      <c r="AC239" s="45">
        <f t="shared" si="74"/>
        <v>0</v>
      </c>
    </row>
    <row r="240" spans="2:29" x14ac:dyDescent="0.2">
      <c r="B240" s="93"/>
      <c r="C240" s="1"/>
      <c r="D240" s="1"/>
      <c r="E240" s="1"/>
      <c r="F240" s="1"/>
      <c r="G240" s="1"/>
      <c r="H240" s="18"/>
      <c r="I240" s="104"/>
      <c r="K240" s="45">
        <f t="shared" si="71"/>
        <v>0</v>
      </c>
      <c r="L240" s="104"/>
      <c r="M240" s="104"/>
      <c r="N240" s="104">
        <v>12</v>
      </c>
      <c r="O240" s="104"/>
      <c r="P240" s="104"/>
      <c r="Q240" s="104"/>
      <c r="R240" s="104"/>
      <c r="Z240" s="198">
        <f t="shared" si="70"/>
        <v>0</v>
      </c>
      <c r="AA240" s="45">
        <f t="shared" si="72"/>
        <v>0</v>
      </c>
      <c r="AB240" s="45">
        <f t="shared" si="73"/>
        <v>0</v>
      </c>
      <c r="AC240" s="45">
        <f t="shared" si="74"/>
        <v>0</v>
      </c>
    </row>
    <row r="241" spans="2:29" x14ac:dyDescent="0.2">
      <c r="B241" s="93"/>
      <c r="C241" s="1"/>
      <c r="D241" s="1"/>
      <c r="E241" s="1"/>
      <c r="F241" s="1"/>
      <c r="G241" s="1"/>
      <c r="H241" s="18"/>
      <c r="I241" s="104"/>
      <c r="K241" s="45">
        <f t="shared" si="71"/>
        <v>0</v>
      </c>
      <c r="L241" s="104"/>
      <c r="M241" s="104"/>
      <c r="N241" s="104">
        <v>12</v>
      </c>
      <c r="O241" s="104"/>
      <c r="P241" s="104"/>
      <c r="Q241" s="104"/>
      <c r="R241" s="104"/>
      <c r="Z241" s="198">
        <f t="shared" si="70"/>
        <v>0</v>
      </c>
      <c r="AA241" s="45">
        <f t="shared" si="72"/>
        <v>0</v>
      </c>
      <c r="AB241" s="45">
        <f t="shared" si="73"/>
        <v>0</v>
      </c>
      <c r="AC241" s="45">
        <f t="shared" si="74"/>
        <v>0</v>
      </c>
    </row>
    <row r="242" spans="2:29" x14ac:dyDescent="0.2">
      <c r="B242" s="93"/>
      <c r="C242" s="1"/>
      <c r="D242" s="1"/>
      <c r="E242" s="1"/>
      <c r="F242" s="1"/>
      <c r="G242" s="1"/>
      <c r="H242" s="18"/>
      <c r="I242" s="104"/>
      <c r="K242" s="45">
        <f t="shared" si="71"/>
        <v>0</v>
      </c>
      <c r="L242" s="104"/>
      <c r="M242" s="104"/>
      <c r="N242" s="104">
        <v>12</v>
      </c>
      <c r="O242" s="104"/>
      <c r="P242" s="104"/>
      <c r="Q242" s="104"/>
      <c r="R242" s="104"/>
      <c r="Z242" s="198">
        <f t="shared" si="70"/>
        <v>0</v>
      </c>
      <c r="AA242" s="45">
        <f t="shared" si="72"/>
        <v>0</v>
      </c>
      <c r="AB242" s="45">
        <f t="shared" si="73"/>
        <v>0</v>
      </c>
      <c r="AC242" s="45">
        <f t="shared" si="74"/>
        <v>0</v>
      </c>
    </row>
    <row r="243" spans="2:29" x14ac:dyDescent="0.2">
      <c r="B243" s="93"/>
      <c r="C243" s="1"/>
      <c r="D243" s="1"/>
      <c r="E243" s="1"/>
      <c r="F243" s="1"/>
      <c r="G243" s="1"/>
      <c r="H243" s="18"/>
      <c r="I243" s="104"/>
      <c r="K243" s="45">
        <f t="shared" si="71"/>
        <v>0</v>
      </c>
      <c r="L243" s="104"/>
      <c r="M243" s="104"/>
      <c r="N243" s="104">
        <v>12</v>
      </c>
      <c r="O243" s="104"/>
      <c r="P243" s="104"/>
      <c r="Q243" s="104"/>
      <c r="R243" s="104"/>
      <c r="Z243" s="198">
        <f t="shared" si="70"/>
        <v>0</v>
      </c>
      <c r="AA243" s="45">
        <f t="shared" si="72"/>
        <v>0</v>
      </c>
      <c r="AB243" s="45">
        <f t="shared" si="73"/>
        <v>0</v>
      </c>
      <c r="AC243" s="45">
        <f t="shared" si="74"/>
        <v>0</v>
      </c>
    </row>
    <row r="244" spans="2:29" x14ac:dyDescent="0.2">
      <c r="B244" s="93"/>
      <c r="C244" s="1"/>
      <c r="D244" s="1"/>
      <c r="E244" s="1"/>
      <c r="F244" s="1"/>
      <c r="G244" s="1"/>
      <c r="H244" s="18"/>
      <c r="I244" s="104"/>
      <c r="K244" s="45">
        <f t="shared" si="71"/>
        <v>0</v>
      </c>
      <c r="L244" s="104"/>
      <c r="M244" s="104"/>
      <c r="N244" s="104">
        <v>12</v>
      </c>
      <c r="O244" s="104"/>
      <c r="P244" s="104"/>
      <c r="Q244" s="104"/>
      <c r="R244" s="104"/>
      <c r="Z244" s="198">
        <f t="shared" si="70"/>
        <v>0</v>
      </c>
      <c r="AA244" s="45">
        <f t="shared" si="72"/>
        <v>0</v>
      </c>
      <c r="AB244" s="45">
        <f t="shared" si="73"/>
        <v>0</v>
      </c>
      <c r="AC244" s="45">
        <f t="shared" si="74"/>
        <v>0</v>
      </c>
    </row>
    <row r="245" spans="2:29" x14ac:dyDescent="0.2">
      <c r="B245" s="93"/>
      <c r="C245" s="1"/>
      <c r="D245" s="1"/>
      <c r="E245" s="1"/>
      <c r="F245" s="1"/>
      <c r="G245" s="1"/>
      <c r="H245" s="18"/>
      <c r="I245" s="104"/>
      <c r="K245" s="45">
        <f t="shared" si="71"/>
        <v>0</v>
      </c>
      <c r="L245" s="104"/>
      <c r="M245" s="104"/>
      <c r="N245" s="104">
        <v>12</v>
      </c>
      <c r="O245" s="104"/>
      <c r="P245" s="104"/>
      <c r="Q245" s="104"/>
      <c r="R245" s="104"/>
      <c r="Z245" s="198">
        <f t="shared" si="70"/>
        <v>0</v>
      </c>
      <c r="AA245" s="45">
        <f t="shared" si="72"/>
        <v>0</v>
      </c>
      <c r="AB245" s="45">
        <f t="shared" si="73"/>
        <v>0</v>
      </c>
      <c r="AC245" s="45">
        <f t="shared" si="74"/>
        <v>0</v>
      </c>
    </row>
    <row r="246" spans="2:29" x14ac:dyDescent="0.2">
      <c r="B246" s="93"/>
      <c r="C246" s="1"/>
      <c r="D246" s="1"/>
      <c r="E246" s="1"/>
      <c r="F246" s="1"/>
      <c r="G246" s="1"/>
      <c r="H246" s="18"/>
      <c r="I246" s="104"/>
      <c r="K246" s="45">
        <f t="shared" si="71"/>
        <v>0</v>
      </c>
      <c r="L246" s="104"/>
      <c r="M246" s="104"/>
      <c r="N246" s="104">
        <v>12</v>
      </c>
      <c r="O246" s="104"/>
      <c r="P246" s="104"/>
      <c r="Q246" s="104"/>
      <c r="R246" s="104"/>
      <c r="Z246" s="198">
        <f t="shared" si="70"/>
        <v>0</v>
      </c>
      <c r="AA246" s="45">
        <f t="shared" si="72"/>
        <v>0</v>
      </c>
      <c r="AB246" s="45">
        <f t="shared" si="73"/>
        <v>0</v>
      </c>
      <c r="AC246" s="45">
        <f t="shared" si="74"/>
        <v>0</v>
      </c>
    </row>
    <row r="247" spans="2:29" x14ac:dyDescent="0.2">
      <c r="B247" s="93"/>
      <c r="C247" s="1"/>
      <c r="D247" s="1"/>
      <c r="E247" s="1"/>
      <c r="F247" s="1"/>
      <c r="G247" s="1"/>
      <c r="H247" s="18"/>
      <c r="I247" s="104"/>
      <c r="K247" s="45">
        <f t="shared" si="71"/>
        <v>0</v>
      </c>
      <c r="L247" s="104"/>
      <c r="M247" s="104"/>
      <c r="N247" s="104">
        <v>12</v>
      </c>
      <c r="O247" s="104"/>
      <c r="P247" s="104"/>
      <c r="Q247" s="104"/>
      <c r="R247" s="104"/>
      <c r="Z247" s="198">
        <f t="shared" si="70"/>
        <v>0</v>
      </c>
      <c r="AA247" s="45">
        <f t="shared" si="72"/>
        <v>0</v>
      </c>
      <c r="AB247" s="45">
        <f t="shared" si="73"/>
        <v>0</v>
      </c>
      <c r="AC247" s="45">
        <f t="shared" si="74"/>
        <v>0</v>
      </c>
    </row>
    <row r="248" spans="2:29" x14ac:dyDescent="0.2">
      <c r="B248" s="93"/>
      <c r="C248" s="1"/>
      <c r="D248" s="1"/>
      <c r="E248" s="1"/>
      <c r="F248" s="1"/>
      <c r="G248" s="1"/>
      <c r="H248" s="18"/>
      <c r="I248" s="104"/>
      <c r="K248" s="45">
        <f t="shared" si="71"/>
        <v>0</v>
      </c>
      <c r="L248" s="104"/>
      <c r="M248" s="104"/>
      <c r="N248" s="104">
        <v>12</v>
      </c>
      <c r="O248" s="104"/>
      <c r="P248" s="104"/>
      <c r="Q248" s="104"/>
      <c r="R248" s="104"/>
      <c r="Z248" s="198">
        <f t="shared" si="70"/>
        <v>0</v>
      </c>
      <c r="AA248" s="45">
        <f t="shared" si="72"/>
        <v>0</v>
      </c>
      <c r="AB248" s="45">
        <f t="shared" si="73"/>
        <v>0</v>
      </c>
      <c r="AC248" s="45">
        <f t="shared" si="74"/>
        <v>0</v>
      </c>
    </row>
    <row r="249" spans="2:29" x14ac:dyDescent="0.2">
      <c r="B249" s="93"/>
      <c r="C249" s="1"/>
      <c r="D249" s="1"/>
      <c r="E249" s="1"/>
      <c r="F249" s="1"/>
      <c r="G249" s="1"/>
      <c r="H249" s="18"/>
      <c r="I249" s="104"/>
      <c r="K249" s="45">
        <f t="shared" si="71"/>
        <v>0</v>
      </c>
      <c r="L249" s="104"/>
      <c r="M249" s="104"/>
      <c r="N249" s="104">
        <v>12</v>
      </c>
      <c r="O249" s="104"/>
      <c r="P249" s="104"/>
      <c r="Q249" s="104"/>
      <c r="R249" s="104"/>
      <c r="Z249" s="198">
        <f t="shared" si="70"/>
        <v>0</v>
      </c>
      <c r="AA249" s="45">
        <f t="shared" si="72"/>
        <v>0</v>
      </c>
      <c r="AB249" s="45">
        <f t="shared" si="73"/>
        <v>0</v>
      </c>
      <c r="AC249" s="45">
        <f t="shared" si="74"/>
        <v>0</v>
      </c>
    </row>
    <row r="250" spans="2:29" x14ac:dyDescent="0.2">
      <c r="B250" s="93"/>
      <c r="C250" s="1"/>
      <c r="D250" s="1"/>
      <c r="E250" s="1"/>
      <c r="F250" s="1"/>
      <c r="G250" s="1"/>
      <c r="H250" s="18"/>
      <c r="I250" s="104"/>
      <c r="K250" s="45">
        <f t="shared" si="71"/>
        <v>0</v>
      </c>
      <c r="L250" s="104"/>
      <c r="M250" s="104"/>
      <c r="N250" s="104">
        <v>12</v>
      </c>
      <c r="O250" s="104"/>
      <c r="P250" s="104"/>
      <c r="Q250" s="104"/>
      <c r="R250" s="104"/>
      <c r="Z250" s="198">
        <f t="shared" si="70"/>
        <v>0</v>
      </c>
      <c r="AA250" s="45">
        <f t="shared" si="72"/>
        <v>0</v>
      </c>
      <c r="AB250" s="45">
        <f t="shared" si="73"/>
        <v>0</v>
      </c>
      <c r="AC250" s="45">
        <f t="shared" si="74"/>
        <v>0</v>
      </c>
    </row>
    <row r="251" spans="2:29" x14ac:dyDescent="0.2">
      <c r="B251" s="93"/>
      <c r="C251" s="1"/>
      <c r="D251" s="1"/>
      <c r="E251" s="1"/>
      <c r="F251" s="1"/>
      <c r="G251" s="1"/>
      <c r="H251" s="18"/>
      <c r="I251" s="104"/>
      <c r="K251" s="45">
        <f t="shared" si="71"/>
        <v>0</v>
      </c>
      <c r="L251" s="104"/>
      <c r="M251" s="104"/>
      <c r="N251" s="104">
        <v>12</v>
      </c>
      <c r="O251" s="104"/>
      <c r="P251" s="104"/>
      <c r="Q251" s="104"/>
      <c r="R251" s="104"/>
      <c r="Z251" s="198">
        <f t="shared" si="70"/>
        <v>0</v>
      </c>
      <c r="AA251" s="45">
        <f t="shared" si="72"/>
        <v>0</v>
      </c>
      <c r="AB251" s="45">
        <f t="shared" si="73"/>
        <v>0</v>
      </c>
      <c r="AC251" s="45">
        <f t="shared" si="74"/>
        <v>0</v>
      </c>
    </row>
    <row r="252" spans="2:29" x14ac:dyDescent="0.2">
      <c r="B252" s="93"/>
      <c r="C252" s="1"/>
      <c r="D252" s="1"/>
      <c r="E252" s="1"/>
      <c r="F252" s="1"/>
      <c r="G252" s="1"/>
      <c r="H252" s="18"/>
      <c r="I252" s="104"/>
      <c r="K252" s="45">
        <f t="shared" si="71"/>
        <v>0</v>
      </c>
      <c r="L252" s="104"/>
      <c r="M252" s="104"/>
      <c r="N252" s="104">
        <v>12</v>
      </c>
      <c r="O252" s="104"/>
      <c r="P252" s="104"/>
      <c r="Q252" s="104"/>
      <c r="R252" s="104"/>
      <c r="Z252" s="198">
        <f t="shared" si="70"/>
        <v>0</v>
      </c>
      <c r="AA252" s="45">
        <f t="shared" si="72"/>
        <v>0</v>
      </c>
      <c r="AB252" s="45">
        <f t="shared" si="73"/>
        <v>0</v>
      </c>
      <c r="AC252" s="45">
        <f t="shared" si="74"/>
        <v>0</v>
      </c>
    </row>
    <row r="253" spans="2:29" x14ac:dyDescent="0.2">
      <c r="B253" s="93"/>
      <c r="C253" s="1"/>
      <c r="D253" s="1"/>
      <c r="E253" s="1"/>
      <c r="F253" s="1"/>
      <c r="G253" s="1"/>
      <c r="H253" s="18"/>
      <c r="I253" s="104"/>
      <c r="K253" s="45">
        <f t="shared" si="71"/>
        <v>0</v>
      </c>
      <c r="L253" s="104"/>
      <c r="M253" s="104"/>
      <c r="N253" s="104">
        <v>12</v>
      </c>
      <c r="O253" s="104"/>
      <c r="P253" s="104"/>
      <c r="Q253" s="104"/>
      <c r="R253" s="104"/>
      <c r="Z253" s="198">
        <f t="shared" si="70"/>
        <v>0</v>
      </c>
      <c r="AA253" s="45">
        <f t="shared" si="72"/>
        <v>0</v>
      </c>
      <c r="AB253" s="45">
        <f t="shared" si="73"/>
        <v>0</v>
      </c>
      <c r="AC253" s="45">
        <f t="shared" si="74"/>
        <v>0</v>
      </c>
    </row>
    <row r="254" spans="2:29" x14ac:dyDescent="0.2">
      <c r="B254" s="93"/>
      <c r="C254" s="1"/>
      <c r="D254" s="1"/>
      <c r="E254" s="1"/>
      <c r="F254" s="1"/>
      <c r="G254" s="1"/>
      <c r="H254" s="18"/>
      <c r="I254" s="104"/>
      <c r="K254" s="45">
        <f t="shared" si="71"/>
        <v>0</v>
      </c>
      <c r="L254" s="104"/>
      <c r="M254" s="104"/>
      <c r="N254" s="104">
        <v>12</v>
      </c>
      <c r="O254" s="104"/>
      <c r="P254" s="104"/>
      <c r="Q254" s="104"/>
      <c r="R254" s="104"/>
      <c r="Z254" s="198">
        <f t="shared" si="70"/>
        <v>0</v>
      </c>
      <c r="AA254" s="45">
        <f t="shared" si="72"/>
        <v>0</v>
      </c>
      <c r="AB254" s="45">
        <f t="shared" si="73"/>
        <v>0</v>
      </c>
      <c r="AC254" s="45">
        <f t="shared" si="74"/>
        <v>0</v>
      </c>
    </row>
    <row r="255" spans="2:29" x14ac:dyDescent="0.2">
      <c r="B255" s="93"/>
      <c r="C255" s="1"/>
      <c r="D255" s="1"/>
      <c r="E255" s="1"/>
      <c r="F255" s="1"/>
      <c r="G255" s="1"/>
      <c r="H255" s="18"/>
      <c r="I255" s="104"/>
      <c r="K255" s="45">
        <f t="shared" si="71"/>
        <v>0</v>
      </c>
      <c r="L255" s="104"/>
      <c r="M255" s="104"/>
      <c r="N255" s="104">
        <v>12</v>
      </c>
      <c r="O255" s="104"/>
      <c r="P255" s="104"/>
      <c r="Q255" s="104"/>
      <c r="R255" s="104"/>
      <c r="Z255" s="198">
        <f t="shared" si="70"/>
        <v>0</v>
      </c>
      <c r="AA255" s="45">
        <f t="shared" si="72"/>
        <v>0</v>
      </c>
      <c r="AB255" s="45">
        <f t="shared" si="73"/>
        <v>0</v>
      </c>
      <c r="AC255" s="45">
        <f t="shared" si="74"/>
        <v>0</v>
      </c>
    </row>
    <row r="256" spans="2:29" x14ac:dyDescent="0.2">
      <c r="B256" s="93"/>
      <c r="C256" s="1"/>
      <c r="D256" s="1"/>
      <c r="E256" s="1"/>
      <c r="F256" s="1"/>
      <c r="G256" s="1"/>
      <c r="H256" s="18"/>
      <c r="I256" s="104"/>
      <c r="K256" s="45">
        <f t="shared" si="71"/>
        <v>0</v>
      </c>
      <c r="L256" s="104"/>
      <c r="M256" s="104"/>
      <c r="N256" s="104">
        <v>12</v>
      </c>
      <c r="O256" s="104"/>
      <c r="P256" s="104"/>
      <c r="Q256" s="104"/>
      <c r="R256" s="104"/>
      <c r="Z256" s="198">
        <f t="shared" si="70"/>
        <v>0</v>
      </c>
      <c r="AA256" s="45">
        <f t="shared" si="72"/>
        <v>0</v>
      </c>
      <c r="AB256" s="45">
        <f t="shared" si="73"/>
        <v>0</v>
      </c>
      <c r="AC256" s="45">
        <f t="shared" si="74"/>
        <v>0</v>
      </c>
    </row>
    <row r="257" spans="2:29" x14ac:dyDescent="0.2">
      <c r="B257" s="93"/>
      <c r="C257" s="1"/>
      <c r="D257" s="1"/>
      <c r="E257" s="1"/>
      <c r="F257" s="1"/>
      <c r="G257" s="1"/>
      <c r="H257" s="18"/>
      <c r="I257" s="104"/>
      <c r="K257" s="45">
        <f t="shared" si="71"/>
        <v>0</v>
      </c>
      <c r="L257" s="104"/>
      <c r="M257" s="104"/>
      <c r="N257" s="104">
        <v>12</v>
      </c>
      <c r="O257" s="104"/>
      <c r="P257" s="104"/>
      <c r="Q257" s="104"/>
      <c r="R257" s="104"/>
      <c r="Z257" s="198">
        <f t="shared" si="70"/>
        <v>0</v>
      </c>
      <c r="AA257" s="45">
        <f t="shared" si="72"/>
        <v>0</v>
      </c>
      <c r="AB257" s="45">
        <f t="shared" si="73"/>
        <v>0</v>
      </c>
      <c r="AC257" s="45">
        <f t="shared" si="74"/>
        <v>0</v>
      </c>
    </row>
    <row r="258" spans="2:29" x14ac:dyDescent="0.2">
      <c r="B258" s="93"/>
      <c r="C258" s="1"/>
      <c r="D258" s="1"/>
      <c r="E258" s="1"/>
      <c r="F258" s="1"/>
      <c r="G258" s="1"/>
      <c r="H258" s="18"/>
      <c r="I258" s="104"/>
      <c r="K258" s="45">
        <f t="shared" si="71"/>
        <v>0</v>
      </c>
      <c r="L258" s="104"/>
      <c r="M258" s="104"/>
      <c r="N258" s="104">
        <v>12</v>
      </c>
      <c r="O258" s="104"/>
      <c r="P258" s="104"/>
      <c r="Q258" s="104"/>
      <c r="R258" s="104"/>
      <c r="Z258" s="198">
        <f t="shared" si="70"/>
        <v>0</v>
      </c>
      <c r="AA258" s="45">
        <f t="shared" si="72"/>
        <v>0</v>
      </c>
      <c r="AB258" s="45">
        <f t="shared" si="73"/>
        <v>0</v>
      </c>
      <c r="AC258" s="45">
        <f t="shared" si="74"/>
        <v>0</v>
      </c>
    </row>
    <row r="259" spans="2:29" x14ac:dyDescent="0.2">
      <c r="B259" s="93"/>
      <c r="C259" s="1"/>
      <c r="D259" s="1"/>
      <c r="E259" s="1"/>
      <c r="F259" s="1"/>
      <c r="G259" s="1"/>
      <c r="H259" s="18"/>
      <c r="I259" s="104"/>
      <c r="K259" s="45">
        <f t="shared" si="71"/>
        <v>0</v>
      </c>
      <c r="L259" s="104"/>
      <c r="M259" s="104"/>
      <c r="N259" s="104">
        <v>12</v>
      </c>
      <c r="O259" s="104"/>
      <c r="P259" s="104"/>
      <c r="Q259" s="104"/>
      <c r="R259" s="104"/>
      <c r="Z259" s="198">
        <f t="shared" si="70"/>
        <v>0</v>
      </c>
      <c r="AA259" s="45">
        <f t="shared" si="72"/>
        <v>0</v>
      </c>
      <c r="AB259" s="45">
        <f t="shared" si="73"/>
        <v>0</v>
      </c>
      <c r="AC259" s="45">
        <f t="shared" si="74"/>
        <v>0</v>
      </c>
    </row>
    <row r="260" spans="2:29" x14ac:dyDescent="0.2">
      <c r="B260" s="93"/>
      <c r="C260" s="1"/>
      <c r="D260" s="1"/>
      <c r="E260" s="1"/>
      <c r="F260" s="1"/>
      <c r="G260" s="1"/>
      <c r="H260" s="18"/>
      <c r="I260" s="104"/>
      <c r="K260" s="45">
        <f t="shared" si="71"/>
        <v>0</v>
      </c>
      <c r="L260" s="104"/>
      <c r="M260" s="104"/>
      <c r="N260" s="104">
        <v>12</v>
      </c>
      <c r="O260" s="104"/>
      <c r="P260" s="104"/>
      <c r="Q260" s="104"/>
      <c r="R260" s="104"/>
      <c r="Z260" s="198">
        <f t="shared" si="70"/>
        <v>0</v>
      </c>
      <c r="AA260" s="45">
        <f t="shared" si="72"/>
        <v>0</v>
      </c>
      <c r="AB260" s="45">
        <f t="shared" si="73"/>
        <v>0</v>
      </c>
      <c r="AC260" s="45">
        <f t="shared" si="74"/>
        <v>0</v>
      </c>
    </row>
    <row r="261" spans="2:29" x14ac:dyDescent="0.2">
      <c r="B261" s="93"/>
      <c r="C261" s="1"/>
      <c r="D261" s="1"/>
      <c r="E261" s="1"/>
      <c r="F261" s="1"/>
      <c r="G261" s="1"/>
      <c r="H261" s="18"/>
      <c r="I261" s="104"/>
      <c r="K261" s="45">
        <f t="shared" si="71"/>
        <v>0</v>
      </c>
      <c r="L261" s="104"/>
      <c r="M261" s="104"/>
      <c r="N261" s="104">
        <v>12</v>
      </c>
      <c r="O261" s="104"/>
      <c r="P261" s="104"/>
      <c r="Q261" s="104"/>
      <c r="R261" s="104"/>
      <c r="Z261" s="198">
        <f t="shared" si="70"/>
        <v>0</v>
      </c>
      <c r="AA261" s="45">
        <f t="shared" si="72"/>
        <v>0</v>
      </c>
      <c r="AB261" s="45">
        <f t="shared" si="73"/>
        <v>0</v>
      </c>
      <c r="AC261" s="45">
        <f t="shared" si="74"/>
        <v>0</v>
      </c>
    </row>
    <row r="262" spans="2:29" x14ac:dyDescent="0.2">
      <c r="B262" s="209"/>
      <c r="C262" s="1"/>
      <c r="D262" s="1"/>
      <c r="E262" s="1"/>
      <c r="F262" s="1"/>
      <c r="G262" s="1"/>
      <c r="H262" s="18"/>
      <c r="I262" s="104"/>
      <c r="K262" s="45">
        <f>+I262-J262</f>
        <v>0</v>
      </c>
      <c r="L262" s="104"/>
      <c r="M262" s="104"/>
      <c r="N262" s="104">
        <v>12</v>
      </c>
      <c r="O262" s="104"/>
      <c r="P262" s="104"/>
      <c r="Q262" s="104"/>
      <c r="R262" s="104"/>
      <c r="Z262" s="198">
        <f t="shared" si="70"/>
        <v>0</v>
      </c>
      <c r="AA262" s="45">
        <f t="shared" si="72"/>
        <v>0</v>
      </c>
      <c r="AB262" s="45">
        <f t="shared" si="73"/>
        <v>0</v>
      </c>
      <c r="AC262" s="45">
        <f t="shared" si="74"/>
        <v>0</v>
      </c>
    </row>
    <row r="263" spans="2:29" x14ac:dyDescent="0.2">
      <c r="B263" s="209"/>
      <c r="C263" s="1"/>
      <c r="D263" s="1"/>
      <c r="E263" s="1"/>
      <c r="F263" s="1"/>
      <c r="G263" s="1"/>
      <c r="H263" s="18"/>
      <c r="I263" s="104"/>
      <c r="K263" s="45">
        <f>+I263-J263</f>
        <v>0</v>
      </c>
      <c r="L263" s="104"/>
      <c r="M263" s="104"/>
      <c r="N263" s="104">
        <v>12</v>
      </c>
      <c r="O263" s="104"/>
      <c r="P263" s="104"/>
      <c r="Q263" s="104"/>
      <c r="R263" s="104"/>
      <c r="Z263" s="198">
        <f t="shared" si="70"/>
        <v>0</v>
      </c>
      <c r="AA263" s="45">
        <f t="shared" si="72"/>
        <v>0</v>
      </c>
      <c r="AB263" s="45">
        <f t="shared" si="73"/>
        <v>0</v>
      </c>
      <c r="AC263" s="45">
        <f t="shared" si="74"/>
        <v>0</v>
      </c>
    </row>
    <row r="265" spans="2:29" ht="13.5" thickBot="1" x14ac:dyDescent="0.25">
      <c r="C265" s="45" t="s">
        <v>418</v>
      </c>
      <c r="I265" s="53">
        <f>SUM(I232:I264)</f>
        <v>0</v>
      </c>
      <c r="J265" s="53">
        <f>SUM(J232:J264)</f>
        <v>0</v>
      </c>
      <c r="K265" s="53">
        <f>SUM(K232:K264)</f>
        <v>0</v>
      </c>
      <c r="L265" s="53">
        <f>SUM(L232:L264)</f>
        <v>0</v>
      </c>
      <c r="M265" s="53"/>
      <c r="N265" s="53"/>
      <c r="O265" s="53"/>
      <c r="P265" s="53"/>
      <c r="Q265" s="53">
        <f t="shared" ref="Q265:AC265" si="75">SUM(Q232:Q264)</f>
        <v>0</v>
      </c>
      <c r="R265" s="53">
        <f t="shared" si="75"/>
        <v>0</v>
      </c>
      <c r="S265" s="53">
        <f t="shared" si="75"/>
        <v>0</v>
      </c>
      <c r="T265" s="53">
        <f t="shared" si="75"/>
        <v>0</v>
      </c>
      <c r="U265" s="53"/>
      <c r="V265" s="53">
        <f t="shared" si="75"/>
        <v>0</v>
      </c>
      <c r="W265" s="53">
        <f t="shared" si="75"/>
        <v>0</v>
      </c>
      <c r="X265" s="53">
        <f t="shared" si="75"/>
        <v>0</v>
      </c>
      <c r="Y265" s="53">
        <f t="shared" si="75"/>
        <v>0</v>
      </c>
      <c r="Z265" s="53">
        <f t="shared" si="75"/>
        <v>0</v>
      </c>
      <c r="AA265" s="53">
        <f t="shared" si="75"/>
        <v>0</v>
      </c>
      <c r="AB265" s="53">
        <f t="shared" si="75"/>
        <v>0</v>
      </c>
      <c r="AC265" s="53">
        <f t="shared" si="75"/>
        <v>0</v>
      </c>
    </row>
    <row r="266" spans="2:29" ht="13.5" thickTop="1" x14ac:dyDescent="0.2"/>
    <row r="268" spans="2:29" ht="14.25" x14ac:dyDescent="0.2">
      <c r="B268" s="208" t="s">
        <v>414</v>
      </c>
      <c r="I268" s="335">
        <v>0.2</v>
      </c>
      <c r="J268" s="45" t="s">
        <v>330</v>
      </c>
    </row>
    <row r="269" spans="2:29" x14ac:dyDescent="0.2">
      <c r="B269" s="205"/>
      <c r="I269" s="22"/>
      <c r="J269" s="22"/>
      <c r="K269" s="22"/>
      <c r="L269" s="22"/>
      <c r="M269" s="22"/>
      <c r="N269" s="22"/>
      <c r="O269" s="22"/>
      <c r="P269" s="22"/>
      <c r="Q269" s="22"/>
      <c r="R269" s="22"/>
      <c r="S269" s="22"/>
      <c r="T269" s="22"/>
      <c r="U269" s="22"/>
      <c r="V269" s="296" t="s">
        <v>868</v>
      </c>
      <c r="W269" s="297" t="s">
        <v>875</v>
      </c>
      <c r="X269" s="298" t="s">
        <v>869</v>
      </c>
      <c r="Y269" s="22"/>
      <c r="Z269" s="22"/>
      <c r="AA269" s="22"/>
      <c r="AB269" s="22"/>
      <c r="AC269" s="22"/>
    </row>
    <row r="270" spans="2:29" x14ac:dyDescent="0.2">
      <c r="B270" s="206" t="s">
        <v>28</v>
      </c>
      <c r="C270" s="70" t="s">
        <v>282</v>
      </c>
      <c r="D270" s="70"/>
      <c r="E270" s="110"/>
      <c r="F270" s="111"/>
      <c r="G270" s="110"/>
      <c r="H270" s="110"/>
      <c r="I270" s="24" t="s">
        <v>452</v>
      </c>
      <c r="J270" s="24" t="s">
        <v>703</v>
      </c>
      <c r="K270" s="24" t="s">
        <v>702</v>
      </c>
      <c r="L270" s="24" t="s">
        <v>334</v>
      </c>
      <c r="M270" s="24"/>
      <c r="N270" s="24" t="s">
        <v>491</v>
      </c>
      <c r="O270" s="24"/>
      <c r="P270" s="24"/>
      <c r="Q270" s="24" t="s">
        <v>704</v>
      </c>
      <c r="R270" s="24" t="s">
        <v>705</v>
      </c>
      <c r="S270" s="24" t="s">
        <v>867</v>
      </c>
      <c r="T270" s="24" t="s">
        <v>706</v>
      </c>
      <c r="U270" s="24"/>
      <c r="V270" s="283" t="s">
        <v>870</v>
      </c>
      <c r="W270" s="24" t="s">
        <v>876</v>
      </c>
      <c r="X270" s="284" t="s">
        <v>871</v>
      </c>
      <c r="Y270" s="24" t="s">
        <v>682</v>
      </c>
      <c r="Z270" s="24" t="s">
        <v>701</v>
      </c>
      <c r="AA270" s="24" t="s">
        <v>452</v>
      </c>
      <c r="AB270" s="24" t="s">
        <v>703</v>
      </c>
      <c r="AC270" s="24" t="s">
        <v>702</v>
      </c>
    </row>
    <row r="272" spans="2:29" ht="15" x14ac:dyDescent="0.35">
      <c r="C272" s="116"/>
      <c r="K272" s="45">
        <f t="shared" ref="K272:K277" si="76">+I272-J272</f>
        <v>0</v>
      </c>
      <c r="N272" s="104">
        <v>12</v>
      </c>
      <c r="O272" s="104"/>
      <c r="P272" s="104"/>
      <c r="Z272" s="198">
        <f t="shared" ref="Z272:Z303" si="77">ROUND(IF(L272&gt;0,L272*I$268*N272/12,IF(K272=0,0,IF(I272*I$268*N272/12&gt;=K272,K272-1,I272*I$268*N272/12))),2)+Y272</f>
        <v>0</v>
      </c>
      <c r="AA272" s="45">
        <f>I272+L272-Q272</f>
        <v>0</v>
      </c>
      <c r="AB272" s="45">
        <f>J272+Z272-R272</f>
        <v>0</v>
      </c>
      <c r="AC272" s="45">
        <f t="shared" ref="AC272" si="78">+AA272-AB272</f>
        <v>0</v>
      </c>
    </row>
    <row r="273" spans="2:29" x14ac:dyDescent="0.2">
      <c r="C273" s="183"/>
      <c r="K273" s="45">
        <f t="shared" si="76"/>
        <v>0</v>
      </c>
      <c r="N273" s="104">
        <v>12</v>
      </c>
      <c r="O273" s="104"/>
      <c r="P273" s="104"/>
      <c r="Z273" s="198">
        <f t="shared" si="77"/>
        <v>0</v>
      </c>
      <c r="AA273" s="45">
        <f t="shared" ref="AA273:AA336" si="79">I273+L273-Q273</f>
        <v>0</v>
      </c>
      <c r="AB273" s="45">
        <f t="shared" ref="AB273:AB336" si="80">J273+Z273-R273</f>
        <v>0</v>
      </c>
      <c r="AC273" s="45">
        <f t="shared" ref="AC273:AC336" si="81">+AA273-AB273</f>
        <v>0</v>
      </c>
    </row>
    <row r="274" spans="2:29" x14ac:dyDescent="0.2">
      <c r="B274" s="58"/>
      <c r="C274" s="1"/>
      <c r="D274" s="1"/>
      <c r="E274" s="1"/>
      <c r="F274" s="1"/>
      <c r="G274" s="1"/>
      <c r="K274" s="45">
        <f t="shared" si="76"/>
        <v>0</v>
      </c>
      <c r="N274" s="104">
        <v>12</v>
      </c>
      <c r="O274" s="104"/>
      <c r="P274" s="104"/>
      <c r="Q274" s="104"/>
      <c r="R274" s="104"/>
      <c r="Z274" s="198">
        <f t="shared" si="77"/>
        <v>0</v>
      </c>
      <c r="AA274" s="45">
        <f t="shared" si="79"/>
        <v>0</v>
      </c>
      <c r="AB274" s="45">
        <f t="shared" si="80"/>
        <v>0</v>
      </c>
      <c r="AC274" s="45">
        <f t="shared" si="81"/>
        <v>0</v>
      </c>
    </row>
    <row r="275" spans="2:29" x14ac:dyDescent="0.2">
      <c r="B275" s="58"/>
      <c r="C275" s="1"/>
      <c r="D275" s="1"/>
      <c r="E275" s="1"/>
      <c r="F275" s="1"/>
      <c r="G275" s="1"/>
      <c r="K275" s="45">
        <f t="shared" si="76"/>
        <v>0</v>
      </c>
      <c r="N275" s="104">
        <v>12</v>
      </c>
      <c r="O275" s="104"/>
      <c r="P275" s="104"/>
      <c r="Q275" s="104"/>
      <c r="R275" s="104"/>
      <c r="Z275" s="198">
        <f t="shared" si="77"/>
        <v>0</v>
      </c>
      <c r="AA275" s="45">
        <f t="shared" si="79"/>
        <v>0</v>
      </c>
      <c r="AB275" s="45">
        <f t="shared" si="80"/>
        <v>0</v>
      </c>
      <c r="AC275" s="45">
        <f t="shared" si="81"/>
        <v>0</v>
      </c>
    </row>
    <row r="276" spans="2:29" x14ac:dyDescent="0.2">
      <c r="B276" s="58"/>
      <c r="C276" s="30"/>
      <c r="D276" s="1"/>
      <c r="E276" s="1"/>
      <c r="F276" s="1"/>
      <c r="G276" s="1"/>
      <c r="K276" s="45">
        <f t="shared" si="76"/>
        <v>0</v>
      </c>
      <c r="N276" s="104">
        <v>12</v>
      </c>
      <c r="O276" s="104"/>
      <c r="P276" s="104"/>
      <c r="Q276" s="104"/>
      <c r="R276" s="104"/>
      <c r="Z276" s="198">
        <f t="shared" si="77"/>
        <v>0</v>
      </c>
      <c r="AA276" s="45">
        <f t="shared" si="79"/>
        <v>0</v>
      </c>
      <c r="AB276" s="45">
        <f t="shared" si="80"/>
        <v>0</v>
      </c>
      <c r="AC276" s="45">
        <f t="shared" si="81"/>
        <v>0</v>
      </c>
    </row>
    <row r="277" spans="2:29" x14ac:dyDescent="0.2">
      <c r="B277" s="58"/>
      <c r="C277" s="1"/>
      <c r="D277" s="1"/>
      <c r="E277" s="1"/>
      <c r="F277" s="1"/>
      <c r="G277" s="1"/>
      <c r="K277" s="45">
        <f t="shared" si="76"/>
        <v>0</v>
      </c>
      <c r="N277" s="104">
        <v>12</v>
      </c>
      <c r="O277" s="104"/>
      <c r="P277" s="104"/>
      <c r="Q277" s="104"/>
      <c r="R277" s="104"/>
      <c r="Z277" s="198">
        <f t="shared" si="77"/>
        <v>0</v>
      </c>
      <c r="AA277" s="45">
        <f t="shared" si="79"/>
        <v>0</v>
      </c>
      <c r="AB277" s="45">
        <f t="shared" si="80"/>
        <v>0</v>
      </c>
      <c r="AC277" s="45">
        <f t="shared" si="81"/>
        <v>0</v>
      </c>
    </row>
    <row r="278" spans="2:29" x14ac:dyDescent="0.2">
      <c r="B278" s="58"/>
      <c r="C278" s="1"/>
      <c r="D278" s="30"/>
      <c r="E278" s="30"/>
      <c r="F278" s="30"/>
      <c r="G278" s="30"/>
      <c r="K278" s="45">
        <f t="shared" ref="K278:K279" si="82">+I278-J278</f>
        <v>0</v>
      </c>
      <c r="N278" s="104">
        <v>12</v>
      </c>
      <c r="O278" s="104"/>
      <c r="P278" s="104"/>
      <c r="Q278" s="104"/>
      <c r="R278" s="104"/>
      <c r="Z278" s="198">
        <f t="shared" si="77"/>
        <v>0</v>
      </c>
      <c r="AA278" s="45">
        <f t="shared" si="79"/>
        <v>0</v>
      </c>
      <c r="AB278" s="45">
        <f t="shared" si="80"/>
        <v>0</v>
      </c>
      <c r="AC278" s="45">
        <f t="shared" si="81"/>
        <v>0</v>
      </c>
    </row>
    <row r="279" spans="2:29" x14ac:dyDescent="0.2">
      <c r="B279" s="58"/>
      <c r="C279" s="1"/>
      <c r="D279" s="30"/>
      <c r="E279" s="30"/>
      <c r="F279" s="30"/>
      <c r="G279" s="30"/>
      <c r="K279" s="45">
        <f t="shared" si="82"/>
        <v>0</v>
      </c>
      <c r="N279" s="104">
        <v>12</v>
      </c>
      <c r="O279" s="104"/>
      <c r="P279" s="104"/>
      <c r="Q279" s="104"/>
      <c r="R279" s="104"/>
      <c r="Z279" s="198">
        <f t="shared" si="77"/>
        <v>0</v>
      </c>
      <c r="AA279" s="45">
        <f t="shared" si="79"/>
        <v>0</v>
      </c>
      <c r="AB279" s="45">
        <f t="shared" si="80"/>
        <v>0</v>
      </c>
      <c r="AC279" s="45">
        <f t="shared" si="81"/>
        <v>0</v>
      </c>
    </row>
    <row r="280" spans="2:29" ht="15" x14ac:dyDescent="0.25">
      <c r="B280" s="58"/>
      <c r="C280" s="30"/>
      <c r="D280" s="200"/>
      <c r="E280" s="200"/>
      <c r="F280" s="201"/>
      <c r="G280" s="200"/>
      <c r="K280" s="45">
        <f>+I280-J280</f>
        <v>0</v>
      </c>
      <c r="N280" s="104">
        <v>12</v>
      </c>
      <c r="O280" s="104"/>
      <c r="P280" s="104"/>
      <c r="Q280" s="104"/>
      <c r="R280" s="104"/>
      <c r="Z280" s="198">
        <f t="shared" si="77"/>
        <v>0</v>
      </c>
      <c r="AA280" s="45">
        <f t="shared" si="79"/>
        <v>0</v>
      </c>
      <c r="AB280" s="45">
        <f t="shared" si="80"/>
        <v>0</v>
      </c>
      <c r="AC280" s="45">
        <f t="shared" si="81"/>
        <v>0</v>
      </c>
    </row>
    <row r="281" spans="2:29" ht="15" x14ac:dyDescent="0.25">
      <c r="B281" s="211"/>
      <c r="C281" s="183"/>
      <c r="D281" s="200"/>
      <c r="E281" s="200"/>
      <c r="F281" s="201"/>
      <c r="G281" s="200"/>
      <c r="K281" s="45">
        <f>+I281-J281</f>
        <v>0</v>
      </c>
      <c r="N281" s="104">
        <v>12</v>
      </c>
      <c r="O281" s="104"/>
      <c r="P281" s="104"/>
      <c r="Q281" s="104"/>
      <c r="R281" s="104"/>
      <c r="Z281" s="198">
        <f t="shared" si="77"/>
        <v>0</v>
      </c>
      <c r="AA281" s="45">
        <f t="shared" si="79"/>
        <v>0</v>
      </c>
      <c r="AB281" s="45">
        <f t="shared" si="80"/>
        <v>0</v>
      </c>
      <c r="AC281" s="45">
        <f t="shared" si="81"/>
        <v>0</v>
      </c>
    </row>
    <row r="282" spans="2:29" ht="15" x14ac:dyDescent="0.25">
      <c r="B282" s="211"/>
      <c r="C282" s="200"/>
      <c r="D282" s="200"/>
      <c r="E282" s="200"/>
      <c r="F282" s="201"/>
      <c r="G282" s="200"/>
      <c r="K282" s="45">
        <f>+I282-J282</f>
        <v>0</v>
      </c>
      <c r="N282" s="104">
        <v>12</v>
      </c>
      <c r="O282" s="104"/>
      <c r="P282" s="104"/>
      <c r="Q282" s="104"/>
      <c r="R282" s="104"/>
      <c r="Z282" s="198">
        <f t="shared" si="77"/>
        <v>0</v>
      </c>
      <c r="AA282" s="45">
        <f t="shared" si="79"/>
        <v>0</v>
      </c>
      <c r="AB282" s="45">
        <f t="shared" si="80"/>
        <v>0</v>
      </c>
      <c r="AC282" s="45">
        <f t="shared" si="81"/>
        <v>0</v>
      </c>
    </row>
    <row r="283" spans="2:29" ht="15" x14ac:dyDescent="0.25">
      <c r="B283" s="211"/>
      <c r="C283" s="200"/>
      <c r="D283" s="200"/>
      <c r="E283" s="200"/>
      <c r="F283" s="201"/>
      <c r="G283" s="200"/>
      <c r="K283" s="45">
        <f>+I283-J283</f>
        <v>0</v>
      </c>
      <c r="N283" s="104">
        <v>12</v>
      </c>
      <c r="O283" s="104"/>
      <c r="P283" s="104"/>
      <c r="Q283" s="104"/>
      <c r="R283" s="104"/>
      <c r="Z283" s="198">
        <f t="shared" si="77"/>
        <v>0</v>
      </c>
      <c r="AA283" s="45">
        <f t="shared" si="79"/>
        <v>0</v>
      </c>
      <c r="AB283" s="45">
        <f t="shared" si="80"/>
        <v>0</v>
      </c>
      <c r="AC283" s="45">
        <f t="shared" si="81"/>
        <v>0</v>
      </c>
    </row>
    <row r="284" spans="2:29" ht="15" x14ac:dyDescent="0.25">
      <c r="B284" s="211"/>
      <c r="C284" s="200"/>
      <c r="D284" s="200"/>
      <c r="E284" s="200"/>
      <c r="F284" s="201"/>
      <c r="G284" s="200"/>
      <c r="K284" s="45">
        <f>+I284-J284</f>
        <v>0</v>
      </c>
      <c r="N284" s="104">
        <v>12</v>
      </c>
      <c r="O284" s="104"/>
      <c r="P284" s="104"/>
      <c r="Q284" s="104"/>
      <c r="R284" s="104"/>
      <c r="Z284" s="198">
        <f t="shared" si="77"/>
        <v>0</v>
      </c>
      <c r="AA284" s="45">
        <f t="shared" si="79"/>
        <v>0</v>
      </c>
      <c r="AB284" s="45">
        <f t="shared" si="80"/>
        <v>0</v>
      </c>
      <c r="AC284" s="45">
        <f t="shared" si="81"/>
        <v>0</v>
      </c>
    </row>
    <row r="285" spans="2:29" ht="15" x14ac:dyDescent="0.25">
      <c r="B285" s="211"/>
      <c r="C285" s="200"/>
      <c r="D285" s="200"/>
      <c r="E285" s="200"/>
      <c r="F285" s="201"/>
      <c r="G285" s="200"/>
      <c r="K285" s="45">
        <f t="shared" ref="K285:K368" si="83">+I285-J285</f>
        <v>0</v>
      </c>
      <c r="N285" s="104">
        <v>12</v>
      </c>
      <c r="O285" s="104"/>
      <c r="P285" s="104"/>
      <c r="Q285" s="104"/>
      <c r="R285" s="104"/>
      <c r="Z285" s="198">
        <f t="shared" si="77"/>
        <v>0</v>
      </c>
      <c r="AA285" s="45">
        <f t="shared" si="79"/>
        <v>0</v>
      </c>
      <c r="AB285" s="45">
        <f t="shared" si="80"/>
        <v>0</v>
      </c>
      <c r="AC285" s="45">
        <f t="shared" si="81"/>
        <v>0</v>
      </c>
    </row>
    <row r="286" spans="2:29" ht="15" x14ac:dyDescent="0.25">
      <c r="B286" s="211"/>
      <c r="C286" s="200"/>
      <c r="D286" s="200"/>
      <c r="E286" s="200"/>
      <c r="F286" s="201"/>
      <c r="G286" s="200"/>
      <c r="K286" s="45">
        <f t="shared" si="83"/>
        <v>0</v>
      </c>
      <c r="N286" s="104">
        <v>12</v>
      </c>
      <c r="O286" s="104"/>
      <c r="P286" s="104"/>
      <c r="Q286" s="104"/>
      <c r="R286" s="104"/>
      <c r="Z286" s="198">
        <f t="shared" si="77"/>
        <v>0</v>
      </c>
      <c r="AA286" s="45">
        <f t="shared" si="79"/>
        <v>0</v>
      </c>
      <c r="AB286" s="45">
        <f t="shared" si="80"/>
        <v>0</v>
      </c>
      <c r="AC286" s="45">
        <f t="shared" si="81"/>
        <v>0</v>
      </c>
    </row>
    <row r="287" spans="2:29" ht="15" x14ac:dyDescent="0.25">
      <c r="B287" s="211"/>
      <c r="C287" s="202"/>
      <c r="D287" s="200"/>
      <c r="E287" s="200"/>
      <c r="F287" s="201"/>
      <c r="G287" s="200"/>
      <c r="K287" s="45">
        <f t="shared" si="83"/>
        <v>0</v>
      </c>
      <c r="N287" s="104">
        <v>12</v>
      </c>
      <c r="O287" s="104"/>
      <c r="P287" s="104"/>
      <c r="Q287" s="104"/>
      <c r="R287" s="104"/>
      <c r="Z287" s="198">
        <f t="shared" si="77"/>
        <v>0</v>
      </c>
      <c r="AA287" s="45">
        <f t="shared" si="79"/>
        <v>0</v>
      </c>
      <c r="AB287" s="45">
        <f t="shared" si="80"/>
        <v>0</v>
      </c>
      <c r="AC287" s="45">
        <f t="shared" si="81"/>
        <v>0</v>
      </c>
    </row>
    <row r="288" spans="2:29" ht="15" x14ac:dyDescent="0.25">
      <c r="B288" s="211"/>
      <c r="C288" s="200"/>
      <c r="D288" s="200"/>
      <c r="E288" s="200"/>
      <c r="F288" s="201"/>
      <c r="G288" s="200"/>
      <c r="K288" s="45">
        <f t="shared" si="83"/>
        <v>0</v>
      </c>
      <c r="N288" s="104">
        <v>12</v>
      </c>
      <c r="O288" s="104"/>
      <c r="P288" s="104"/>
      <c r="Q288" s="104"/>
      <c r="R288" s="104"/>
      <c r="Z288" s="198">
        <f t="shared" si="77"/>
        <v>0</v>
      </c>
      <c r="AA288" s="45">
        <f t="shared" si="79"/>
        <v>0</v>
      </c>
      <c r="AB288" s="45">
        <f t="shared" si="80"/>
        <v>0</v>
      </c>
      <c r="AC288" s="45">
        <f t="shared" si="81"/>
        <v>0</v>
      </c>
    </row>
    <row r="289" spans="2:29" ht="15" x14ac:dyDescent="0.25">
      <c r="B289" s="211"/>
      <c r="C289" s="200"/>
      <c r="D289" s="200"/>
      <c r="E289" s="200"/>
      <c r="F289" s="201"/>
      <c r="G289" s="200"/>
      <c r="K289" s="45">
        <f t="shared" si="83"/>
        <v>0</v>
      </c>
      <c r="N289" s="104">
        <v>12</v>
      </c>
      <c r="O289" s="104"/>
      <c r="P289" s="104"/>
      <c r="Q289" s="104"/>
      <c r="R289" s="104"/>
      <c r="Z289" s="198">
        <f t="shared" si="77"/>
        <v>0</v>
      </c>
      <c r="AA289" s="45">
        <f t="shared" si="79"/>
        <v>0</v>
      </c>
      <c r="AB289" s="45">
        <f t="shared" si="80"/>
        <v>0</v>
      </c>
      <c r="AC289" s="45">
        <f t="shared" si="81"/>
        <v>0</v>
      </c>
    </row>
    <row r="290" spans="2:29" ht="15" x14ac:dyDescent="0.25">
      <c r="B290" s="211"/>
      <c r="C290" s="200"/>
      <c r="D290" s="200"/>
      <c r="E290" s="200"/>
      <c r="F290" s="201"/>
      <c r="G290" s="200"/>
      <c r="K290" s="45">
        <f t="shared" si="83"/>
        <v>0</v>
      </c>
      <c r="N290" s="104">
        <v>12</v>
      </c>
      <c r="O290" s="104"/>
      <c r="P290" s="104"/>
      <c r="Q290" s="104"/>
      <c r="R290" s="104"/>
      <c r="Z290" s="198">
        <f t="shared" si="77"/>
        <v>0</v>
      </c>
      <c r="AA290" s="45">
        <f t="shared" si="79"/>
        <v>0</v>
      </c>
      <c r="AB290" s="45">
        <f t="shared" si="80"/>
        <v>0</v>
      </c>
      <c r="AC290" s="45">
        <f t="shared" si="81"/>
        <v>0</v>
      </c>
    </row>
    <row r="291" spans="2:29" ht="15" x14ac:dyDescent="0.25">
      <c r="B291" s="211"/>
      <c r="C291" s="200"/>
      <c r="D291" s="200"/>
      <c r="E291" s="200"/>
      <c r="F291" s="201"/>
      <c r="G291" s="200"/>
      <c r="K291" s="45">
        <f t="shared" si="83"/>
        <v>0</v>
      </c>
      <c r="N291" s="104">
        <v>12</v>
      </c>
      <c r="O291" s="104"/>
      <c r="P291" s="104"/>
      <c r="Q291" s="104"/>
      <c r="R291" s="104"/>
      <c r="Z291" s="198">
        <f t="shared" si="77"/>
        <v>0</v>
      </c>
      <c r="AA291" s="45">
        <f t="shared" si="79"/>
        <v>0</v>
      </c>
      <c r="AB291" s="45">
        <f t="shared" si="80"/>
        <v>0</v>
      </c>
      <c r="AC291" s="45">
        <f t="shared" si="81"/>
        <v>0</v>
      </c>
    </row>
    <row r="292" spans="2:29" ht="15" x14ac:dyDescent="0.25">
      <c r="B292" s="211"/>
      <c r="C292" s="200"/>
      <c r="D292" s="200"/>
      <c r="E292" s="200"/>
      <c r="F292" s="201"/>
      <c r="G292" s="200"/>
      <c r="K292" s="45">
        <f t="shared" si="83"/>
        <v>0</v>
      </c>
      <c r="N292" s="104">
        <v>12</v>
      </c>
      <c r="O292" s="104"/>
      <c r="P292" s="104"/>
      <c r="Q292" s="104"/>
      <c r="R292" s="104"/>
      <c r="Z292" s="198">
        <f t="shared" si="77"/>
        <v>0</v>
      </c>
      <c r="AA292" s="45">
        <f t="shared" si="79"/>
        <v>0</v>
      </c>
      <c r="AB292" s="45">
        <f t="shared" si="80"/>
        <v>0</v>
      </c>
      <c r="AC292" s="45">
        <f t="shared" si="81"/>
        <v>0</v>
      </c>
    </row>
    <row r="293" spans="2:29" ht="15" x14ac:dyDescent="0.25">
      <c r="B293" s="211"/>
      <c r="C293" s="200"/>
      <c r="D293" s="200"/>
      <c r="E293" s="200"/>
      <c r="F293" s="201"/>
      <c r="G293" s="200"/>
      <c r="K293" s="45">
        <f t="shared" si="83"/>
        <v>0</v>
      </c>
      <c r="N293" s="104">
        <v>12</v>
      </c>
      <c r="O293" s="104"/>
      <c r="P293" s="104"/>
      <c r="Q293" s="104"/>
      <c r="R293" s="104"/>
      <c r="Z293" s="198">
        <f t="shared" si="77"/>
        <v>0</v>
      </c>
      <c r="AA293" s="45">
        <f t="shared" si="79"/>
        <v>0</v>
      </c>
      <c r="AB293" s="45">
        <f t="shared" si="80"/>
        <v>0</v>
      </c>
      <c r="AC293" s="45">
        <f t="shared" si="81"/>
        <v>0</v>
      </c>
    </row>
    <row r="294" spans="2:29" ht="15" x14ac:dyDescent="0.25">
      <c r="B294" s="211"/>
      <c r="C294" s="200"/>
      <c r="D294" s="200"/>
      <c r="E294" s="200"/>
      <c r="F294" s="201"/>
      <c r="G294" s="200"/>
      <c r="K294" s="45">
        <f t="shared" ref="K294:K357" si="84">+I294-J294</f>
        <v>0</v>
      </c>
      <c r="N294" s="104">
        <v>12</v>
      </c>
      <c r="O294" s="104"/>
      <c r="P294" s="104"/>
      <c r="Q294" s="104"/>
      <c r="R294" s="104"/>
      <c r="Z294" s="198">
        <f t="shared" si="77"/>
        <v>0</v>
      </c>
      <c r="AA294" s="45">
        <f t="shared" si="79"/>
        <v>0</v>
      </c>
      <c r="AB294" s="45">
        <f t="shared" si="80"/>
        <v>0</v>
      </c>
      <c r="AC294" s="45">
        <f t="shared" si="81"/>
        <v>0</v>
      </c>
    </row>
    <row r="295" spans="2:29" ht="15" x14ac:dyDescent="0.25">
      <c r="B295" s="211"/>
      <c r="C295" s="200"/>
      <c r="D295" s="200"/>
      <c r="E295" s="200"/>
      <c r="F295" s="201"/>
      <c r="G295" s="200"/>
      <c r="K295" s="45">
        <f t="shared" si="84"/>
        <v>0</v>
      </c>
      <c r="N295" s="104">
        <v>12</v>
      </c>
      <c r="O295" s="104"/>
      <c r="P295" s="104"/>
      <c r="Q295" s="104"/>
      <c r="R295" s="104"/>
      <c r="Z295" s="198">
        <f t="shared" si="77"/>
        <v>0</v>
      </c>
      <c r="AA295" s="45">
        <f t="shared" si="79"/>
        <v>0</v>
      </c>
      <c r="AB295" s="45">
        <f t="shared" si="80"/>
        <v>0</v>
      </c>
      <c r="AC295" s="45">
        <f t="shared" si="81"/>
        <v>0</v>
      </c>
    </row>
    <row r="296" spans="2:29" ht="15" x14ac:dyDescent="0.25">
      <c r="B296" s="211"/>
      <c r="C296" s="200"/>
      <c r="D296" s="200"/>
      <c r="E296" s="200"/>
      <c r="F296" s="201"/>
      <c r="G296" s="200"/>
      <c r="K296" s="45">
        <f t="shared" si="84"/>
        <v>0</v>
      </c>
      <c r="N296" s="104">
        <v>12</v>
      </c>
      <c r="O296" s="104"/>
      <c r="P296" s="104"/>
      <c r="Q296" s="104"/>
      <c r="R296" s="104"/>
      <c r="Z296" s="198">
        <f t="shared" si="77"/>
        <v>0</v>
      </c>
      <c r="AA296" s="45">
        <f t="shared" si="79"/>
        <v>0</v>
      </c>
      <c r="AB296" s="45">
        <f t="shared" si="80"/>
        <v>0</v>
      </c>
      <c r="AC296" s="45">
        <f t="shared" si="81"/>
        <v>0</v>
      </c>
    </row>
    <row r="297" spans="2:29" ht="15" x14ac:dyDescent="0.25">
      <c r="B297" s="211"/>
      <c r="C297" s="200"/>
      <c r="D297" s="200"/>
      <c r="E297" s="200"/>
      <c r="F297" s="201"/>
      <c r="G297" s="200"/>
      <c r="K297" s="45">
        <f t="shared" si="84"/>
        <v>0</v>
      </c>
      <c r="N297" s="104">
        <v>12</v>
      </c>
      <c r="O297" s="104"/>
      <c r="P297" s="104"/>
      <c r="Q297" s="104"/>
      <c r="R297" s="104"/>
      <c r="Z297" s="198">
        <f t="shared" si="77"/>
        <v>0</v>
      </c>
      <c r="AA297" s="45">
        <f t="shared" si="79"/>
        <v>0</v>
      </c>
      <c r="AB297" s="45">
        <f t="shared" si="80"/>
        <v>0</v>
      </c>
      <c r="AC297" s="45">
        <f t="shared" si="81"/>
        <v>0</v>
      </c>
    </row>
    <row r="298" spans="2:29" ht="15" x14ac:dyDescent="0.25">
      <c r="B298" s="211"/>
      <c r="C298" s="200"/>
      <c r="D298" s="200"/>
      <c r="E298" s="200"/>
      <c r="F298" s="201"/>
      <c r="G298" s="200"/>
      <c r="K298" s="45">
        <f t="shared" si="84"/>
        <v>0</v>
      </c>
      <c r="N298" s="104">
        <v>12</v>
      </c>
      <c r="O298" s="104"/>
      <c r="P298" s="104"/>
      <c r="Q298" s="104"/>
      <c r="R298" s="104"/>
      <c r="Z298" s="198">
        <f t="shared" si="77"/>
        <v>0</v>
      </c>
      <c r="AA298" s="45">
        <f t="shared" si="79"/>
        <v>0</v>
      </c>
      <c r="AB298" s="45">
        <f t="shared" si="80"/>
        <v>0</v>
      </c>
      <c r="AC298" s="45">
        <f t="shared" si="81"/>
        <v>0</v>
      </c>
    </row>
    <row r="299" spans="2:29" ht="15" x14ac:dyDescent="0.25">
      <c r="B299" s="211"/>
      <c r="C299" s="200"/>
      <c r="D299" s="200"/>
      <c r="E299" s="200"/>
      <c r="F299" s="201"/>
      <c r="G299" s="200"/>
      <c r="K299" s="45">
        <f t="shared" si="84"/>
        <v>0</v>
      </c>
      <c r="N299" s="104">
        <v>12</v>
      </c>
      <c r="O299" s="104"/>
      <c r="P299" s="104"/>
      <c r="Q299" s="104"/>
      <c r="R299" s="104"/>
      <c r="Z299" s="198">
        <f t="shared" si="77"/>
        <v>0</v>
      </c>
      <c r="AA299" s="45">
        <f t="shared" si="79"/>
        <v>0</v>
      </c>
      <c r="AB299" s="45">
        <f t="shared" si="80"/>
        <v>0</v>
      </c>
      <c r="AC299" s="45">
        <f t="shared" si="81"/>
        <v>0</v>
      </c>
    </row>
    <row r="300" spans="2:29" ht="15" x14ac:dyDescent="0.25">
      <c r="B300" s="211"/>
      <c r="C300" s="200"/>
      <c r="D300" s="200"/>
      <c r="E300" s="200"/>
      <c r="F300" s="201"/>
      <c r="G300" s="200"/>
      <c r="K300" s="45">
        <f t="shared" si="84"/>
        <v>0</v>
      </c>
      <c r="N300" s="104">
        <v>12</v>
      </c>
      <c r="O300" s="104"/>
      <c r="P300" s="104"/>
      <c r="Q300" s="104"/>
      <c r="R300" s="104"/>
      <c r="Z300" s="198">
        <f t="shared" si="77"/>
        <v>0</v>
      </c>
      <c r="AA300" s="45">
        <f t="shared" si="79"/>
        <v>0</v>
      </c>
      <c r="AB300" s="45">
        <f t="shared" si="80"/>
        <v>0</v>
      </c>
      <c r="AC300" s="45">
        <f t="shared" si="81"/>
        <v>0</v>
      </c>
    </row>
    <row r="301" spans="2:29" ht="15" x14ac:dyDescent="0.25">
      <c r="B301" s="211"/>
      <c r="C301" s="200"/>
      <c r="D301" s="200"/>
      <c r="E301" s="200"/>
      <c r="F301" s="201"/>
      <c r="G301" s="200"/>
      <c r="K301" s="45">
        <f t="shared" si="84"/>
        <v>0</v>
      </c>
      <c r="N301" s="104">
        <v>12</v>
      </c>
      <c r="O301" s="104"/>
      <c r="P301" s="104"/>
      <c r="Q301" s="104"/>
      <c r="R301" s="104"/>
      <c r="Z301" s="198">
        <f t="shared" si="77"/>
        <v>0</v>
      </c>
      <c r="AA301" s="45">
        <f t="shared" si="79"/>
        <v>0</v>
      </c>
      <c r="AB301" s="45">
        <f t="shared" si="80"/>
        <v>0</v>
      </c>
      <c r="AC301" s="45">
        <f t="shared" si="81"/>
        <v>0</v>
      </c>
    </row>
    <row r="302" spans="2:29" ht="15" x14ac:dyDescent="0.25">
      <c r="B302" s="211"/>
      <c r="C302" s="200"/>
      <c r="D302" s="200"/>
      <c r="E302" s="200"/>
      <c r="F302" s="201"/>
      <c r="G302" s="200"/>
      <c r="K302" s="45">
        <f t="shared" si="84"/>
        <v>0</v>
      </c>
      <c r="N302" s="104">
        <v>12</v>
      </c>
      <c r="O302" s="104"/>
      <c r="P302" s="104"/>
      <c r="Q302" s="104"/>
      <c r="R302" s="104"/>
      <c r="Z302" s="198">
        <f t="shared" si="77"/>
        <v>0</v>
      </c>
      <c r="AA302" s="45">
        <f t="shared" si="79"/>
        <v>0</v>
      </c>
      <c r="AB302" s="45">
        <f t="shared" si="80"/>
        <v>0</v>
      </c>
      <c r="AC302" s="45">
        <f t="shared" si="81"/>
        <v>0</v>
      </c>
    </row>
    <row r="303" spans="2:29" ht="15" x14ac:dyDescent="0.25">
      <c r="B303" s="211"/>
      <c r="C303" s="200"/>
      <c r="D303" s="200"/>
      <c r="E303" s="200"/>
      <c r="F303" s="201"/>
      <c r="G303" s="200"/>
      <c r="K303" s="45">
        <f t="shared" si="84"/>
        <v>0</v>
      </c>
      <c r="N303" s="104">
        <v>12</v>
      </c>
      <c r="O303" s="104"/>
      <c r="P303" s="104"/>
      <c r="Q303" s="104"/>
      <c r="R303" s="104"/>
      <c r="Z303" s="198">
        <f t="shared" si="77"/>
        <v>0</v>
      </c>
      <c r="AA303" s="45">
        <f t="shared" si="79"/>
        <v>0</v>
      </c>
      <c r="AB303" s="45">
        <f t="shared" si="80"/>
        <v>0</v>
      </c>
      <c r="AC303" s="45">
        <f t="shared" si="81"/>
        <v>0</v>
      </c>
    </row>
    <row r="304" spans="2:29" ht="15" x14ac:dyDescent="0.25">
      <c r="B304" s="211"/>
      <c r="C304" s="200"/>
      <c r="D304" s="200"/>
      <c r="E304" s="200"/>
      <c r="F304" s="201"/>
      <c r="G304" s="200"/>
      <c r="K304" s="45">
        <f t="shared" si="84"/>
        <v>0</v>
      </c>
      <c r="N304" s="104">
        <v>12</v>
      </c>
      <c r="O304" s="104"/>
      <c r="P304" s="104"/>
      <c r="Q304" s="104"/>
      <c r="R304" s="104"/>
      <c r="Z304" s="198">
        <f t="shared" ref="Z304:Z335" si="85">ROUND(IF(L304&gt;0,L304*I$268*N304/12,IF(K304=0,0,IF(I304*I$268*N304/12&gt;=K304,K304-1,I304*I$268*N304/12))),2)+Y304</f>
        <v>0</v>
      </c>
      <c r="AA304" s="45">
        <f t="shared" si="79"/>
        <v>0</v>
      </c>
      <c r="AB304" s="45">
        <f t="shared" si="80"/>
        <v>0</v>
      </c>
      <c r="AC304" s="45">
        <f t="shared" si="81"/>
        <v>0</v>
      </c>
    </row>
    <row r="305" spans="2:29" ht="15" x14ac:dyDescent="0.25">
      <c r="B305" s="211"/>
      <c r="C305" s="200"/>
      <c r="D305" s="200"/>
      <c r="E305" s="200"/>
      <c r="F305" s="201"/>
      <c r="G305" s="200"/>
      <c r="K305" s="45">
        <f t="shared" si="84"/>
        <v>0</v>
      </c>
      <c r="N305" s="104">
        <v>12</v>
      </c>
      <c r="O305" s="104"/>
      <c r="P305" s="104"/>
      <c r="Q305" s="104"/>
      <c r="R305" s="104"/>
      <c r="Z305" s="198">
        <f t="shared" si="85"/>
        <v>0</v>
      </c>
      <c r="AA305" s="45">
        <f t="shared" si="79"/>
        <v>0</v>
      </c>
      <c r="AB305" s="45">
        <f t="shared" si="80"/>
        <v>0</v>
      </c>
      <c r="AC305" s="45">
        <f t="shared" si="81"/>
        <v>0</v>
      </c>
    </row>
    <row r="306" spans="2:29" ht="15" x14ac:dyDescent="0.25">
      <c r="B306" s="211"/>
      <c r="C306" s="200"/>
      <c r="D306" s="200"/>
      <c r="E306" s="200"/>
      <c r="F306" s="201"/>
      <c r="G306" s="200"/>
      <c r="K306" s="45">
        <f t="shared" si="84"/>
        <v>0</v>
      </c>
      <c r="N306" s="104">
        <v>12</v>
      </c>
      <c r="O306" s="104"/>
      <c r="P306" s="104"/>
      <c r="Q306" s="104"/>
      <c r="R306" s="104"/>
      <c r="Z306" s="198">
        <f t="shared" si="85"/>
        <v>0</v>
      </c>
      <c r="AA306" s="45">
        <f t="shared" si="79"/>
        <v>0</v>
      </c>
      <c r="AB306" s="45">
        <f t="shared" si="80"/>
        <v>0</v>
      </c>
      <c r="AC306" s="45">
        <f t="shared" si="81"/>
        <v>0</v>
      </c>
    </row>
    <row r="307" spans="2:29" ht="15" x14ac:dyDescent="0.25">
      <c r="B307" s="211"/>
      <c r="C307" s="200"/>
      <c r="D307" s="200"/>
      <c r="E307" s="200"/>
      <c r="F307" s="201"/>
      <c r="G307" s="200"/>
      <c r="K307" s="45">
        <f t="shared" si="84"/>
        <v>0</v>
      </c>
      <c r="N307" s="104">
        <v>12</v>
      </c>
      <c r="O307" s="104"/>
      <c r="P307" s="104"/>
      <c r="Q307" s="104"/>
      <c r="R307" s="104"/>
      <c r="Z307" s="198">
        <f t="shared" si="85"/>
        <v>0</v>
      </c>
      <c r="AA307" s="45">
        <f t="shared" si="79"/>
        <v>0</v>
      </c>
      <c r="AB307" s="45">
        <f t="shared" si="80"/>
        <v>0</v>
      </c>
      <c r="AC307" s="45">
        <f t="shared" si="81"/>
        <v>0</v>
      </c>
    </row>
    <row r="308" spans="2:29" ht="15" x14ac:dyDescent="0.25">
      <c r="B308" s="211"/>
      <c r="C308" s="200"/>
      <c r="D308" s="200"/>
      <c r="E308" s="200"/>
      <c r="F308" s="201"/>
      <c r="G308" s="200"/>
      <c r="K308" s="45">
        <f t="shared" si="84"/>
        <v>0</v>
      </c>
      <c r="N308" s="104">
        <v>12</v>
      </c>
      <c r="O308" s="104"/>
      <c r="P308" s="104"/>
      <c r="Q308" s="104"/>
      <c r="R308" s="104"/>
      <c r="Z308" s="198">
        <f t="shared" si="85"/>
        <v>0</v>
      </c>
      <c r="AA308" s="45">
        <f t="shared" si="79"/>
        <v>0</v>
      </c>
      <c r="AB308" s="45">
        <f t="shared" si="80"/>
        <v>0</v>
      </c>
      <c r="AC308" s="45">
        <f t="shared" si="81"/>
        <v>0</v>
      </c>
    </row>
    <row r="309" spans="2:29" ht="15" x14ac:dyDescent="0.25">
      <c r="B309" s="211"/>
      <c r="C309" s="200"/>
      <c r="D309" s="200"/>
      <c r="E309" s="200"/>
      <c r="F309" s="201"/>
      <c r="G309" s="200"/>
      <c r="K309" s="45">
        <f t="shared" si="84"/>
        <v>0</v>
      </c>
      <c r="N309" s="104">
        <v>12</v>
      </c>
      <c r="O309" s="104"/>
      <c r="P309" s="104"/>
      <c r="Q309" s="104"/>
      <c r="R309" s="104"/>
      <c r="Z309" s="198">
        <f t="shared" si="85"/>
        <v>0</v>
      </c>
      <c r="AA309" s="45">
        <f t="shared" si="79"/>
        <v>0</v>
      </c>
      <c r="AB309" s="45">
        <f t="shared" si="80"/>
        <v>0</v>
      </c>
      <c r="AC309" s="45">
        <f t="shared" si="81"/>
        <v>0</v>
      </c>
    </row>
    <row r="310" spans="2:29" ht="15" x14ac:dyDescent="0.25">
      <c r="B310" s="211"/>
      <c r="C310" s="200"/>
      <c r="D310" s="200"/>
      <c r="E310" s="200"/>
      <c r="F310" s="201"/>
      <c r="G310" s="200"/>
      <c r="K310" s="45">
        <f t="shared" si="84"/>
        <v>0</v>
      </c>
      <c r="N310" s="104">
        <v>12</v>
      </c>
      <c r="O310" s="104"/>
      <c r="P310" s="104"/>
      <c r="Q310" s="104"/>
      <c r="R310" s="104"/>
      <c r="Z310" s="198">
        <f t="shared" si="85"/>
        <v>0</v>
      </c>
      <c r="AA310" s="45">
        <f t="shared" si="79"/>
        <v>0</v>
      </c>
      <c r="AB310" s="45">
        <f t="shared" si="80"/>
        <v>0</v>
      </c>
      <c r="AC310" s="45">
        <f t="shared" si="81"/>
        <v>0</v>
      </c>
    </row>
    <row r="311" spans="2:29" ht="15" x14ac:dyDescent="0.25">
      <c r="B311" s="211"/>
      <c r="C311" s="200"/>
      <c r="D311" s="200"/>
      <c r="E311" s="200"/>
      <c r="F311" s="201"/>
      <c r="G311" s="200"/>
      <c r="K311" s="45">
        <f t="shared" si="84"/>
        <v>0</v>
      </c>
      <c r="N311" s="104">
        <v>12</v>
      </c>
      <c r="O311" s="104"/>
      <c r="P311" s="104"/>
      <c r="Q311" s="104"/>
      <c r="R311" s="104"/>
      <c r="Z311" s="198">
        <f t="shared" si="85"/>
        <v>0</v>
      </c>
      <c r="AA311" s="45">
        <f t="shared" si="79"/>
        <v>0</v>
      </c>
      <c r="AB311" s="45">
        <f t="shared" si="80"/>
        <v>0</v>
      </c>
      <c r="AC311" s="45">
        <f t="shared" si="81"/>
        <v>0</v>
      </c>
    </row>
    <row r="312" spans="2:29" ht="15" x14ac:dyDescent="0.25">
      <c r="B312" s="211"/>
      <c r="C312" s="200"/>
      <c r="D312" s="200"/>
      <c r="E312" s="200"/>
      <c r="F312" s="201"/>
      <c r="G312" s="200"/>
      <c r="K312" s="45">
        <f t="shared" si="84"/>
        <v>0</v>
      </c>
      <c r="N312" s="104">
        <v>12</v>
      </c>
      <c r="O312" s="104"/>
      <c r="P312" s="104"/>
      <c r="Q312" s="104"/>
      <c r="R312" s="104"/>
      <c r="Z312" s="198">
        <f t="shared" si="85"/>
        <v>0</v>
      </c>
      <c r="AA312" s="45">
        <f t="shared" si="79"/>
        <v>0</v>
      </c>
      <c r="AB312" s="45">
        <f t="shared" si="80"/>
        <v>0</v>
      </c>
      <c r="AC312" s="45">
        <f t="shared" si="81"/>
        <v>0</v>
      </c>
    </row>
    <row r="313" spans="2:29" ht="15" x14ac:dyDescent="0.25">
      <c r="B313" s="211"/>
      <c r="C313" s="200"/>
      <c r="D313" s="200"/>
      <c r="E313" s="200"/>
      <c r="F313" s="201"/>
      <c r="G313" s="200"/>
      <c r="K313" s="45">
        <f t="shared" si="84"/>
        <v>0</v>
      </c>
      <c r="N313" s="104">
        <v>12</v>
      </c>
      <c r="O313" s="104"/>
      <c r="P313" s="104"/>
      <c r="Q313" s="104"/>
      <c r="R313" s="104"/>
      <c r="Z313" s="198">
        <f t="shared" si="85"/>
        <v>0</v>
      </c>
      <c r="AA313" s="45">
        <f t="shared" si="79"/>
        <v>0</v>
      </c>
      <c r="AB313" s="45">
        <f t="shared" si="80"/>
        <v>0</v>
      </c>
      <c r="AC313" s="45">
        <f t="shared" si="81"/>
        <v>0</v>
      </c>
    </row>
    <row r="314" spans="2:29" ht="15" x14ac:dyDescent="0.25">
      <c r="B314" s="211"/>
      <c r="C314" s="200"/>
      <c r="D314" s="200"/>
      <c r="E314" s="200"/>
      <c r="F314" s="201"/>
      <c r="G314" s="200"/>
      <c r="K314" s="45">
        <f t="shared" si="84"/>
        <v>0</v>
      </c>
      <c r="N314" s="104">
        <v>12</v>
      </c>
      <c r="O314" s="104"/>
      <c r="P314" s="104"/>
      <c r="Q314" s="104"/>
      <c r="R314" s="104"/>
      <c r="Z314" s="198">
        <f t="shared" si="85"/>
        <v>0</v>
      </c>
      <c r="AA314" s="45">
        <f t="shared" si="79"/>
        <v>0</v>
      </c>
      <c r="AB314" s="45">
        <f t="shared" si="80"/>
        <v>0</v>
      </c>
      <c r="AC314" s="45">
        <f t="shared" si="81"/>
        <v>0</v>
      </c>
    </row>
    <row r="315" spans="2:29" ht="15" x14ac:dyDescent="0.25">
      <c r="B315" s="211"/>
      <c r="C315" s="200"/>
      <c r="D315" s="200"/>
      <c r="E315" s="200"/>
      <c r="F315" s="201"/>
      <c r="G315" s="200"/>
      <c r="K315" s="45">
        <f t="shared" si="84"/>
        <v>0</v>
      </c>
      <c r="N315" s="104">
        <v>12</v>
      </c>
      <c r="O315" s="104"/>
      <c r="P315" s="104"/>
      <c r="Q315" s="104"/>
      <c r="R315" s="104"/>
      <c r="Z315" s="198">
        <f t="shared" si="85"/>
        <v>0</v>
      </c>
      <c r="AA315" s="45">
        <f t="shared" si="79"/>
        <v>0</v>
      </c>
      <c r="AB315" s="45">
        <f t="shared" si="80"/>
        <v>0</v>
      </c>
      <c r="AC315" s="45">
        <f t="shared" si="81"/>
        <v>0</v>
      </c>
    </row>
    <row r="316" spans="2:29" ht="15" x14ac:dyDescent="0.25">
      <c r="B316" s="211"/>
      <c r="C316" s="200"/>
      <c r="D316" s="200"/>
      <c r="E316" s="200"/>
      <c r="F316" s="201"/>
      <c r="G316" s="200"/>
      <c r="K316" s="45">
        <f t="shared" si="84"/>
        <v>0</v>
      </c>
      <c r="N316" s="104">
        <v>12</v>
      </c>
      <c r="O316" s="104"/>
      <c r="P316" s="104"/>
      <c r="Q316" s="104"/>
      <c r="R316" s="104"/>
      <c r="Z316" s="198">
        <f t="shared" si="85"/>
        <v>0</v>
      </c>
      <c r="AA316" s="45">
        <f t="shared" si="79"/>
        <v>0</v>
      </c>
      <c r="AB316" s="45">
        <f t="shared" si="80"/>
        <v>0</v>
      </c>
      <c r="AC316" s="45">
        <f t="shared" si="81"/>
        <v>0</v>
      </c>
    </row>
    <row r="317" spans="2:29" ht="15" x14ac:dyDescent="0.25">
      <c r="B317" s="211"/>
      <c r="C317" s="200"/>
      <c r="D317" s="200"/>
      <c r="E317" s="200"/>
      <c r="F317" s="201"/>
      <c r="G317" s="200"/>
      <c r="K317" s="45">
        <f t="shared" si="84"/>
        <v>0</v>
      </c>
      <c r="N317" s="104">
        <v>12</v>
      </c>
      <c r="O317" s="104"/>
      <c r="P317" s="104"/>
      <c r="Q317" s="104"/>
      <c r="R317" s="104"/>
      <c r="Z317" s="198">
        <f t="shared" si="85"/>
        <v>0</v>
      </c>
      <c r="AA317" s="45">
        <f t="shared" si="79"/>
        <v>0</v>
      </c>
      <c r="AB317" s="45">
        <f t="shared" si="80"/>
        <v>0</v>
      </c>
      <c r="AC317" s="45">
        <f t="shared" si="81"/>
        <v>0</v>
      </c>
    </row>
    <row r="318" spans="2:29" ht="15" x14ac:dyDescent="0.25">
      <c r="B318" s="211"/>
      <c r="C318" s="200"/>
      <c r="D318" s="200"/>
      <c r="E318" s="200"/>
      <c r="F318" s="201"/>
      <c r="G318" s="200"/>
      <c r="K318" s="45">
        <f t="shared" si="84"/>
        <v>0</v>
      </c>
      <c r="N318" s="104">
        <v>12</v>
      </c>
      <c r="O318" s="104"/>
      <c r="P318" s="104"/>
      <c r="Q318" s="104"/>
      <c r="R318" s="104"/>
      <c r="Z318" s="198">
        <f t="shared" si="85"/>
        <v>0</v>
      </c>
      <c r="AA318" s="45">
        <f t="shared" si="79"/>
        <v>0</v>
      </c>
      <c r="AB318" s="45">
        <f t="shared" si="80"/>
        <v>0</v>
      </c>
      <c r="AC318" s="45">
        <f t="shared" si="81"/>
        <v>0</v>
      </c>
    </row>
    <row r="319" spans="2:29" ht="15" x14ac:dyDescent="0.25">
      <c r="B319" s="211"/>
      <c r="C319" s="200"/>
      <c r="D319" s="200"/>
      <c r="E319" s="200"/>
      <c r="F319" s="201"/>
      <c r="G319" s="200"/>
      <c r="K319" s="45">
        <f t="shared" si="84"/>
        <v>0</v>
      </c>
      <c r="N319" s="104">
        <v>12</v>
      </c>
      <c r="O319" s="104"/>
      <c r="P319" s="104"/>
      <c r="Q319" s="104"/>
      <c r="R319" s="104"/>
      <c r="Z319" s="198">
        <f t="shared" si="85"/>
        <v>0</v>
      </c>
      <c r="AA319" s="45">
        <f t="shared" si="79"/>
        <v>0</v>
      </c>
      <c r="AB319" s="45">
        <f t="shared" si="80"/>
        <v>0</v>
      </c>
      <c r="AC319" s="45">
        <f t="shared" si="81"/>
        <v>0</v>
      </c>
    </row>
    <row r="320" spans="2:29" ht="15" x14ac:dyDescent="0.25">
      <c r="B320" s="211"/>
      <c r="C320" s="200"/>
      <c r="D320" s="200"/>
      <c r="E320" s="200"/>
      <c r="F320" s="201"/>
      <c r="G320" s="200"/>
      <c r="K320" s="45">
        <f t="shared" si="84"/>
        <v>0</v>
      </c>
      <c r="N320" s="104">
        <v>12</v>
      </c>
      <c r="O320" s="104"/>
      <c r="P320" s="104"/>
      <c r="Q320" s="104"/>
      <c r="R320" s="104"/>
      <c r="Z320" s="198">
        <f t="shared" si="85"/>
        <v>0</v>
      </c>
      <c r="AA320" s="45">
        <f t="shared" si="79"/>
        <v>0</v>
      </c>
      <c r="AB320" s="45">
        <f t="shared" si="80"/>
        <v>0</v>
      </c>
      <c r="AC320" s="45">
        <f t="shared" si="81"/>
        <v>0</v>
      </c>
    </row>
    <row r="321" spans="2:29" ht="15" x14ac:dyDescent="0.25">
      <c r="B321" s="211"/>
      <c r="C321" s="200"/>
      <c r="D321" s="200"/>
      <c r="E321" s="200"/>
      <c r="F321" s="201"/>
      <c r="G321" s="200"/>
      <c r="K321" s="45">
        <f t="shared" si="84"/>
        <v>0</v>
      </c>
      <c r="N321" s="104">
        <v>12</v>
      </c>
      <c r="O321" s="104"/>
      <c r="P321" s="104"/>
      <c r="Q321" s="104"/>
      <c r="R321" s="104"/>
      <c r="Z321" s="198">
        <f t="shared" si="85"/>
        <v>0</v>
      </c>
      <c r="AA321" s="45">
        <f t="shared" si="79"/>
        <v>0</v>
      </c>
      <c r="AB321" s="45">
        <f t="shared" si="80"/>
        <v>0</v>
      </c>
      <c r="AC321" s="45">
        <f t="shared" si="81"/>
        <v>0</v>
      </c>
    </row>
    <row r="322" spans="2:29" ht="15" x14ac:dyDescent="0.25">
      <c r="B322" s="211"/>
      <c r="C322" s="200"/>
      <c r="D322" s="200"/>
      <c r="E322" s="200"/>
      <c r="F322" s="201"/>
      <c r="G322" s="200"/>
      <c r="K322" s="45">
        <f t="shared" si="84"/>
        <v>0</v>
      </c>
      <c r="N322" s="104">
        <v>12</v>
      </c>
      <c r="O322" s="104"/>
      <c r="P322" s="104"/>
      <c r="Q322" s="104"/>
      <c r="R322" s="104"/>
      <c r="Z322" s="198">
        <f t="shared" si="85"/>
        <v>0</v>
      </c>
      <c r="AA322" s="45">
        <f t="shared" si="79"/>
        <v>0</v>
      </c>
      <c r="AB322" s="45">
        <f t="shared" si="80"/>
        <v>0</v>
      </c>
      <c r="AC322" s="45">
        <f t="shared" si="81"/>
        <v>0</v>
      </c>
    </row>
    <row r="323" spans="2:29" ht="15" x14ac:dyDescent="0.25">
      <c r="B323" s="211"/>
      <c r="C323" s="200"/>
      <c r="D323" s="200"/>
      <c r="E323" s="200"/>
      <c r="F323" s="201"/>
      <c r="G323" s="200"/>
      <c r="K323" s="45">
        <f t="shared" si="84"/>
        <v>0</v>
      </c>
      <c r="N323" s="104">
        <v>12</v>
      </c>
      <c r="O323" s="104"/>
      <c r="P323" s="104"/>
      <c r="Q323" s="104"/>
      <c r="R323" s="104"/>
      <c r="Z323" s="198">
        <f t="shared" si="85"/>
        <v>0</v>
      </c>
      <c r="AA323" s="45">
        <f t="shared" si="79"/>
        <v>0</v>
      </c>
      <c r="AB323" s="45">
        <f t="shared" si="80"/>
        <v>0</v>
      </c>
      <c r="AC323" s="45">
        <f t="shared" si="81"/>
        <v>0</v>
      </c>
    </row>
    <row r="324" spans="2:29" ht="15" x14ac:dyDescent="0.25">
      <c r="B324" s="211"/>
      <c r="C324" s="200"/>
      <c r="D324" s="200"/>
      <c r="E324" s="200"/>
      <c r="F324" s="201"/>
      <c r="G324" s="200"/>
      <c r="K324" s="45">
        <f t="shared" si="84"/>
        <v>0</v>
      </c>
      <c r="N324" s="104">
        <v>12</v>
      </c>
      <c r="O324" s="104"/>
      <c r="P324" s="104"/>
      <c r="Q324" s="104"/>
      <c r="R324" s="104"/>
      <c r="Z324" s="198">
        <f t="shared" si="85"/>
        <v>0</v>
      </c>
      <c r="AA324" s="45">
        <f t="shared" si="79"/>
        <v>0</v>
      </c>
      <c r="AB324" s="45">
        <f t="shared" si="80"/>
        <v>0</v>
      </c>
      <c r="AC324" s="45">
        <f t="shared" si="81"/>
        <v>0</v>
      </c>
    </row>
    <row r="325" spans="2:29" ht="15" x14ac:dyDescent="0.25">
      <c r="B325" s="211"/>
      <c r="C325" s="200"/>
      <c r="D325" s="200"/>
      <c r="E325" s="200"/>
      <c r="F325" s="201"/>
      <c r="G325" s="200"/>
      <c r="K325" s="45">
        <f t="shared" si="84"/>
        <v>0</v>
      </c>
      <c r="N325" s="104">
        <v>12</v>
      </c>
      <c r="O325" s="104"/>
      <c r="P325" s="104"/>
      <c r="Q325" s="104"/>
      <c r="R325" s="104"/>
      <c r="Z325" s="198">
        <f t="shared" si="85"/>
        <v>0</v>
      </c>
      <c r="AA325" s="45">
        <f t="shared" si="79"/>
        <v>0</v>
      </c>
      <c r="AB325" s="45">
        <f t="shared" si="80"/>
        <v>0</v>
      </c>
      <c r="AC325" s="45">
        <f t="shared" si="81"/>
        <v>0</v>
      </c>
    </row>
    <row r="326" spans="2:29" ht="15" x14ac:dyDescent="0.25">
      <c r="B326" s="211"/>
      <c r="C326" s="200"/>
      <c r="D326" s="200"/>
      <c r="E326" s="200"/>
      <c r="F326" s="201"/>
      <c r="G326" s="200"/>
      <c r="K326" s="45">
        <f t="shared" si="84"/>
        <v>0</v>
      </c>
      <c r="N326" s="104">
        <v>12</v>
      </c>
      <c r="O326" s="104"/>
      <c r="P326" s="104"/>
      <c r="Q326" s="104"/>
      <c r="R326" s="104"/>
      <c r="Z326" s="198">
        <f t="shared" si="85"/>
        <v>0</v>
      </c>
      <c r="AA326" s="45">
        <f t="shared" si="79"/>
        <v>0</v>
      </c>
      <c r="AB326" s="45">
        <f t="shared" si="80"/>
        <v>0</v>
      </c>
      <c r="AC326" s="45">
        <f t="shared" si="81"/>
        <v>0</v>
      </c>
    </row>
    <row r="327" spans="2:29" ht="15" x14ac:dyDescent="0.25">
      <c r="B327" s="211"/>
      <c r="C327" s="200"/>
      <c r="D327" s="200"/>
      <c r="E327" s="200"/>
      <c r="F327" s="201"/>
      <c r="G327" s="200"/>
      <c r="K327" s="45">
        <f t="shared" si="84"/>
        <v>0</v>
      </c>
      <c r="N327" s="104">
        <v>12</v>
      </c>
      <c r="O327" s="104"/>
      <c r="P327" s="104"/>
      <c r="Q327" s="104"/>
      <c r="R327" s="104"/>
      <c r="Z327" s="198">
        <f t="shared" si="85"/>
        <v>0</v>
      </c>
      <c r="AA327" s="45">
        <f t="shared" si="79"/>
        <v>0</v>
      </c>
      <c r="AB327" s="45">
        <f t="shared" si="80"/>
        <v>0</v>
      </c>
      <c r="AC327" s="45">
        <f t="shared" si="81"/>
        <v>0</v>
      </c>
    </row>
    <row r="328" spans="2:29" ht="15" x14ac:dyDescent="0.25">
      <c r="B328" s="211"/>
      <c r="C328" s="200"/>
      <c r="D328" s="200"/>
      <c r="E328" s="200"/>
      <c r="F328" s="201"/>
      <c r="G328" s="200"/>
      <c r="K328" s="45">
        <f t="shared" si="84"/>
        <v>0</v>
      </c>
      <c r="N328" s="104">
        <v>12</v>
      </c>
      <c r="O328" s="104"/>
      <c r="P328" s="104"/>
      <c r="Q328" s="104"/>
      <c r="R328" s="104"/>
      <c r="Z328" s="198">
        <f t="shared" si="85"/>
        <v>0</v>
      </c>
      <c r="AA328" s="45">
        <f t="shared" si="79"/>
        <v>0</v>
      </c>
      <c r="AB328" s="45">
        <f t="shared" si="80"/>
        <v>0</v>
      </c>
      <c r="AC328" s="45">
        <f t="shared" si="81"/>
        <v>0</v>
      </c>
    </row>
    <row r="329" spans="2:29" ht="15" x14ac:dyDescent="0.25">
      <c r="B329" s="211"/>
      <c r="C329" s="200"/>
      <c r="D329" s="200"/>
      <c r="E329" s="200"/>
      <c r="F329" s="201"/>
      <c r="G329" s="200"/>
      <c r="K329" s="45">
        <f t="shared" si="84"/>
        <v>0</v>
      </c>
      <c r="N329" s="104">
        <v>12</v>
      </c>
      <c r="O329" s="104"/>
      <c r="P329" s="104"/>
      <c r="Q329" s="104"/>
      <c r="R329" s="104"/>
      <c r="Z329" s="198">
        <f t="shared" si="85"/>
        <v>0</v>
      </c>
      <c r="AA329" s="45">
        <f t="shared" si="79"/>
        <v>0</v>
      </c>
      <c r="AB329" s="45">
        <f t="shared" si="80"/>
        <v>0</v>
      </c>
      <c r="AC329" s="45">
        <f t="shared" si="81"/>
        <v>0</v>
      </c>
    </row>
    <row r="330" spans="2:29" ht="15" x14ac:dyDescent="0.25">
      <c r="B330" s="211"/>
      <c r="C330" s="200"/>
      <c r="D330" s="200"/>
      <c r="E330" s="200"/>
      <c r="F330" s="201"/>
      <c r="G330" s="200"/>
      <c r="K330" s="45">
        <f t="shared" si="84"/>
        <v>0</v>
      </c>
      <c r="N330" s="104">
        <v>12</v>
      </c>
      <c r="O330" s="104"/>
      <c r="P330" s="104"/>
      <c r="Q330" s="104"/>
      <c r="R330" s="104"/>
      <c r="Z330" s="198">
        <f t="shared" si="85"/>
        <v>0</v>
      </c>
      <c r="AA330" s="45">
        <f t="shared" si="79"/>
        <v>0</v>
      </c>
      <c r="AB330" s="45">
        <f t="shared" si="80"/>
        <v>0</v>
      </c>
      <c r="AC330" s="45">
        <f t="shared" si="81"/>
        <v>0</v>
      </c>
    </row>
    <row r="331" spans="2:29" ht="15" x14ac:dyDescent="0.25">
      <c r="B331" s="211"/>
      <c r="C331" s="200"/>
      <c r="D331" s="200"/>
      <c r="E331" s="200"/>
      <c r="F331" s="201"/>
      <c r="G331" s="200"/>
      <c r="K331" s="45">
        <f t="shared" si="84"/>
        <v>0</v>
      </c>
      <c r="N331" s="104">
        <v>12</v>
      </c>
      <c r="O331" s="104"/>
      <c r="P331" s="104"/>
      <c r="Q331" s="104"/>
      <c r="R331" s="104"/>
      <c r="Z331" s="198">
        <f t="shared" si="85"/>
        <v>0</v>
      </c>
      <c r="AA331" s="45">
        <f t="shared" si="79"/>
        <v>0</v>
      </c>
      <c r="AB331" s="45">
        <f t="shared" si="80"/>
        <v>0</v>
      </c>
      <c r="AC331" s="45">
        <f t="shared" si="81"/>
        <v>0</v>
      </c>
    </row>
    <row r="332" spans="2:29" ht="15" x14ac:dyDescent="0.25">
      <c r="B332" s="211"/>
      <c r="C332" s="200"/>
      <c r="D332" s="200"/>
      <c r="E332" s="200"/>
      <c r="F332" s="201"/>
      <c r="G332" s="200"/>
      <c r="K332" s="45">
        <f t="shared" si="84"/>
        <v>0</v>
      </c>
      <c r="N332" s="104">
        <v>12</v>
      </c>
      <c r="O332" s="104"/>
      <c r="P332" s="104"/>
      <c r="Q332" s="104"/>
      <c r="R332" s="104"/>
      <c r="Z332" s="198">
        <f t="shared" si="85"/>
        <v>0</v>
      </c>
      <c r="AA332" s="45">
        <f t="shared" si="79"/>
        <v>0</v>
      </c>
      <c r="AB332" s="45">
        <f t="shared" si="80"/>
        <v>0</v>
      </c>
      <c r="AC332" s="45">
        <f t="shared" si="81"/>
        <v>0</v>
      </c>
    </row>
    <row r="333" spans="2:29" ht="15" x14ac:dyDescent="0.25">
      <c r="B333" s="211"/>
      <c r="C333" s="200"/>
      <c r="D333" s="200"/>
      <c r="E333" s="200"/>
      <c r="F333" s="201"/>
      <c r="G333" s="200"/>
      <c r="K333" s="45">
        <f t="shared" si="84"/>
        <v>0</v>
      </c>
      <c r="N333" s="104">
        <v>12</v>
      </c>
      <c r="O333" s="104"/>
      <c r="P333" s="104"/>
      <c r="Q333" s="104"/>
      <c r="R333" s="104"/>
      <c r="Z333" s="198">
        <f t="shared" si="85"/>
        <v>0</v>
      </c>
      <c r="AA333" s="45">
        <f t="shared" si="79"/>
        <v>0</v>
      </c>
      <c r="AB333" s="45">
        <f t="shared" si="80"/>
        <v>0</v>
      </c>
      <c r="AC333" s="45">
        <f t="shared" si="81"/>
        <v>0</v>
      </c>
    </row>
    <row r="334" spans="2:29" ht="15" x14ac:dyDescent="0.25">
      <c r="B334" s="211"/>
      <c r="C334" s="200"/>
      <c r="D334" s="200"/>
      <c r="E334" s="200"/>
      <c r="F334" s="201"/>
      <c r="G334" s="200"/>
      <c r="K334" s="45">
        <f t="shared" si="84"/>
        <v>0</v>
      </c>
      <c r="N334" s="104">
        <v>12</v>
      </c>
      <c r="O334" s="104"/>
      <c r="P334" s="104"/>
      <c r="Q334" s="104"/>
      <c r="R334" s="104"/>
      <c r="Z334" s="198">
        <f t="shared" si="85"/>
        <v>0</v>
      </c>
      <c r="AA334" s="45">
        <f t="shared" si="79"/>
        <v>0</v>
      </c>
      <c r="AB334" s="45">
        <f t="shared" si="80"/>
        <v>0</v>
      </c>
      <c r="AC334" s="45">
        <f t="shared" si="81"/>
        <v>0</v>
      </c>
    </row>
    <row r="335" spans="2:29" ht="15" x14ac:dyDescent="0.25">
      <c r="B335" s="211"/>
      <c r="C335" s="200"/>
      <c r="D335" s="200"/>
      <c r="E335" s="200"/>
      <c r="F335" s="201"/>
      <c r="G335" s="200"/>
      <c r="K335" s="45">
        <f t="shared" si="84"/>
        <v>0</v>
      </c>
      <c r="N335" s="104">
        <v>12</v>
      </c>
      <c r="O335" s="104"/>
      <c r="P335" s="104"/>
      <c r="Q335" s="104"/>
      <c r="R335" s="104"/>
      <c r="Z335" s="198">
        <f t="shared" si="85"/>
        <v>0</v>
      </c>
      <c r="AA335" s="45">
        <f t="shared" si="79"/>
        <v>0</v>
      </c>
      <c r="AB335" s="45">
        <f t="shared" si="80"/>
        <v>0</v>
      </c>
      <c r="AC335" s="45">
        <f t="shared" si="81"/>
        <v>0</v>
      </c>
    </row>
    <row r="336" spans="2:29" ht="15" x14ac:dyDescent="0.25">
      <c r="B336" s="211"/>
      <c r="C336" s="200"/>
      <c r="D336" s="200"/>
      <c r="E336" s="200"/>
      <c r="F336" s="201"/>
      <c r="G336" s="200"/>
      <c r="K336" s="45">
        <f t="shared" si="84"/>
        <v>0</v>
      </c>
      <c r="N336" s="104">
        <v>12</v>
      </c>
      <c r="O336" s="104"/>
      <c r="P336" s="104"/>
      <c r="Q336" s="104"/>
      <c r="R336" s="104"/>
      <c r="Z336" s="198">
        <f t="shared" ref="Z336:Z367" si="86">ROUND(IF(L336&gt;0,L336*I$268*N336/12,IF(K336=0,0,IF(I336*I$268*N336/12&gt;=K336,K336-1,I336*I$268*N336/12))),2)+Y336</f>
        <v>0</v>
      </c>
      <c r="AA336" s="45">
        <f t="shared" si="79"/>
        <v>0</v>
      </c>
      <c r="AB336" s="45">
        <f t="shared" si="80"/>
        <v>0</v>
      </c>
      <c r="AC336" s="45">
        <f t="shared" si="81"/>
        <v>0</v>
      </c>
    </row>
    <row r="337" spans="2:29" ht="15" x14ac:dyDescent="0.25">
      <c r="B337" s="211"/>
      <c r="C337" s="200"/>
      <c r="D337" s="200"/>
      <c r="E337" s="200"/>
      <c r="F337" s="201"/>
      <c r="G337" s="200"/>
      <c r="K337" s="45">
        <f t="shared" si="84"/>
        <v>0</v>
      </c>
      <c r="N337" s="104">
        <v>12</v>
      </c>
      <c r="O337" s="104"/>
      <c r="P337" s="104"/>
      <c r="Q337" s="104"/>
      <c r="R337" s="104"/>
      <c r="Z337" s="198">
        <f t="shared" si="86"/>
        <v>0</v>
      </c>
      <c r="AA337" s="45">
        <f t="shared" ref="AA337:AA368" si="87">I337+L337-Q337</f>
        <v>0</v>
      </c>
      <c r="AB337" s="45">
        <f t="shared" ref="AB337:AB368" si="88">J337+Z337-R337</f>
        <v>0</v>
      </c>
      <c r="AC337" s="45">
        <f t="shared" ref="AC337:AC368" si="89">+AA337-AB337</f>
        <v>0</v>
      </c>
    </row>
    <row r="338" spans="2:29" ht="15" x14ac:dyDescent="0.25">
      <c r="B338" s="211"/>
      <c r="C338" s="200"/>
      <c r="D338" s="200"/>
      <c r="E338" s="200"/>
      <c r="F338" s="201"/>
      <c r="G338" s="200"/>
      <c r="K338" s="45">
        <f t="shared" si="84"/>
        <v>0</v>
      </c>
      <c r="N338" s="104">
        <v>12</v>
      </c>
      <c r="O338" s="104"/>
      <c r="P338" s="104"/>
      <c r="Q338" s="104"/>
      <c r="R338" s="104"/>
      <c r="Z338" s="198">
        <f t="shared" si="86"/>
        <v>0</v>
      </c>
      <c r="AA338" s="45">
        <f t="shared" si="87"/>
        <v>0</v>
      </c>
      <c r="AB338" s="45">
        <f t="shared" si="88"/>
        <v>0</v>
      </c>
      <c r="AC338" s="45">
        <f t="shared" si="89"/>
        <v>0</v>
      </c>
    </row>
    <row r="339" spans="2:29" ht="15" x14ac:dyDescent="0.25">
      <c r="B339" s="211"/>
      <c r="C339" s="200"/>
      <c r="D339" s="200"/>
      <c r="E339" s="200"/>
      <c r="F339" s="201"/>
      <c r="G339" s="200"/>
      <c r="K339" s="45">
        <f t="shared" si="84"/>
        <v>0</v>
      </c>
      <c r="N339" s="104">
        <v>12</v>
      </c>
      <c r="O339" s="104"/>
      <c r="P339" s="104"/>
      <c r="Q339" s="104"/>
      <c r="R339" s="104"/>
      <c r="Z339" s="198">
        <f t="shared" si="86"/>
        <v>0</v>
      </c>
      <c r="AA339" s="45">
        <f t="shared" si="87"/>
        <v>0</v>
      </c>
      <c r="AB339" s="45">
        <f t="shared" si="88"/>
        <v>0</v>
      </c>
      <c r="AC339" s="45">
        <f t="shared" si="89"/>
        <v>0</v>
      </c>
    </row>
    <row r="340" spans="2:29" ht="15" x14ac:dyDescent="0.25">
      <c r="B340" s="211"/>
      <c r="C340" s="200"/>
      <c r="D340" s="200"/>
      <c r="E340" s="200"/>
      <c r="F340" s="201"/>
      <c r="G340" s="200"/>
      <c r="K340" s="45">
        <f t="shared" si="84"/>
        <v>0</v>
      </c>
      <c r="N340" s="104">
        <v>12</v>
      </c>
      <c r="O340" s="104"/>
      <c r="P340" s="104"/>
      <c r="Q340" s="104"/>
      <c r="R340" s="104"/>
      <c r="Z340" s="198">
        <f t="shared" si="86"/>
        <v>0</v>
      </c>
      <c r="AA340" s="45">
        <f t="shared" si="87"/>
        <v>0</v>
      </c>
      <c r="AB340" s="45">
        <f t="shared" si="88"/>
        <v>0</v>
      </c>
      <c r="AC340" s="45">
        <f t="shared" si="89"/>
        <v>0</v>
      </c>
    </row>
    <row r="341" spans="2:29" ht="15" x14ac:dyDescent="0.25">
      <c r="B341" s="211"/>
      <c r="C341" s="200"/>
      <c r="D341" s="200"/>
      <c r="E341" s="200"/>
      <c r="F341" s="201"/>
      <c r="G341" s="200"/>
      <c r="K341" s="45">
        <f t="shared" si="84"/>
        <v>0</v>
      </c>
      <c r="N341" s="104">
        <v>12</v>
      </c>
      <c r="O341" s="104"/>
      <c r="P341" s="104"/>
      <c r="Q341" s="104"/>
      <c r="R341" s="104"/>
      <c r="Z341" s="198">
        <f t="shared" si="86"/>
        <v>0</v>
      </c>
      <c r="AA341" s="45">
        <f t="shared" si="87"/>
        <v>0</v>
      </c>
      <c r="AB341" s="45">
        <f t="shared" si="88"/>
        <v>0</v>
      </c>
      <c r="AC341" s="45">
        <f t="shared" si="89"/>
        <v>0</v>
      </c>
    </row>
    <row r="342" spans="2:29" ht="15" x14ac:dyDescent="0.25">
      <c r="B342" s="211"/>
      <c r="C342" s="200"/>
      <c r="D342" s="200"/>
      <c r="E342" s="200"/>
      <c r="F342" s="201"/>
      <c r="G342" s="200"/>
      <c r="K342" s="45">
        <f t="shared" si="84"/>
        <v>0</v>
      </c>
      <c r="N342" s="104">
        <v>12</v>
      </c>
      <c r="O342" s="104"/>
      <c r="P342" s="104"/>
      <c r="Q342" s="104"/>
      <c r="R342" s="104"/>
      <c r="Z342" s="198">
        <f t="shared" si="86"/>
        <v>0</v>
      </c>
      <c r="AA342" s="45">
        <f t="shared" si="87"/>
        <v>0</v>
      </c>
      <c r="AB342" s="45">
        <f t="shared" si="88"/>
        <v>0</v>
      </c>
      <c r="AC342" s="45">
        <f t="shared" si="89"/>
        <v>0</v>
      </c>
    </row>
    <row r="343" spans="2:29" ht="15" x14ac:dyDescent="0.25">
      <c r="B343" s="211"/>
      <c r="C343" s="200"/>
      <c r="D343" s="200"/>
      <c r="E343" s="200"/>
      <c r="F343" s="201"/>
      <c r="G343" s="200"/>
      <c r="K343" s="45">
        <f t="shared" si="84"/>
        <v>0</v>
      </c>
      <c r="N343" s="104">
        <v>12</v>
      </c>
      <c r="O343" s="104"/>
      <c r="P343" s="104"/>
      <c r="Q343" s="104"/>
      <c r="R343" s="104"/>
      <c r="Z343" s="198">
        <f t="shared" si="86"/>
        <v>0</v>
      </c>
      <c r="AA343" s="45">
        <f t="shared" si="87"/>
        <v>0</v>
      </c>
      <c r="AB343" s="45">
        <f t="shared" si="88"/>
        <v>0</v>
      </c>
      <c r="AC343" s="45">
        <f t="shared" si="89"/>
        <v>0</v>
      </c>
    </row>
    <row r="344" spans="2:29" ht="15" x14ac:dyDescent="0.25">
      <c r="B344" s="211"/>
      <c r="C344" s="200"/>
      <c r="D344" s="200"/>
      <c r="E344" s="200"/>
      <c r="F344" s="201"/>
      <c r="G344" s="200"/>
      <c r="K344" s="45">
        <f t="shared" si="84"/>
        <v>0</v>
      </c>
      <c r="N344" s="104">
        <v>12</v>
      </c>
      <c r="O344" s="104"/>
      <c r="P344" s="104"/>
      <c r="Q344" s="104"/>
      <c r="R344" s="104"/>
      <c r="Z344" s="198">
        <f t="shared" si="86"/>
        <v>0</v>
      </c>
      <c r="AA344" s="45">
        <f t="shared" si="87"/>
        <v>0</v>
      </c>
      <c r="AB344" s="45">
        <f t="shared" si="88"/>
        <v>0</v>
      </c>
      <c r="AC344" s="45">
        <f t="shared" si="89"/>
        <v>0</v>
      </c>
    </row>
    <row r="345" spans="2:29" ht="15" x14ac:dyDescent="0.25">
      <c r="B345" s="211"/>
      <c r="C345" s="200"/>
      <c r="D345" s="200"/>
      <c r="E345" s="200"/>
      <c r="F345" s="201"/>
      <c r="G345" s="200"/>
      <c r="K345" s="45">
        <f t="shared" si="84"/>
        <v>0</v>
      </c>
      <c r="N345" s="104">
        <v>12</v>
      </c>
      <c r="O345" s="104"/>
      <c r="P345" s="104"/>
      <c r="Q345" s="104"/>
      <c r="R345" s="104"/>
      <c r="Z345" s="198">
        <f t="shared" si="86"/>
        <v>0</v>
      </c>
      <c r="AA345" s="45">
        <f t="shared" si="87"/>
        <v>0</v>
      </c>
      <c r="AB345" s="45">
        <f t="shared" si="88"/>
        <v>0</v>
      </c>
      <c r="AC345" s="45">
        <f t="shared" si="89"/>
        <v>0</v>
      </c>
    </row>
    <row r="346" spans="2:29" ht="15" x14ac:dyDescent="0.25">
      <c r="B346" s="211"/>
      <c r="C346" s="200"/>
      <c r="D346" s="200"/>
      <c r="E346" s="200"/>
      <c r="F346" s="201"/>
      <c r="G346" s="200"/>
      <c r="K346" s="45">
        <f t="shared" si="84"/>
        <v>0</v>
      </c>
      <c r="N346" s="104">
        <v>12</v>
      </c>
      <c r="O346" s="104"/>
      <c r="P346" s="104"/>
      <c r="Q346" s="104"/>
      <c r="R346" s="104"/>
      <c r="Z346" s="198">
        <f t="shared" si="86"/>
        <v>0</v>
      </c>
      <c r="AA346" s="45">
        <f t="shared" si="87"/>
        <v>0</v>
      </c>
      <c r="AB346" s="45">
        <f t="shared" si="88"/>
        <v>0</v>
      </c>
      <c r="AC346" s="45">
        <f t="shared" si="89"/>
        <v>0</v>
      </c>
    </row>
    <row r="347" spans="2:29" ht="15" x14ac:dyDescent="0.25">
      <c r="B347" s="211"/>
      <c r="C347" s="200"/>
      <c r="D347" s="200"/>
      <c r="E347" s="200"/>
      <c r="F347" s="201"/>
      <c r="G347" s="200"/>
      <c r="K347" s="45">
        <f t="shared" si="84"/>
        <v>0</v>
      </c>
      <c r="N347" s="104">
        <v>12</v>
      </c>
      <c r="O347" s="104"/>
      <c r="P347" s="104"/>
      <c r="Q347" s="104"/>
      <c r="R347" s="104"/>
      <c r="Z347" s="198">
        <f t="shared" si="86"/>
        <v>0</v>
      </c>
      <c r="AA347" s="45">
        <f t="shared" si="87"/>
        <v>0</v>
      </c>
      <c r="AB347" s="45">
        <f t="shared" si="88"/>
        <v>0</v>
      </c>
      <c r="AC347" s="45">
        <f t="shared" si="89"/>
        <v>0</v>
      </c>
    </row>
    <row r="348" spans="2:29" ht="15" x14ac:dyDescent="0.25">
      <c r="B348" s="211"/>
      <c r="C348" s="200"/>
      <c r="D348" s="200"/>
      <c r="E348" s="200"/>
      <c r="F348" s="201"/>
      <c r="G348" s="200"/>
      <c r="K348" s="45">
        <f t="shared" si="84"/>
        <v>0</v>
      </c>
      <c r="N348" s="104">
        <v>12</v>
      </c>
      <c r="O348" s="104"/>
      <c r="P348" s="104"/>
      <c r="Q348" s="104"/>
      <c r="R348" s="104"/>
      <c r="Z348" s="198">
        <f t="shared" si="86"/>
        <v>0</v>
      </c>
      <c r="AA348" s="45">
        <f t="shared" si="87"/>
        <v>0</v>
      </c>
      <c r="AB348" s="45">
        <f t="shared" si="88"/>
        <v>0</v>
      </c>
      <c r="AC348" s="45">
        <f t="shared" si="89"/>
        <v>0</v>
      </c>
    </row>
    <row r="349" spans="2:29" ht="15" x14ac:dyDescent="0.25">
      <c r="B349" s="211"/>
      <c r="C349" s="200"/>
      <c r="D349" s="200"/>
      <c r="E349" s="200"/>
      <c r="F349" s="201"/>
      <c r="G349" s="200"/>
      <c r="K349" s="45">
        <f t="shared" si="84"/>
        <v>0</v>
      </c>
      <c r="N349" s="104">
        <v>12</v>
      </c>
      <c r="O349" s="104"/>
      <c r="P349" s="104"/>
      <c r="Q349" s="104"/>
      <c r="R349" s="104"/>
      <c r="Z349" s="198">
        <f t="shared" si="86"/>
        <v>0</v>
      </c>
      <c r="AA349" s="45">
        <f t="shared" si="87"/>
        <v>0</v>
      </c>
      <c r="AB349" s="45">
        <f t="shared" si="88"/>
        <v>0</v>
      </c>
      <c r="AC349" s="45">
        <f t="shared" si="89"/>
        <v>0</v>
      </c>
    </row>
    <row r="350" spans="2:29" ht="15" x14ac:dyDescent="0.25">
      <c r="B350" s="211"/>
      <c r="C350" s="200"/>
      <c r="D350" s="200"/>
      <c r="E350" s="200"/>
      <c r="F350" s="201"/>
      <c r="G350" s="200"/>
      <c r="K350" s="45">
        <f t="shared" si="84"/>
        <v>0</v>
      </c>
      <c r="N350" s="104">
        <v>12</v>
      </c>
      <c r="O350" s="104"/>
      <c r="P350" s="104"/>
      <c r="Q350" s="104"/>
      <c r="R350" s="104"/>
      <c r="Z350" s="198">
        <f t="shared" si="86"/>
        <v>0</v>
      </c>
      <c r="AA350" s="45">
        <f t="shared" si="87"/>
        <v>0</v>
      </c>
      <c r="AB350" s="45">
        <f t="shared" si="88"/>
        <v>0</v>
      </c>
      <c r="AC350" s="45">
        <f t="shared" si="89"/>
        <v>0</v>
      </c>
    </row>
    <row r="351" spans="2:29" ht="15" x14ac:dyDescent="0.25">
      <c r="B351" s="211"/>
      <c r="C351" s="200"/>
      <c r="D351" s="200"/>
      <c r="E351" s="200"/>
      <c r="F351" s="201"/>
      <c r="G351" s="200"/>
      <c r="K351" s="45">
        <f t="shared" si="84"/>
        <v>0</v>
      </c>
      <c r="N351" s="104">
        <v>12</v>
      </c>
      <c r="O351" s="104"/>
      <c r="P351" s="104"/>
      <c r="Q351" s="104"/>
      <c r="R351" s="104"/>
      <c r="Z351" s="198">
        <f t="shared" si="86"/>
        <v>0</v>
      </c>
      <c r="AA351" s="45">
        <f t="shared" si="87"/>
        <v>0</v>
      </c>
      <c r="AB351" s="45">
        <f t="shared" si="88"/>
        <v>0</v>
      </c>
      <c r="AC351" s="45">
        <f t="shared" si="89"/>
        <v>0</v>
      </c>
    </row>
    <row r="352" spans="2:29" ht="15" x14ac:dyDescent="0.25">
      <c r="B352" s="211"/>
      <c r="C352" s="200"/>
      <c r="D352" s="200"/>
      <c r="E352" s="200"/>
      <c r="F352" s="201"/>
      <c r="G352" s="200"/>
      <c r="K352" s="45">
        <f t="shared" si="84"/>
        <v>0</v>
      </c>
      <c r="N352" s="104">
        <v>12</v>
      </c>
      <c r="O352" s="104"/>
      <c r="P352" s="104"/>
      <c r="Q352" s="104"/>
      <c r="R352" s="104"/>
      <c r="Z352" s="198">
        <f t="shared" si="86"/>
        <v>0</v>
      </c>
      <c r="AA352" s="45">
        <f t="shared" si="87"/>
        <v>0</v>
      </c>
      <c r="AB352" s="45">
        <f t="shared" si="88"/>
        <v>0</v>
      </c>
      <c r="AC352" s="45">
        <f t="shared" si="89"/>
        <v>0</v>
      </c>
    </row>
    <row r="353" spans="2:29" ht="15" x14ac:dyDescent="0.25">
      <c r="B353" s="211"/>
      <c r="C353" s="200"/>
      <c r="D353" s="200"/>
      <c r="E353" s="200"/>
      <c r="F353" s="201"/>
      <c r="G353" s="200"/>
      <c r="K353" s="45">
        <f t="shared" si="84"/>
        <v>0</v>
      </c>
      <c r="N353" s="104">
        <v>12</v>
      </c>
      <c r="O353" s="104"/>
      <c r="P353" s="104"/>
      <c r="Q353" s="104"/>
      <c r="R353" s="104"/>
      <c r="Z353" s="198">
        <f t="shared" si="86"/>
        <v>0</v>
      </c>
      <c r="AA353" s="45">
        <f t="shared" si="87"/>
        <v>0</v>
      </c>
      <c r="AB353" s="45">
        <f t="shared" si="88"/>
        <v>0</v>
      </c>
      <c r="AC353" s="45">
        <f t="shared" si="89"/>
        <v>0</v>
      </c>
    </row>
    <row r="354" spans="2:29" ht="15" x14ac:dyDescent="0.25">
      <c r="B354" s="211"/>
      <c r="C354" s="200"/>
      <c r="D354" s="200"/>
      <c r="E354" s="200"/>
      <c r="F354" s="201"/>
      <c r="G354" s="200"/>
      <c r="K354" s="45">
        <f t="shared" si="84"/>
        <v>0</v>
      </c>
      <c r="N354" s="104">
        <v>12</v>
      </c>
      <c r="O354" s="104"/>
      <c r="P354" s="104"/>
      <c r="Q354" s="104"/>
      <c r="R354" s="104"/>
      <c r="Z354" s="198">
        <f t="shared" si="86"/>
        <v>0</v>
      </c>
      <c r="AA354" s="45">
        <f t="shared" si="87"/>
        <v>0</v>
      </c>
      <c r="AB354" s="45">
        <f t="shared" si="88"/>
        <v>0</v>
      </c>
      <c r="AC354" s="45">
        <f t="shared" si="89"/>
        <v>0</v>
      </c>
    </row>
    <row r="355" spans="2:29" ht="15" x14ac:dyDescent="0.25">
      <c r="B355" s="211"/>
      <c r="C355" s="200"/>
      <c r="D355" s="200"/>
      <c r="E355" s="200"/>
      <c r="F355" s="201"/>
      <c r="G355" s="200"/>
      <c r="K355" s="45">
        <f t="shared" si="84"/>
        <v>0</v>
      </c>
      <c r="N355" s="104">
        <v>12</v>
      </c>
      <c r="O355" s="104"/>
      <c r="P355" s="104"/>
      <c r="Q355" s="104"/>
      <c r="R355" s="104"/>
      <c r="Z355" s="198">
        <f t="shared" si="86"/>
        <v>0</v>
      </c>
      <c r="AA355" s="45">
        <f t="shared" si="87"/>
        <v>0</v>
      </c>
      <c r="AB355" s="45">
        <f t="shared" si="88"/>
        <v>0</v>
      </c>
      <c r="AC355" s="45">
        <f t="shared" si="89"/>
        <v>0</v>
      </c>
    </row>
    <row r="356" spans="2:29" ht="15" x14ac:dyDescent="0.25">
      <c r="B356" s="211"/>
      <c r="C356" s="200"/>
      <c r="D356" s="200"/>
      <c r="E356" s="200"/>
      <c r="F356" s="201"/>
      <c r="G356" s="200"/>
      <c r="K356" s="45">
        <f t="shared" si="84"/>
        <v>0</v>
      </c>
      <c r="N356" s="104">
        <v>12</v>
      </c>
      <c r="O356" s="104"/>
      <c r="P356" s="104"/>
      <c r="Q356" s="104"/>
      <c r="R356" s="104"/>
      <c r="Z356" s="198">
        <f t="shared" si="86"/>
        <v>0</v>
      </c>
      <c r="AA356" s="45">
        <f t="shared" si="87"/>
        <v>0</v>
      </c>
      <c r="AB356" s="45">
        <f t="shared" si="88"/>
        <v>0</v>
      </c>
      <c r="AC356" s="45">
        <f t="shared" si="89"/>
        <v>0</v>
      </c>
    </row>
    <row r="357" spans="2:29" ht="15" x14ac:dyDescent="0.25">
      <c r="B357" s="211"/>
      <c r="C357" s="200"/>
      <c r="D357" s="200"/>
      <c r="E357" s="200"/>
      <c r="F357" s="201"/>
      <c r="G357" s="200"/>
      <c r="K357" s="45">
        <f t="shared" si="84"/>
        <v>0</v>
      </c>
      <c r="N357" s="104">
        <v>12</v>
      </c>
      <c r="O357" s="104"/>
      <c r="P357" s="104"/>
      <c r="Q357" s="104"/>
      <c r="R357" s="104"/>
      <c r="Z357" s="198">
        <f t="shared" si="86"/>
        <v>0</v>
      </c>
      <c r="AA357" s="45">
        <f t="shared" si="87"/>
        <v>0</v>
      </c>
      <c r="AB357" s="45">
        <f t="shared" si="88"/>
        <v>0</v>
      </c>
      <c r="AC357" s="45">
        <f t="shared" si="89"/>
        <v>0</v>
      </c>
    </row>
    <row r="358" spans="2:29" ht="15" x14ac:dyDescent="0.25">
      <c r="B358" s="211"/>
      <c r="C358" s="200"/>
      <c r="D358" s="200"/>
      <c r="E358" s="200"/>
      <c r="F358" s="201"/>
      <c r="G358" s="200"/>
      <c r="K358" s="45">
        <f t="shared" ref="K358:K366" si="90">+I358-J358</f>
        <v>0</v>
      </c>
      <c r="N358" s="104">
        <v>12</v>
      </c>
      <c r="O358" s="104"/>
      <c r="P358" s="104"/>
      <c r="Q358" s="104"/>
      <c r="R358" s="104"/>
      <c r="Z358" s="198">
        <f t="shared" si="86"/>
        <v>0</v>
      </c>
      <c r="AA358" s="45">
        <f t="shared" si="87"/>
        <v>0</v>
      </c>
      <c r="AB358" s="45">
        <f t="shared" si="88"/>
        <v>0</v>
      </c>
      <c r="AC358" s="45">
        <f t="shared" si="89"/>
        <v>0</v>
      </c>
    </row>
    <row r="359" spans="2:29" ht="15" x14ac:dyDescent="0.25">
      <c r="B359" s="211"/>
      <c r="C359" s="200"/>
      <c r="D359" s="200"/>
      <c r="E359" s="200"/>
      <c r="F359" s="201"/>
      <c r="G359" s="200"/>
      <c r="K359" s="45">
        <f t="shared" si="90"/>
        <v>0</v>
      </c>
      <c r="N359" s="104">
        <v>12</v>
      </c>
      <c r="O359" s="104"/>
      <c r="P359" s="104"/>
      <c r="Q359" s="104"/>
      <c r="R359" s="104"/>
      <c r="Z359" s="198">
        <f t="shared" si="86"/>
        <v>0</v>
      </c>
      <c r="AA359" s="45">
        <f t="shared" si="87"/>
        <v>0</v>
      </c>
      <c r="AB359" s="45">
        <f t="shared" si="88"/>
        <v>0</v>
      </c>
      <c r="AC359" s="45">
        <f t="shared" si="89"/>
        <v>0</v>
      </c>
    </row>
    <row r="360" spans="2:29" ht="15" x14ac:dyDescent="0.25">
      <c r="B360" s="211"/>
      <c r="C360" s="200"/>
      <c r="D360" s="200"/>
      <c r="E360" s="200"/>
      <c r="F360" s="201"/>
      <c r="G360" s="200"/>
      <c r="K360" s="45">
        <f t="shared" si="90"/>
        <v>0</v>
      </c>
      <c r="N360" s="104">
        <v>12</v>
      </c>
      <c r="O360" s="104"/>
      <c r="P360" s="104"/>
      <c r="Q360" s="104"/>
      <c r="R360" s="104"/>
      <c r="Z360" s="198">
        <f t="shared" si="86"/>
        <v>0</v>
      </c>
      <c r="AA360" s="45">
        <f t="shared" si="87"/>
        <v>0</v>
      </c>
      <c r="AB360" s="45">
        <f t="shared" si="88"/>
        <v>0</v>
      </c>
      <c r="AC360" s="45">
        <f t="shared" si="89"/>
        <v>0</v>
      </c>
    </row>
    <row r="361" spans="2:29" ht="15" x14ac:dyDescent="0.25">
      <c r="B361" s="211"/>
      <c r="C361" s="200"/>
      <c r="D361" s="200"/>
      <c r="E361" s="200"/>
      <c r="F361" s="201"/>
      <c r="G361" s="200"/>
      <c r="K361" s="45">
        <f t="shared" si="90"/>
        <v>0</v>
      </c>
      <c r="N361" s="104">
        <v>12</v>
      </c>
      <c r="O361" s="104"/>
      <c r="P361" s="104"/>
      <c r="Q361" s="104"/>
      <c r="R361" s="104"/>
      <c r="Z361" s="198">
        <f t="shared" si="86"/>
        <v>0</v>
      </c>
      <c r="AA361" s="45">
        <f t="shared" si="87"/>
        <v>0</v>
      </c>
      <c r="AB361" s="45">
        <f t="shared" si="88"/>
        <v>0</v>
      </c>
      <c r="AC361" s="45">
        <f t="shared" si="89"/>
        <v>0</v>
      </c>
    </row>
    <row r="362" spans="2:29" ht="15" x14ac:dyDescent="0.25">
      <c r="B362" s="211"/>
      <c r="C362" s="200"/>
      <c r="D362" s="200"/>
      <c r="E362" s="200"/>
      <c r="F362" s="201"/>
      <c r="G362" s="200"/>
      <c r="K362" s="45">
        <f t="shared" si="90"/>
        <v>0</v>
      </c>
      <c r="N362" s="104">
        <v>12</v>
      </c>
      <c r="O362" s="104"/>
      <c r="P362" s="104"/>
      <c r="Q362" s="104"/>
      <c r="R362" s="104"/>
      <c r="Z362" s="198">
        <f t="shared" si="86"/>
        <v>0</v>
      </c>
      <c r="AA362" s="45">
        <f t="shared" si="87"/>
        <v>0</v>
      </c>
      <c r="AB362" s="45">
        <f t="shared" si="88"/>
        <v>0</v>
      </c>
      <c r="AC362" s="45">
        <f t="shared" si="89"/>
        <v>0</v>
      </c>
    </row>
    <row r="363" spans="2:29" ht="15" x14ac:dyDescent="0.25">
      <c r="B363" s="211"/>
      <c r="C363" s="200"/>
      <c r="D363" s="200"/>
      <c r="E363" s="200"/>
      <c r="F363" s="201"/>
      <c r="G363" s="200"/>
      <c r="K363" s="45">
        <f t="shared" si="90"/>
        <v>0</v>
      </c>
      <c r="N363" s="104">
        <v>12</v>
      </c>
      <c r="O363" s="104"/>
      <c r="P363" s="104"/>
      <c r="Q363" s="104"/>
      <c r="R363" s="104"/>
      <c r="Z363" s="198">
        <f t="shared" si="86"/>
        <v>0</v>
      </c>
      <c r="AA363" s="45">
        <f t="shared" si="87"/>
        <v>0</v>
      </c>
      <c r="AB363" s="45">
        <f t="shared" si="88"/>
        <v>0</v>
      </c>
      <c r="AC363" s="45">
        <f t="shared" si="89"/>
        <v>0</v>
      </c>
    </row>
    <row r="364" spans="2:29" ht="15" x14ac:dyDescent="0.25">
      <c r="B364" s="211"/>
      <c r="C364" s="200"/>
      <c r="D364" s="200"/>
      <c r="E364" s="200"/>
      <c r="F364" s="201"/>
      <c r="G364" s="200"/>
      <c r="K364" s="45">
        <f t="shared" si="90"/>
        <v>0</v>
      </c>
      <c r="N364" s="104">
        <v>12</v>
      </c>
      <c r="O364" s="104"/>
      <c r="P364" s="104"/>
      <c r="Q364" s="104"/>
      <c r="R364" s="104"/>
      <c r="Z364" s="198">
        <f t="shared" si="86"/>
        <v>0</v>
      </c>
      <c r="AA364" s="45">
        <f t="shared" si="87"/>
        <v>0</v>
      </c>
      <c r="AB364" s="45">
        <f t="shared" si="88"/>
        <v>0</v>
      </c>
      <c r="AC364" s="45">
        <f t="shared" si="89"/>
        <v>0</v>
      </c>
    </row>
    <row r="365" spans="2:29" ht="15" x14ac:dyDescent="0.25">
      <c r="B365" s="211"/>
      <c r="C365" s="200"/>
      <c r="D365" s="200"/>
      <c r="E365" s="200"/>
      <c r="F365" s="201"/>
      <c r="G365" s="200"/>
      <c r="K365" s="45">
        <f t="shared" si="90"/>
        <v>0</v>
      </c>
      <c r="N365" s="104">
        <v>12</v>
      </c>
      <c r="O365" s="104"/>
      <c r="P365" s="104"/>
      <c r="Q365" s="104"/>
      <c r="R365" s="104"/>
      <c r="Z365" s="198">
        <f t="shared" si="86"/>
        <v>0</v>
      </c>
      <c r="AA365" s="45">
        <f t="shared" si="87"/>
        <v>0</v>
      </c>
      <c r="AB365" s="45">
        <f t="shared" si="88"/>
        <v>0</v>
      </c>
      <c r="AC365" s="45">
        <f t="shared" si="89"/>
        <v>0</v>
      </c>
    </row>
    <row r="366" spans="2:29" ht="15" x14ac:dyDescent="0.25">
      <c r="B366" s="211"/>
      <c r="C366" s="200"/>
      <c r="D366" s="200"/>
      <c r="E366" s="200"/>
      <c r="F366" s="201"/>
      <c r="G366" s="200"/>
      <c r="K366" s="45">
        <f t="shared" si="90"/>
        <v>0</v>
      </c>
      <c r="N366" s="104">
        <v>12</v>
      </c>
      <c r="O366" s="104"/>
      <c r="P366" s="104"/>
      <c r="Q366" s="104"/>
      <c r="R366" s="104"/>
      <c r="Z366" s="198">
        <f t="shared" si="86"/>
        <v>0</v>
      </c>
      <c r="AA366" s="45">
        <f t="shared" si="87"/>
        <v>0</v>
      </c>
      <c r="AB366" s="45">
        <f t="shared" si="88"/>
        <v>0</v>
      </c>
      <c r="AC366" s="45">
        <f t="shared" si="89"/>
        <v>0</v>
      </c>
    </row>
    <row r="367" spans="2:29" ht="15" x14ac:dyDescent="0.25">
      <c r="B367" s="211"/>
      <c r="C367" s="200"/>
      <c r="D367" s="200"/>
      <c r="E367" s="200"/>
      <c r="F367" s="201"/>
      <c r="G367" s="200"/>
      <c r="K367" s="45">
        <f t="shared" si="83"/>
        <v>0</v>
      </c>
      <c r="N367" s="104">
        <v>12</v>
      </c>
      <c r="O367" s="104"/>
      <c r="P367" s="104"/>
      <c r="Q367" s="104"/>
      <c r="R367" s="104"/>
      <c r="Z367" s="198">
        <f t="shared" si="86"/>
        <v>0</v>
      </c>
      <c r="AA367" s="45">
        <f t="shared" si="87"/>
        <v>0</v>
      </c>
      <c r="AB367" s="45">
        <f t="shared" si="88"/>
        <v>0</v>
      </c>
      <c r="AC367" s="45">
        <f t="shared" si="89"/>
        <v>0</v>
      </c>
    </row>
    <row r="368" spans="2:29" ht="15" x14ac:dyDescent="0.25">
      <c r="B368" s="211"/>
      <c r="C368" s="200"/>
      <c r="D368" s="200"/>
      <c r="E368" s="200"/>
      <c r="F368" s="201"/>
      <c r="G368" s="200"/>
      <c r="K368" s="45">
        <f t="shared" si="83"/>
        <v>0</v>
      </c>
      <c r="N368" s="104">
        <v>12</v>
      </c>
      <c r="O368" s="104"/>
      <c r="P368" s="104"/>
      <c r="Q368" s="104"/>
      <c r="R368" s="104"/>
      <c r="Z368" s="198">
        <f t="shared" ref="Z368" si="91">ROUND(IF(L368&gt;0,L368*I$268*N368/12,IF(K368=0,0,IF(I368*I$268*N368/12&gt;=K368,K368-1,I368*I$268*N368/12))),2)+Y368</f>
        <v>0</v>
      </c>
      <c r="AA368" s="45">
        <f t="shared" si="87"/>
        <v>0</v>
      </c>
      <c r="AB368" s="45">
        <f t="shared" si="88"/>
        <v>0</v>
      </c>
      <c r="AC368" s="45">
        <f t="shared" si="89"/>
        <v>0</v>
      </c>
    </row>
    <row r="370" spans="3:29" ht="13.5" thickBot="1" x14ac:dyDescent="0.25">
      <c r="C370" s="45" t="s">
        <v>418</v>
      </c>
      <c r="I370" s="53">
        <f>SUM(I271:I369)</f>
        <v>0</v>
      </c>
      <c r="J370" s="53">
        <f t="shared" ref="J370:AC370" si="92">SUM(J271:J369)</f>
        <v>0</v>
      </c>
      <c r="K370" s="53">
        <f t="shared" si="92"/>
        <v>0</v>
      </c>
      <c r="L370" s="53">
        <f t="shared" si="92"/>
        <v>0</v>
      </c>
      <c r="M370" s="53"/>
      <c r="N370" s="53"/>
      <c r="O370" s="53"/>
      <c r="P370" s="53"/>
      <c r="Q370" s="53">
        <f t="shared" si="92"/>
        <v>0</v>
      </c>
      <c r="R370" s="53">
        <f t="shared" si="92"/>
        <v>0</v>
      </c>
      <c r="S370" s="53">
        <f t="shared" si="92"/>
        <v>0</v>
      </c>
      <c r="T370" s="53">
        <f t="shared" si="92"/>
        <v>0</v>
      </c>
      <c r="U370" s="53"/>
      <c r="V370" s="53">
        <f t="shared" si="92"/>
        <v>0</v>
      </c>
      <c r="W370" s="53">
        <f t="shared" si="92"/>
        <v>0</v>
      </c>
      <c r="X370" s="53">
        <f t="shared" si="92"/>
        <v>0</v>
      </c>
      <c r="Y370" s="53">
        <f t="shared" si="92"/>
        <v>0</v>
      </c>
      <c r="Z370" s="53">
        <f t="shared" si="92"/>
        <v>0</v>
      </c>
      <c r="AA370" s="53">
        <f t="shared" si="92"/>
        <v>0</v>
      </c>
      <c r="AB370" s="53">
        <f t="shared" si="92"/>
        <v>0</v>
      </c>
      <c r="AC370" s="53">
        <f t="shared" si="92"/>
        <v>0</v>
      </c>
    </row>
    <row r="371" spans="3:29" ht="13.5" thickTop="1" x14ac:dyDescent="0.2"/>
    <row r="373" spans="3:29" ht="13.5" thickBot="1" x14ac:dyDescent="0.25">
      <c r="C373" s="66" t="s">
        <v>402</v>
      </c>
      <c r="D373" s="66"/>
      <c r="E373" s="66"/>
      <c r="F373" s="66"/>
      <c r="G373" s="66"/>
      <c r="I373" s="53">
        <f>SUM(I34+I60+I149+I192+I226+I265+I370)</f>
        <v>0</v>
      </c>
      <c r="J373" s="53">
        <f t="shared" ref="J373:AC373" si="93">SUM(J34+J60+J149+J192+J226+J265+J370)</f>
        <v>0</v>
      </c>
      <c r="K373" s="53">
        <f t="shared" si="93"/>
        <v>0</v>
      </c>
      <c r="L373" s="53">
        <f t="shared" si="93"/>
        <v>0</v>
      </c>
      <c r="M373" s="53">
        <f t="shared" si="93"/>
        <v>0</v>
      </c>
      <c r="N373" s="53"/>
      <c r="O373" s="53">
        <f t="shared" si="93"/>
        <v>0</v>
      </c>
      <c r="P373" s="53">
        <f t="shared" si="93"/>
        <v>0</v>
      </c>
      <c r="Q373" s="53">
        <f t="shared" si="93"/>
        <v>0</v>
      </c>
      <c r="R373" s="53">
        <f t="shared" si="93"/>
        <v>0</v>
      </c>
      <c r="S373" s="53">
        <f t="shared" si="93"/>
        <v>0</v>
      </c>
      <c r="T373" s="53">
        <f t="shared" si="93"/>
        <v>0</v>
      </c>
      <c r="U373" s="53">
        <f t="shared" si="93"/>
        <v>0</v>
      </c>
      <c r="V373" s="53">
        <f t="shared" si="93"/>
        <v>0</v>
      </c>
      <c r="W373" s="53">
        <f t="shared" si="93"/>
        <v>0</v>
      </c>
      <c r="X373" s="53">
        <f t="shared" si="93"/>
        <v>0</v>
      </c>
      <c r="Y373" s="53">
        <f t="shared" si="93"/>
        <v>0</v>
      </c>
      <c r="Z373" s="53">
        <f t="shared" si="93"/>
        <v>0</v>
      </c>
      <c r="AA373" s="53">
        <f t="shared" si="93"/>
        <v>0</v>
      </c>
      <c r="AB373" s="53">
        <f t="shared" si="93"/>
        <v>0</v>
      </c>
      <c r="AC373" s="53">
        <f t="shared" si="93"/>
        <v>0</v>
      </c>
    </row>
    <row r="374" spans="3:29" ht="13.5" thickTop="1" x14ac:dyDescent="0.2">
      <c r="C374" s="66"/>
      <c r="D374" s="66"/>
      <c r="E374" s="66"/>
      <c r="F374" s="66"/>
      <c r="G374" s="66"/>
      <c r="I374" s="45">
        <f>I373-I17</f>
        <v>0</v>
      </c>
      <c r="J374" s="45">
        <f>J373-J17</f>
        <v>0</v>
      </c>
      <c r="K374" s="45">
        <f>K373-K17</f>
        <v>0</v>
      </c>
      <c r="L374" s="45">
        <f>L373-L17</f>
        <v>0</v>
      </c>
      <c r="Q374" s="45">
        <f>Q373-Q17</f>
        <v>0</v>
      </c>
      <c r="R374" s="45">
        <f>R373-R17</f>
        <v>0</v>
      </c>
      <c r="S374" s="45">
        <f>S373-S17</f>
        <v>0</v>
      </c>
      <c r="T374" s="45">
        <f>T373-T17</f>
        <v>0</v>
      </c>
      <c r="V374" s="45">
        <f t="shared" ref="V374:AC374" si="94">V373-V17</f>
        <v>0</v>
      </c>
      <c r="W374" s="45">
        <f t="shared" si="94"/>
        <v>0</v>
      </c>
      <c r="X374" s="45">
        <f t="shared" si="94"/>
        <v>0</v>
      </c>
      <c r="Y374" s="45">
        <f t="shared" si="94"/>
        <v>0</v>
      </c>
      <c r="Z374" s="45">
        <f t="shared" si="94"/>
        <v>0</v>
      </c>
      <c r="AA374" s="45">
        <f t="shared" si="94"/>
        <v>0</v>
      </c>
      <c r="AB374" s="45">
        <f t="shared" si="94"/>
        <v>0</v>
      </c>
      <c r="AC374" s="45">
        <f t="shared" si="94"/>
        <v>0</v>
      </c>
    </row>
  </sheetData>
  <mergeCells count="3">
    <mergeCell ref="V7:X7"/>
    <mergeCell ref="O64:P64"/>
    <mergeCell ref="O8:P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09"/>
  <sheetViews>
    <sheetView zoomScale="87" zoomScaleNormal="87" workbookViewId="0">
      <selection activeCell="A14" sqref="A14"/>
    </sheetView>
  </sheetViews>
  <sheetFormatPr defaultRowHeight="12.75" x14ac:dyDescent="0.2"/>
  <cols>
    <col min="1" max="1" width="2.28515625" style="45" customWidth="1"/>
    <col min="2" max="2" width="17.28515625" style="203" customWidth="1"/>
    <col min="3" max="3" width="62.42578125" style="45" bestFit="1" customWidth="1"/>
    <col min="4" max="4" width="20" style="45" bestFit="1" customWidth="1"/>
    <col min="5" max="5" width="13.85546875" style="45" bestFit="1" customWidth="1"/>
    <col min="6" max="6" width="12.5703125" style="45" customWidth="1"/>
    <col min="7" max="7" width="17.7109375" style="45" customWidth="1"/>
    <col min="8" max="8" width="19.85546875" style="45" bestFit="1" customWidth="1"/>
    <col min="9" max="9" width="14.5703125" style="45" bestFit="1" customWidth="1"/>
    <col min="10" max="10" width="13.85546875" style="45" bestFit="1" customWidth="1"/>
    <col min="11" max="11" width="14.5703125" style="45" bestFit="1" customWidth="1"/>
    <col min="12" max="12" width="13.85546875" style="45" bestFit="1" customWidth="1"/>
    <col min="13" max="13" width="9.140625" style="45" bestFit="1" customWidth="1"/>
    <col min="14" max="14" width="14.7109375" style="45" customWidth="1"/>
    <col min="15" max="15" width="16" style="45" customWidth="1"/>
    <col min="16" max="16" width="13" style="45" bestFit="1" customWidth="1"/>
    <col min="17" max="19" width="13.7109375" style="45" customWidth="1"/>
    <col min="20" max="20" width="13.42578125" style="45" bestFit="1" customWidth="1"/>
    <col min="21" max="21" width="14.42578125" style="45" bestFit="1" customWidth="1"/>
    <col min="22" max="22" width="13.7109375" style="45" bestFit="1" customWidth="1"/>
    <col min="23" max="23" width="14.42578125" style="45" bestFit="1" customWidth="1"/>
    <col min="24" max="25" width="12.5703125" style="45" bestFit="1" customWidth="1"/>
    <col min="26" max="16384" width="9.140625" style="45"/>
  </cols>
  <sheetData>
    <row r="2" spans="3:23" ht="40.5" customHeight="1" x14ac:dyDescent="0.2">
      <c r="C2" s="154" t="str">
        <f>Criteria!E9</f>
        <v>ABC COMPANY (PROPRIETARY) LIMITED</v>
      </c>
      <c r="V2" s="153" t="s">
        <v>101</v>
      </c>
      <c r="W2" s="153"/>
    </row>
    <row r="3" spans="3:23" ht="12.75" customHeight="1" x14ac:dyDescent="0.2">
      <c r="C3" s="66" t="s">
        <v>100</v>
      </c>
      <c r="D3" s="66" t="str">
        <f>Criteria!E20</f>
        <v>29 FEBRUARY 2024</v>
      </c>
      <c r="E3" s="66"/>
      <c r="F3" s="66"/>
      <c r="G3" s="66"/>
    </row>
    <row r="4" spans="3:23" ht="40.5" customHeight="1" x14ac:dyDescent="0.2">
      <c r="C4" s="192" t="s">
        <v>872</v>
      </c>
      <c r="D4" s="66"/>
      <c r="E4" s="66"/>
      <c r="F4" s="66"/>
      <c r="G4" s="66"/>
      <c r="V4" s="153" t="s">
        <v>102</v>
      </c>
      <c r="W4" s="153"/>
    </row>
    <row r="5" spans="3:23" x14ac:dyDescent="0.2">
      <c r="C5" s="69"/>
      <c r="D5" s="69"/>
      <c r="E5" s="69"/>
      <c r="F5" s="69"/>
      <c r="G5" s="69"/>
      <c r="H5" s="69"/>
      <c r="I5" s="69"/>
      <c r="J5" s="69"/>
      <c r="K5" s="69"/>
      <c r="L5" s="69"/>
      <c r="M5" s="69"/>
      <c r="N5" s="69"/>
      <c r="O5" s="69"/>
      <c r="P5" s="69"/>
      <c r="Q5" s="69"/>
      <c r="R5" s="69"/>
      <c r="S5" s="69"/>
      <c r="T5" s="69"/>
      <c r="U5" s="69"/>
      <c r="V5" s="69"/>
      <c r="W5" s="69"/>
    </row>
    <row r="7" spans="3:23" x14ac:dyDescent="0.2">
      <c r="C7" s="67" t="s">
        <v>800</v>
      </c>
      <c r="Q7" s="709" t="s">
        <v>877</v>
      </c>
      <c r="R7" s="710"/>
      <c r="S7" s="711"/>
    </row>
    <row r="8" spans="3:23" x14ac:dyDescent="0.2">
      <c r="I8" s="22"/>
      <c r="J8" s="22"/>
      <c r="K8" s="22"/>
      <c r="L8" s="22"/>
      <c r="M8" s="22"/>
      <c r="N8" s="22"/>
      <c r="O8" s="22" t="s">
        <v>190</v>
      </c>
      <c r="P8" s="22"/>
      <c r="Q8" s="280" t="s">
        <v>868</v>
      </c>
      <c r="R8" s="281" t="s">
        <v>875</v>
      </c>
      <c r="S8" s="282" t="s">
        <v>869</v>
      </c>
      <c r="T8" s="22"/>
      <c r="U8" s="22"/>
      <c r="V8" s="22"/>
      <c r="W8" s="22"/>
    </row>
    <row r="9" spans="3:23" x14ac:dyDescent="0.2">
      <c r="C9" s="226"/>
      <c r="D9" s="66"/>
      <c r="E9" s="66"/>
      <c r="F9" s="66"/>
      <c r="G9" s="66"/>
      <c r="H9" s="67"/>
      <c r="I9" s="24" t="s">
        <v>452</v>
      </c>
      <c r="J9" s="24" t="s">
        <v>878</v>
      </c>
      <c r="K9" s="24" t="s">
        <v>702</v>
      </c>
      <c r="L9" s="24" t="s">
        <v>334</v>
      </c>
      <c r="M9" s="24"/>
      <c r="N9" s="24" t="s">
        <v>704</v>
      </c>
      <c r="O9" s="24" t="s">
        <v>879</v>
      </c>
      <c r="P9" s="24" t="s">
        <v>867</v>
      </c>
      <c r="Q9" s="283" t="s">
        <v>870</v>
      </c>
      <c r="R9" s="24" t="s">
        <v>876</v>
      </c>
      <c r="S9" s="284" t="s">
        <v>871</v>
      </c>
      <c r="T9" s="24" t="s">
        <v>874</v>
      </c>
      <c r="U9" s="24" t="s">
        <v>452</v>
      </c>
      <c r="V9" s="24" t="s">
        <v>873</v>
      </c>
      <c r="W9" s="24" t="s">
        <v>702</v>
      </c>
    </row>
    <row r="10" spans="3:23" x14ac:dyDescent="0.2">
      <c r="C10" s="45" t="str">
        <f>B19</f>
        <v>PROPERTY</v>
      </c>
      <c r="I10" s="45">
        <f t="shared" ref="I10:W10" si="0">I84</f>
        <v>0</v>
      </c>
      <c r="J10" s="45">
        <f t="shared" si="0"/>
        <v>0</v>
      </c>
      <c r="K10" s="45">
        <f t="shared" si="0"/>
        <v>0</v>
      </c>
      <c r="L10" s="45">
        <f t="shared" si="0"/>
        <v>0</v>
      </c>
      <c r="N10" s="45">
        <f t="shared" ref="N10:O10" si="1">N84</f>
        <v>0</v>
      </c>
      <c r="O10" s="45">
        <f t="shared" si="1"/>
        <v>0</v>
      </c>
      <c r="P10" s="45">
        <f t="shared" si="0"/>
        <v>0</v>
      </c>
      <c r="Q10" s="285">
        <f t="shared" si="0"/>
        <v>0</v>
      </c>
      <c r="R10" s="233">
        <f t="shared" si="0"/>
        <v>0</v>
      </c>
      <c r="S10" s="286">
        <f t="shared" si="0"/>
        <v>0</v>
      </c>
      <c r="T10" s="45">
        <f t="shared" si="0"/>
        <v>0</v>
      </c>
      <c r="U10" s="45">
        <f t="shared" si="0"/>
        <v>0</v>
      </c>
      <c r="V10" s="45">
        <f t="shared" si="0"/>
        <v>0</v>
      </c>
      <c r="W10" s="45">
        <f t="shared" si="0"/>
        <v>0</v>
      </c>
    </row>
    <row r="11" spans="3:23" x14ac:dyDescent="0.2">
      <c r="C11" s="45" t="str">
        <f>B86</f>
        <v>PLANT AND EQUIPMENT</v>
      </c>
      <c r="I11" s="45">
        <f t="shared" ref="I11:W11" si="2">I127</f>
        <v>0</v>
      </c>
      <c r="J11" s="45">
        <f t="shared" si="2"/>
        <v>0</v>
      </c>
      <c r="K11" s="45">
        <f t="shared" si="2"/>
        <v>0</v>
      </c>
      <c r="L11" s="45">
        <f t="shared" si="2"/>
        <v>0</v>
      </c>
      <c r="N11" s="45">
        <f t="shared" ref="N11:O11" si="3">N127</f>
        <v>0</v>
      </c>
      <c r="O11" s="45">
        <f t="shared" si="3"/>
        <v>0</v>
      </c>
      <c r="P11" s="45">
        <f t="shared" si="2"/>
        <v>0</v>
      </c>
      <c r="Q11" s="285">
        <f t="shared" si="2"/>
        <v>0</v>
      </c>
      <c r="R11" s="233">
        <f t="shared" si="2"/>
        <v>0</v>
      </c>
      <c r="S11" s="286">
        <f t="shared" si="2"/>
        <v>0</v>
      </c>
      <c r="T11" s="45">
        <f t="shared" si="2"/>
        <v>0</v>
      </c>
      <c r="U11" s="45">
        <f t="shared" si="2"/>
        <v>0</v>
      </c>
      <c r="V11" s="45">
        <f t="shared" si="2"/>
        <v>0</v>
      </c>
      <c r="W11" s="45">
        <f t="shared" si="2"/>
        <v>0</v>
      </c>
    </row>
    <row r="12" spans="3:23" x14ac:dyDescent="0.2">
      <c r="C12" s="45" t="str">
        <f>B130</f>
        <v>MOTOR VEHICLES</v>
      </c>
      <c r="I12" s="45">
        <f t="shared" ref="I12:W12" si="4">I161</f>
        <v>0</v>
      </c>
      <c r="J12" s="45">
        <f t="shared" si="4"/>
        <v>0</v>
      </c>
      <c r="K12" s="45">
        <f t="shared" si="4"/>
        <v>0</v>
      </c>
      <c r="L12" s="45">
        <f t="shared" si="4"/>
        <v>0</v>
      </c>
      <c r="N12" s="45">
        <f t="shared" ref="N12:O12" si="5">N161</f>
        <v>0</v>
      </c>
      <c r="O12" s="45">
        <f t="shared" si="5"/>
        <v>0</v>
      </c>
      <c r="P12" s="45">
        <f t="shared" si="4"/>
        <v>0</v>
      </c>
      <c r="Q12" s="285">
        <f t="shared" si="4"/>
        <v>0</v>
      </c>
      <c r="R12" s="233">
        <f t="shared" si="4"/>
        <v>0</v>
      </c>
      <c r="S12" s="286">
        <f t="shared" si="4"/>
        <v>0</v>
      </c>
      <c r="T12" s="45">
        <f t="shared" si="4"/>
        <v>0</v>
      </c>
      <c r="U12" s="45">
        <f t="shared" si="4"/>
        <v>0</v>
      </c>
      <c r="V12" s="45">
        <f t="shared" si="4"/>
        <v>0</v>
      </c>
      <c r="W12" s="45">
        <f t="shared" si="4"/>
        <v>0</v>
      </c>
    </row>
    <row r="13" spans="3:23" x14ac:dyDescent="0.2">
      <c r="C13" s="45" t="str">
        <f>B164</f>
        <v>ELECTRONIC EQUIPMENT</v>
      </c>
      <c r="I13" s="45">
        <f t="shared" ref="I13:W13" si="6">I200</f>
        <v>0</v>
      </c>
      <c r="J13" s="45">
        <f t="shared" si="6"/>
        <v>0</v>
      </c>
      <c r="K13" s="45">
        <f t="shared" si="6"/>
        <v>0</v>
      </c>
      <c r="L13" s="45">
        <f t="shared" si="6"/>
        <v>0</v>
      </c>
      <c r="N13" s="45">
        <f t="shared" ref="N13:O13" si="7">N200</f>
        <v>0</v>
      </c>
      <c r="O13" s="45">
        <f t="shared" si="7"/>
        <v>0</v>
      </c>
      <c r="P13" s="45">
        <f t="shared" si="6"/>
        <v>0</v>
      </c>
      <c r="Q13" s="285">
        <f t="shared" si="6"/>
        <v>0</v>
      </c>
      <c r="R13" s="233">
        <f t="shared" si="6"/>
        <v>0</v>
      </c>
      <c r="S13" s="286">
        <f t="shared" si="6"/>
        <v>0</v>
      </c>
      <c r="T13" s="45">
        <f t="shared" si="6"/>
        <v>0</v>
      </c>
      <c r="U13" s="45">
        <f t="shared" si="6"/>
        <v>0</v>
      </c>
      <c r="V13" s="45">
        <f t="shared" si="6"/>
        <v>0</v>
      </c>
      <c r="W13" s="45">
        <f t="shared" si="6"/>
        <v>0</v>
      </c>
    </row>
    <row r="14" spans="3:23" x14ac:dyDescent="0.2">
      <c r="C14" s="45" t="str">
        <f>B203</f>
        <v>FURNITURE AND FITTINGS</v>
      </c>
      <c r="I14" s="45">
        <f t="shared" ref="I14:W14" si="8">I305</f>
        <v>0</v>
      </c>
      <c r="J14" s="45">
        <f t="shared" si="8"/>
        <v>0</v>
      </c>
      <c r="K14" s="45">
        <f t="shared" si="8"/>
        <v>0</v>
      </c>
      <c r="L14" s="45">
        <f t="shared" si="8"/>
        <v>0</v>
      </c>
      <c r="N14" s="45">
        <f t="shared" ref="N14:O14" si="9">N305</f>
        <v>0</v>
      </c>
      <c r="O14" s="45">
        <f t="shared" si="9"/>
        <v>0</v>
      </c>
      <c r="P14" s="45">
        <f t="shared" si="8"/>
        <v>0</v>
      </c>
      <c r="Q14" s="285">
        <f t="shared" si="8"/>
        <v>0</v>
      </c>
      <c r="R14" s="233">
        <f t="shared" si="8"/>
        <v>0</v>
      </c>
      <c r="S14" s="286">
        <f t="shared" si="8"/>
        <v>0</v>
      </c>
      <c r="T14" s="45">
        <f t="shared" si="8"/>
        <v>0</v>
      </c>
      <c r="U14" s="45">
        <f t="shared" si="8"/>
        <v>0</v>
      </c>
      <c r="V14" s="45">
        <f t="shared" si="8"/>
        <v>0</v>
      </c>
      <c r="W14" s="45">
        <f t="shared" si="8"/>
        <v>0</v>
      </c>
    </row>
    <row r="15" spans="3:23" ht="13.5" thickBot="1" x14ac:dyDescent="0.25">
      <c r="I15" s="143">
        <f t="shared" ref="I15:W15" si="10">SUM(I10:I14)</f>
        <v>0</v>
      </c>
      <c r="J15" s="143">
        <f t="shared" si="10"/>
        <v>0</v>
      </c>
      <c r="K15" s="143">
        <f t="shared" si="10"/>
        <v>0</v>
      </c>
      <c r="L15" s="143">
        <f t="shared" si="10"/>
        <v>0</v>
      </c>
      <c r="M15" s="143">
        <f t="shared" si="10"/>
        <v>0</v>
      </c>
      <c r="N15" s="143">
        <f t="shared" si="10"/>
        <v>0</v>
      </c>
      <c r="O15" s="143">
        <f t="shared" si="10"/>
        <v>0</v>
      </c>
      <c r="P15" s="143">
        <f t="shared" si="10"/>
        <v>0</v>
      </c>
      <c r="Q15" s="287">
        <f t="shared" si="10"/>
        <v>0</v>
      </c>
      <c r="R15" s="143">
        <f t="shared" si="10"/>
        <v>0</v>
      </c>
      <c r="S15" s="288">
        <f t="shared" si="10"/>
        <v>0</v>
      </c>
      <c r="T15" s="143">
        <f t="shared" si="10"/>
        <v>0</v>
      </c>
      <c r="U15" s="143">
        <f t="shared" si="10"/>
        <v>0</v>
      </c>
      <c r="V15" s="143">
        <f t="shared" si="10"/>
        <v>0</v>
      </c>
      <c r="W15" s="143">
        <f t="shared" si="10"/>
        <v>0</v>
      </c>
    </row>
    <row r="16" spans="3:23" ht="13.5" thickTop="1" x14ac:dyDescent="0.2">
      <c r="D16" s="45" t="s">
        <v>1147</v>
      </c>
      <c r="I16" s="337">
        <f>I15-SUM(FARegister!I11:I16)</f>
        <v>0</v>
      </c>
      <c r="J16" s="337"/>
      <c r="K16" s="337"/>
      <c r="L16" s="337">
        <f>L15-SUM(FARegister!L11:L16)</f>
        <v>0</v>
      </c>
      <c r="M16" s="337"/>
      <c r="N16" s="337">
        <f>N15-SUM(FARegister!Q11:Q16)</f>
        <v>0</v>
      </c>
      <c r="O16" s="337"/>
      <c r="P16" s="337">
        <f>P15-SUM(FARegister!S11:S16)</f>
        <v>0</v>
      </c>
      <c r="Q16" s="337"/>
      <c r="R16" s="337"/>
      <c r="S16" s="337"/>
      <c r="T16" s="337"/>
      <c r="U16" s="337">
        <f>U15-SUM(FARegister!AA11:AA16)</f>
        <v>0</v>
      </c>
      <c r="V16" s="337"/>
      <c r="W16" s="337"/>
    </row>
    <row r="19" spans="2:23" x14ac:dyDescent="0.2">
      <c r="B19" s="204" t="s">
        <v>1433</v>
      </c>
      <c r="I19" s="277"/>
      <c r="J19" s="277"/>
    </row>
    <row r="20" spans="2:23" x14ac:dyDescent="0.2">
      <c r="B20" s="205"/>
      <c r="E20" s="8"/>
      <c r="F20" s="8"/>
      <c r="G20" s="8"/>
      <c r="H20" s="8"/>
      <c r="I20" s="22"/>
      <c r="J20" s="22"/>
      <c r="K20" s="22"/>
      <c r="L20" s="22"/>
      <c r="M20" s="22"/>
      <c r="N20" s="22"/>
      <c r="O20" s="22" t="s">
        <v>190</v>
      </c>
      <c r="P20" s="22"/>
      <c r="Q20" s="296" t="s">
        <v>868</v>
      </c>
      <c r="R20" s="297" t="s">
        <v>875</v>
      </c>
      <c r="S20" s="298" t="s">
        <v>869</v>
      </c>
      <c r="T20" s="22"/>
      <c r="U20" s="22"/>
      <c r="V20" s="22"/>
      <c r="W20" s="22"/>
    </row>
    <row r="21" spans="2:23" x14ac:dyDescent="0.2">
      <c r="B21" s="206" t="s">
        <v>28</v>
      </c>
      <c r="C21" s="70" t="s">
        <v>282</v>
      </c>
      <c r="D21" s="70"/>
      <c r="E21" s="278" t="s">
        <v>763</v>
      </c>
      <c r="F21" s="279" t="s">
        <v>595</v>
      </c>
      <c r="G21" s="278" t="s">
        <v>596</v>
      </c>
      <c r="H21" s="278" t="s">
        <v>707</v>
      </c>
      <c r="I21" s="24" t="s">
        <v>452</v>
      </c>
      <c r="J21" s="24" t="s">
        <v>878</v>
      </c>
      <c r="K21" s="24" t="s">
        <v>702</v>
      </c>
      <c r="L21" s="24" t="s">
        <v>334</v>
      </c>
      <c r="M21" s="24" t="s">
        <v>491</v>
      </c>
      <c r="N21" s="24" t="s">
        <v>704</v>
      </c>
      <c r="O21" s="24" t="s">
        <v>879</v>
      </c>
      <c r="P21" s="24" t="s">
        <v>866</v>
      </c>
      <c r="Q21" s="283" t="s">
        <v>870</v>
      </c>
      <c r="R21" s="24" t="s">
        <v>876</v>
      </c>
      <c r="S21" s="284" t="s">
        <v>871</v>
      </c>
      <c r="T21" s="24" t="s">
        <v>874</v>
      </c>
      <c r="U21" s="24" t="s">
        <v>452</v>
      </c>
      <c r="V21" s="24" t="s">
        <v>873</v>
      </c>
      <c r="W21" s="24" t="s">
        <v>702</v>
      </c>
    </row>
    <row r="23" spans="2:23" x14ac:dyDescent="0.2">
      <c r="B23" s="93"/>
      <c r="C23" s="290" t="s">
        <v>1632</v>
      </c>
      <c r="D23" s="172"/>
      <c r="E23" s="172"/>
      <c r="F23" s="173"/>
      <c r="G23" s="1"/>
      <c r="H23" s="172"/>
      <c r="I23" s="291">
        <f>FARegister!I60</f>
        <v>0</v>
      </c>
      <c r="J23" s="291">
        <f>FARegister!J60</f>
        <v>0</v>
      </c>
      <c r="K23" s="290">
        <f>+I23-J23</f>
        <v>0</v>
      </c>
      <c r="L23" s="291">
        <f>FARegister!L60</f>
        <v>0</v>
      </c>
      <c r="M23" s="291">
        <v>12</v>
      </c>
      <c r="N23" s="291">
        <f>FARegister!Q60</f>
        <v>0</v>
      </c>
      <c r="O23" s="291">
        <f>FARegister!R60</f>
        <v>0</v>
      </c>
      <c r="P23" s="291">
        <f>FARegister!S60</f>
        <v>0</v>
      </c>
      <c r="Q23" s="291">
        <f>FARegister!V60</f>
        <v>0</v>
      </c>
      <c r="R23" s="291">
        <f>FARegister!W60</f>
        <v>0</v>
      </c>
      <c r="S23" s="291">
        <f>FARegister!X60</f>
        <v>0</v>
      </c>
      <c r="T23" s="291">
        <f>FARegister!Z60</f>
        <v>0</v>
      </c>
      <c r="U23" s="45">
        <f>I23+L23-N23</f>
        <v>0</v>
      </c>
      <c r="V23" s="45">
        <f>J23+T23-O23</f>
        <v>0</v>
      </c>
      <c r="W23" s="45">
        <f>U23-V23</f>
        <v>0</v>
      </c>
    </row>
    <row r="24" spans="2:23" x14ac:dyDescent="0.2">
      <c r="B24" s="93"/>
      <c r="C24" s="290" t="s">
        <v>1633</v>
      </c>
      <c r="D24" s="172"/>
      <c r="E24" s="172"/>
      <c r="F24" s="173"/>
      <c r="G24" s="1"/>
      <c r="H24" s="172"/>
      <c r="I24" s="291">
        <f>FARegister!I149</f>
        <v>0</v>
      </c>
      <c r="J24" s="291">
        <f>FARegister!J149</f>
        <v>0</v>
      </c>
      <c r="K24" s="290">
        <f>+I24-J24</f>
        <v>0</v>
      </c>
      <c r="L24" s="291">
        <f>FARegister!L149</f>
        <v>0</v>
      </c>
      <c r="M24" s="291">
        <v>12</v>
      </c>
      <c r="N24" s="291">
        <f>FARegister!Q149</f>
        <v>0</v>
      </c>
      <c r="O24" s="291">
        <f>FARegister!R149</f>
        <v>0</v>
      </c>
      <c r="P24" s="291">
        <f>FARegister!S149</f>
        <v>0</v>
      </c>
      <c r="Q24" s="291">
        <f>FARegister!V149</f>
        <v>0</v>
      </c>
      <c r="R24" s="291">
        <f>FARegister!W149</f>
        <v>0</v>
      </c>
      <c r="S24" s="291">
        <f>FARegister!X149</f>
        <v>0</v>
      </c>
      <c r="T24" s="291">
        <f>FARegister!Z149</f>
        <v>0</v>
      </c>
      <c r="U24" s="45">
        <f>I24+L24-N24</f>
        <v>0</v>
      </c>
      <c r="V24" s="45">
        <f>J24+T24-O24</f>
        <v>0</v>
      </c>
      <c r="W24" s="45">
        <f>U24-V24</f>
        <v>0</v>
      </c>
    </row>
    <row r="25" spans="2:23" ht="15" x14ac:dyDescent="0.35">
      <c r="B25" s="93"/>
      <c r="C25" s="174" t="s">
        <v>597</v>
      </c>
      <c r="D25" s="174"/>
      <c r="E25" s="172"/>
      <c r="F25" s="173"/>
      <c r="G25" s="1"/>
      <c r="H25" s="172"/>
      <c r="K25" s="45">
        <f t="shared" ref="K25:K65" si="11">I25-J25</f>
        <v>0</v>
      </c>
      <c r="M25" s="45">
        <v>0</v>
      </c>
      <c r="T25" s="198"/>
      <c r="U25" s="45">
        <f t="shared" ref="U25:U54" si="12">I25+L25-N25</f>
        <v>0</v>
      </c>
      <c r="V25" s="45">
        <f t="shared" ref="V25:V54" si="13">J25+T25-O25</f>
        <v>0</v>
      </c>
      <c r="W25" s="45">
        <f t="shared" ref="W25:W66" si="14">U25-V25</f>
        <v>0</v>
      </c>
    </row>
    <row r="26" spans="2:23" ht="15" x14ac:dyDescent="0.35">
      <c r="B26" s="93"/>
      <c r="C26" s="174"/>
      <c r="D26" s="174"/>
      <c r="E26" s="172"/>
      <c r="F26" s="173"/>
      <c r="G26" s="1"/>
      <c r="H26" s="172"/>
      <c r="K26" s="45">
        <f t="shared" si="11"/>
        <v>0</v>
      </c>
      <c r="M26" s="45">
        <v>0</v>
      </c>
      <c r="T26" s="198"/>
      <c r="U26" s="45">
        <f t="shared" si="12"/>
        <v>0</v>
      </c>
      <c r="V26" s="45">
        <f t="shared" si="13"/>
        <v>0</v>
      </c>
      <c r="W26" s="45">
        <f t="shared" si="14"/>
        <v>0</v>
      </c>
    </row>
    <row r="27" spans="2:23" x14ac:dyDescent="0.2">
      <c r="B27" s="181"/>
      <c r="C27" s="172"/>
      <c r="D27" s="184"/>
      <c r="E27" s="172"/>
      <c r="F27" s="182"/>
      <c r="G27" s="1"/>
      <c r="H27" s="172"/>
      <c r="K27" s="45">
        <f t="shared" si="11"/>
        <v>0</v>
      </c>
      <c r="M27" s="45">
        <v>0</v>
      </c>
      <c r="T27" s="198"/>
      <c r="U27" s="45">
        <f t="shared" si="12"/>
        <v>0</v>
      </c>
      <c r="V27" s="45">
        <f t="shared" si="13"/>
        <v>0</v>
      </c>
      <c r="W27" s="45">
        <f t="shared" si="14"/>
        <v>0</v>
      </c>
    </row>
    <row r="28" spans="2:23" x14ac:dyDescent="0.2">
      <c r="B28" s="181"/>
      <c r="C28" s="172"/>
      <c r="D28" s="229"/>
      <c r="E28" s="229"/>
      <c r="F28" s="230"/>
      <c r="G28" s="231"/>
      <c r="H28" s="232"/>
      <c r="J28" s="233"/>
      <c r="K28" s="45">
        <f t="shared" si="11"/>
        <v>0</v>
      </c>
      <c r="M28" s="45">
        <v>0</v>
      </c>
      <c r="T28" s="198"/>
      <c r="U28" s="45">
        <f t="shared" si="12"/>
        <v>0</v>
      </c>
      <c r="V28" s="45">
        <f t="shared" si="13"/>
        <v>0</v>
      </c>
      <c r="W28" s="45">
        <f t="shared" si="14"/>
        <v>0</v>
      </c>
    </row>
    <row r="29" spans="2:23" x14ac:dyDescent="0.2">
      <c r="B29" s="181"/>
      <c r="C29" s="172"/>
      <c r="D29" s="232"/>
      <c r="E29" s="232"/>
      <c r="F29" s="230"/>
      <c r="G29" s="231"/>
      <c r="H29" s="232"/>
      <c r="J29" s="233"/>
      <c r="K29" s="45">
        <f t="shared" si="11"/>
        <v>0</v>
      </c>
      <c r="M29" s="45">
        <v>0</v>
      </c>
      <c r="T29" s="198"/>
      <c r="U29" s="45">
        <f t="shared" si="12"/>
        <v>0</v>
      </c>
      <c r="V29" s="45">
        <f t="shared" si="13"/>
        <v>0</v>
      </c>
      <c r="W29" s="45">
        <f t="shared" si="14"/>
        <v>0</v>
      </c>
    </row>
    <row r="30" spans="2:23" x14ac:dyDescent="0.2">
      <c r="B30" s="181"/>
      <c r="C30" s="172"/>
      <c r="D30" s="232"/>
      <c r="E30" s="232"/>
      <c r="F30" s="233"/>
      <c r="G30" s="234"/>
      <c r="H30" s="232"/>
      <c r="J30" s="233"/>
      <c r="K30" s="45">
        <f t="shared" si="11"/>
        <v>0</v>
      </c>
      <c r="M30" s="45">
        <v>0</v>
      </c>
      <c r="T30" s="198"/>
      <c r="U30" s="45">
        <f t="shared" si="12"/>
        <v>0</v>
      </c>
      <c r="V30" s="45">
        <f t="shared" si="13"/>
        <v>0</v>
      </c>
      <c r="W30" s="45">
        <f t="shared" si="14"/>
        <v>0</v>
      </c>
    </row>
    <row r="31" spans="2:23" x14ac:dyDescent="0.2">
      <c r="B31" s="181"/>
      <c r="C31" s="172"/>
      <c r="D31" s="233"/>
      <c r="E31" s="232"/>
      <c r="F31" s="233"/>
      <c r="G31" s="235"/>
      <c r="H31" s="232"/>
      <c r="J31" s="233"/>
      <c r="K31" s="45">
        <f t="shared" si="11"/>
        <v>0</v>
      </c>
      <c r="M31" s="45">
        <v>0</v>
      </c>
      <c r="T31" s="198"/>
      <c r="U31" s="45">
        <f t="shared" si="12"/>
        <v>0</v>
      </c>
      <c r="V31" s="45">
        <f t="shared" si="13"/>
        <v>0</v>
      </c>
      <c r="W31" s="45">
        <f t="shared" si="14"/>
        <v>0</v>
      </c>
    </row>
    <row r="32" spans="2:23" x14ac:dyDescent="0.2">
      <c r="B32" s="181"/>
      <c r="D32" s="233"/>
      <c r="E32" s="229"/>
      <c r="F32" s="233"/>
      <c r="G32" s="235"/>
      <c r="H32" s="229"/>
      <c r="J32" s="233"/>
      <c r="K32" s="45">
        <f t="shared" si="11"/>
        <v>0</v>
      </c>
      <c r="M32" s="45">
        <v>0</v>
      </c>
      <c r="T32" s="198"/>
      <c r="U32" s="45">
        <f t="shared" si="12"/>
        <v>0</v>
      </c>
      <c r="V32" s="45">
        <f t="shared" si="13"/>
        <v>0</v>
      </c>
      <c r="W32" s="45">
        <f t="shared" si="14"/>
        <v>0</v>
      </c>
    </row>
    <row r="33" spans="2:23" x14ac:dyDescent="0.2">
      <c r="B33" s="181"/>
      <c r="D33" s="233"/>
      <c r="E33" s="232"/>
      <c r="F33" s="233"/>
      <c r="G33" s="235"/>
      <c r="H33" s="232"/>
      <c r="J33" s="233"/>
      <c r="K33" s="45">
        <f t="shared" si="11"/>
        <v>0</v>
      </c>
      <c r="M33" s="45">
        <v>0</v>
      </c>
      <c r="T33" s="198"/>
      <c r="U33" s="45">
        <f t="shared" si="12"/>
        <v>0</v>
      </c>
      <c r="V33" s="45">
        <f t="shared" si="13"/>
        <v>0</v>
      </c>
      <c r="W33" s="45">
        <f t="shared" si="14"/>
        <v>0</v>
      </c>
    </row>
    <row r="34" spans="2:23" x14ac:dyDescent="0.2">
      <c r="B34" s="181"/>
      <c r="D34" s="233"/>
      <c r="E34" s="232"/>
      <c r="F34" s="233"/>
      <c r="G34" s="235"/>
      <c r="H34" s="232"/>
      <c r="I34" s="233"/>
      <c r="J34" s="233"/>
      <c r="K34" s="45">
        <f t="shared" si="11"/>
        <v>0</v>
      </c>
      <c r="M34" s="45">
        <v>0</v>
      </c>
      <c r="T34" s="198"/>
      <c r="U34" s="45">
        <f t="shared" si="12"/>
        <v>0</v>
      </c>
      <c r="V34" s="45">
        <f t="shared" si="13"/>
        <v>0</v>
      </c>
      <c r="W34" s="45">
        <f t="shared" si="14"/>
        <v>0</v>
      </c>
    </row>
    <row r="35" spans="2:23" x14ac:dyDescent="0.2">
      <c r="B35" s="181"/>
      <c r="C35" s="232"/>
      <c r="D35" s="233"/>
      <c r="E35" s="236"/>
      <c r="F35" s="233"/>
      <c r="G35" s="234"/>
      <c r="H35" s="232"/>
      <c r="I35" s="233"/>
      <c r="J35" s="233"/>
      <c r="K35" s="45">
        <f t="shared" si="11"/>
        <v>0</v>
      </c>
      <c r="M35" s="45">
        <v>0</v>
      </c>
      <c r="T35" s="198"/>
      <c r="U35" s="45">
        <f t="shared" si="12"/>
        <v>0</v>
      </c>
      <c r="V35" s="45">
        <f t="shared" si="13"/>
        <v>0</v>
      </c>
      <c r="W35" s="45">
        <f t="shared" si="14"/>
        <v>0</v>
      </c>
    </row>
    <row r="36" spans="2:23" x14ac:dyDescent="0.2">
      <c r="B36" s="181"/>
      <c r="C36" s="232"/>
      <c r="D36" s="233"/>
      <c r="E36" s="232"/>
      <c r="F36" s="233"/>
      <c r="G36" s="235"/>
      <c r="H36" s="232"/>
      <c r="I36" s="233"/>
      <c r="J36" s="233"/>
      <c r="K36" s="45">
        <f t="shared" si="11"/>
        <v>0</v>
      </c>
      <c r="M36" s="45">
        <v>0</v>
      </c>
      <c r="T36" s="198"/>
      <c r="U36" s="45">
        <f t="shared" si="12"/>
        <v>0</v>
      </c>
      <c r="V36" s="45">
        <f t="shared" si="13"/>
        <v>0</v>
      </c>
      <c r="W36" s="45">
        <f t="shared" si="14"/>
        <v>0</v>
      </c>
    </row>
    <row r="37" spans="2:23" x14ac:dyDescent="0.2">
      <c r="B37" s="181"/>
      <c r="C37" s="232"/>
      <c r="D37" s="233"/>
      <c r="E37" s="236"/>
      <c r="F37" s="233"/>
      <c r="G37" s="234"/>
      <c r="H37" s="232"/>
      <c r="I37" s="233"/>
      <c r="J37" s="233"/>
      <c r="K37" s="45">
        <f t="shared" si="11"/>
        <v>0</v>
      </c>
      <c r="M37" s="45">
        <v>0</v>
      </c>
      <c r="T37" s="198"/>
      <c r="U37" s="45">
        <f t="shared" si="12"/>
        <v>0</v>
      </c>
      <c r="V37" s="45">
        <f t="shared" si="13"/>
        <v>0</v>
      </c>
      <c r="W37" s="45">
        <f t="shared" si="14"/>
        <v>0</v>
      </c>
    </row>
    <row r="38" spans="2:23" x14ac:dyDescent="0.2">
      <c r="B38" s="181"/>
      <c r="C38" s="232"/>
      <c r="D38" s="233"/>
      <c r="E38" s="232"/>
      <c r="F38" s="233"/>
      <c r="G38" s="235"/>
      <c r="H38" s="232"/>
      <c r="I38" s="233"/>
      <c r="J38" s="233"/>
      <c r="K38" s="45">
        <f t="shared" si="11"/>
        <v>0</v>
      </c>
      <c r="M38" s="45">
        <v>0</v>
      </c>
      <c r="T38" s="198"/>
      <c r="U38" s="45">
        <f t="shared" si="12"/>
        <v>0</v>
      </c>
      <c r="V38" s="45">
        <f t="shared" si="13"/>
        <v>0</v>
      </c>
      <c r="W38" s="45">
        <f t="shared" si="14"/>
        <v>0</v>
      </c>
    </row>
    <row r="39" spans="2:23" x14ac:dyDescent="0.2">
      <c r="B39" s="181"/>
      <c r="C39" s="232"/>
      <c r="D39" s="233"/>
      <c r="E39" s="236"/>
      <c r="F39" s="233"/>
      <c r="G39" s="234"/>
      <c r="H39" s="232"/>
      <c r="I39" s="233"/>
      <c r="J39" s="233"/>
      <c r="K39" s="45">
        <f t="shared" si="11"/>
        <v>0</v>
      </c>
      <c r="M39" s="45">
        <v>0</v>
      </c>
      <c r="T39" s="198"/>
      <c r="U39" s="45">
        <f t="shared" si="12"/>
        <v>0</v>
      </c>
      <c r="V39" s="45">
        <f t="shared" si="13"/>
        <v>0</v>
      </c>
      <c r="W39" s="45">
        <f t="shared" si="14"/>
        <v>0</v>
      </c>
    </row>
    <row r="40" spans="2:23" x14ac:dyDescent="0.2">
      <c r="B40" s="181"/>
      <c r="C40" s="232"/>
      <c r="D40" s="233"/>
      <c r="E40" s="232"/>
      <c r="F40" s="233"/>
      <c r="G40" s="235"/>
      <c r="H40" s="232"/>
      <c r="I40" s="233"/>
      <c r="J40" s="233"/>
      <c r="K40" s="45">
        <f t="shared" si="11"/>
        <v>0</v>
      </c>
      <c r="M40" s="45">
        <v>0</v>
      </c>
      <c r="T40" s="198"/>
      <c r="U40" s="45">
        <f t="shared" si="12"/>
        <v>0</v>
      </c>
      <c r="V40" s="45">
        <f t="shared" si="13"/>
        <v>0</v>
      </c>
      <c r="W40" s="45">
        <f t="shared" si="14"/>
        <v>0</v>
      </c>
    </row>
    <row r="41" spans="2:23" x14ac:dyDescent="0.2">
      <c r="B41" s="181"/>
      <c r="C41" s="232"/>
      <c r="D41" s="233"/>
      <c r="E41" s="236"/>
      <c r="F41" s="233"/>
      <c r="G41" s="234"/>
      <c r="H41" s="232"/>
      <c r="I41" s="233"/>
      <c r="J41" s="233"/>
      <c r="K41" s="45">
        <f t="shared" si="11"/>
        <v>0</v>
      </c>
      <c r="M41" s="45">
        <v>0</v>
      </c>
      <c r="T41" s="198"/>
      <c r="U41" s="45">
        <f t="shared" si="12"/>
        <v>0</v>
      </c>
      <c r="V41" s="45">
        <f t="shared" si="13"/>
        <v>0</v>
      </c>
      <c r="W41" s="45">
        <f t="shared" si="14"/>
        <v>0</v>
      </c>
    </row>
    <row r="42" spans="2:23" x14ac:dyDescent="0.2">
      <c r="B42" s="181"/>
      <c r="C42" s="232"/>
      <c r="D42" s="233"/>
      <c r="E42" s="232"/>
      <c r="F42" s="233"/>
      <c r="G42" s="234"/>
      <c r="H42" s="232"/>
      <c r="I42" s="233"/>
      <c r="J42" s="233"/>
      <c r="K42" s="45">
        <f t="shared" si="11"/>
        <v>0</v>
      </c>
      <c r="M42" s="45">
        <v>0</v>
      </c>
      <c r="T42" s="198"/>
      <c r="U42" s="45">
        <f t="shared" si="12"/>
        <v>0</v>
      </c>
      <c r="V42" s="45">
        <f t="shared" si="13"/>
        <v>0</v>
      </c>
      <c r="W42" s="45">
        <f t="shared" si="14"/>
        <v>0</v>
      </c>
    </row>
    <row r="43" spans="2:23" x14ac:dyDescent="0.2">
      <c r="B43" s="181"/>
      <c r="C43" s="232"/>
      <c r="D43" s="233"/>
      <c r="E43" s="236"/>
      <c r="F43" s="233"/>
      <c r="G43" s="234"/>
      <c r="H43" s="232"/>
      <c r="I43" s="233"/>
      <c r="J43" s="233"/>
      <c r="K43" s="45">
        <f t="shared" si="11"/>
        <v>0</v>
      </c>
      <c r="M43" s="45">
        <v>0</v>
      </c>
      <c r="T43" s="198"/>
      <c r="U43" s="45">
        <f t="shared" si="12"/>
        <v>0</v>
      </c>
      <c r="V43" s="45">
        <f t="shared" si="13"/>
        <v>0</v>
      </c>
      <c r="W43" s="45">
        <f t="shared" si="14"/>
        <v>0</v>
      </c>
    </row>
    <row r="44" spans="2:23" x14ac:dyDescent="0.2">
      <c r="B44" s="181"/>
      <c r="C44" s="232"/>
      <c r="D44" s="233"/>
      <c r="E44" s="232"/>
      <c r="F44" s="233"/>
      <c r="G44" s="234"/>
      <c r="H44" s="232"/>
      <c r="I44" s="233"/>
      <c r="J44" s="233"/>
      <c r="K44" s="45">
        <f t="shared" si="11"/>
        <v>0</v>
      </c>
      <c r="M44" s="45">
        <v>0</v>
      </c>
      <c r="T44" s="198"/>
      <c r="U44" s="45">
        <f t="shared" si="12"/>
        <v>0</v>
      </c>
      <c r="V44" s="45">
        <f t="shared" si="13"/>
        <v>0</v>
      </c>
      <c r="W44" s="45">
        <f t="shared" si="14"/>
        <v>0</v>
      </c>
    </row>
    <row r="45" spans="2:23" x14ac:dyDescent="0.2">
      <c r="B45" s="181"/>
      <c r="C45" s="232"/>
      <c r="D45" s="233"/>
      <c r="E45" s="236"/>
      <c r="F45" s="233"/>
      <c r="G45" s="234"/>
      <c r="H45" s="232"/>
      <c r="I45" s="233"/>
      <c r="J45" s="233"/>
      <c r="K45" s="45">
        <f t="shared" si="11"/>
        <v>0</v>
      </c>
      <c r="M45" s="45">
        <v>0</v>
      </c>
      <c r="T45" s="198"/>
      <c r="U45" s="45">
        <f t="shared" si="12"/>
        <v>0</v>
      </c>
      <c r="V45" s="45">
        <f t="shared" si="13"/>
        <v>0</v>
      </c>
      <c r="W45" s="45">
        <f t="shared" si="14"/>
        <v>0</v>
      </c>
    </row>
    <row r="46" spans="2:23" x14ac:dyDescent="0.2">
      <c r="B46" s="181"/>
      <c r="C46" s="232"/>
      <c r="D46" s="233"/>
      <c r="E46" s="232"/>
      <c r="F46" s="233"/>
      <c r="G46" s="234"/>
      <c r="H46" s="232"/>
      <c r="I46" s="233"/>
      <c r="J46" s="233"/>
      <c r="K46" s="45">
        <f t="shared" si="11"/>
        <v>0</v>
      </c>
      <c r="M46" s="45">
        <v>0</v>
      </c>
      <c r="T46" s="198"/>
      <c r="U46" s="45">
        <f t="shared" si="12"/>
        <v>0</v>
      </c>
      <c r="V46" s="45">
        <f t="shared" si="13"/>
        <v>0</v>
      </c>
      <c r="W46" s="45">
        <f t="shared" si="14"/>
        <v>0</v>
      </c>
    </row>
    <row r="47" spans="2:23" x14ac:dyDescent="0.2">
      <c r="B47" s="181"/>
      <c r="C47" s="232"/>
      <c r="D47" s="233"/>
      <c r="E47" s="236"/>
      <c r="F47" s="233"/>
      <c r="G47" s="234"/>
      <c r="H47" s="232"/>
      <c r="I47" s="233"/>
      <c r="J47" s="233"/>
      <c r="K47" s="45">
        <f t="shared" si="11"/>
        <v>0</v>
      </c>
      <c r="M47" s="45">
        <v>0</v>
      </c>
      <c r="T47" s="198"/>
      <c r="U47" s="45">
        <f t="shared" si="12"/>
        <v>0</v>
      </c>
      <c r="V47" s="45">
        <f t="shared" si="13"/>
        <v>0</v>
      </c>
      <c r="W47" s="45">
        <f t="shared" si="14"/>
        <v>0</v>
      </c>
    </row>
    <row r="48" spans="2:23" x14ac:dyDescent="0.2">
      <c r="B48" s="181"/>
      <c r="C48" s="232"/>
      <c r="D48" s="233"/>
      <c r="E48" s="232"/>
      <c r="F48" s="233"/>
      <c r="G48" s="234"/>
      <c r="H48" s="232"/>
      <c r="I48" s="233"/>
      <c r="J48" s="233"/>
      <c r="K48" s="45">
        <f t="shared" si="11"/>
        <v>0</v>
      </c>
      <c r="M48" s="45">
        <v>0</v>
      </c>
      <c r="T48" s="198"/>
      <c r="U48" s="45">
        <f t="shared" si="12"/>
        <v>0</v>
      </c>
      <c r="V48" s="45">
        <f t="shared" si="13"/>
        <v>0</v>
      </c>
      <c r="W48" s="45">
        <f t="shared" si="14"/>
        <v>0</v>
      </c>
    </row>
    <row r="49" spans="2:23" x14ac:dyDescent="0.2">
      <c r="B49" s="181"/>
      <c r="C49" s="232"/>
      <c r="D49" s="233"/>
      <c r="E49" s="236"/>
      <c r="F49" s="233"/>
      <c r="G49" s="234"/>
      <c r="H49" s="232"/>
      <c r="I49" s="233"/>
      <c r="J49" s="233"/>
      <c r="K49" s="45">
        <f t="shared" si="11"/>
        <v>0</v>
      </c>
      <c r="M49" s="45">
        <v>0</v>
      </c>
      <c r="T49" s="198"/>
      <c r="U49" s="45">
        <f t="shared" si="12"/>
        <v>0</v>
      </c>
      <c r="V49" s="45">
        <f t="shared" si="13"/>
        <v>0</v>
      </c>
      <c r="W49" s="45">
        <f t="shared" si="14"/>
        <v>0</v>
      </c>
    </row>
    <row r="50" spans="2:23" x14ac:dyDescent="0.2">
      <c r="B50" s="181"/>
      <c r="C50" s="232"/>
      <c r="D50" s="233"/>
      <c r="E50" s="232"/>
      <c r="F50" s="233"/>
      <c r="G50" s="234"/>
      <c r="H50" s="232"/>
      <c r="I50" s="233"/>
      <c r="J50" s="233"/>
      <c r="K50" s="45">
        <f t="shared" si="11"/>
        <v>0</v>
      </c>
      <c r="M50" s="45">
        <v>0</v>
      </c>
      <c r="T50" s="198"/>
      <c r="U50" s="45">
        <f t="shared" si="12"/>
        <v>0</v>
      </c>
      <c r="V50" s="45">
        <f t="shared" si="13"/>
        <v>0</v>
      </c>
      <c r="W50" s="45">
        <f t="shared" si="14"/>
        <v>0</v>
      </c>
    </row>
    <row r="51" spans="2:23" x14ac:dyDescent="0.2">
      <c r="B51" s="181"/>
      <c r="C51" s="232"/>
      <c r="D51" s="233"/>
      <c r="E51" s="236"/>
      <c r="F51" s="233"/>
      <c r="G51" s="234"/>
      <c r="H51" s="232"/>
      <c r="I51" s="233"/>
      <c r="J51" s="233"/>
      <c r="K51" s="45">
        <f t="shared" si="11"/>
        <v>0</v>
      </c>
      <c r="M51" s="45">
        <v>0</v>
      </c>
      <c r="T51" s="198"/>
      <c r="U51" s="45">
        <f t="shared" si="12"/>
        <v>0</v>
      </c>
      <c r="V51" s="45">
        <f t="shared" si="13"/>
        <v>0</v>
      </c>
      <c r="W51" s="45">
        <f t="shared" si="14"/>
        <v>0</v>
      </c>
    </row>
    <row r="52" spans="2:23" x14ac:dyDescent="0.2">
      <c r="B52" s="181"/>
      <c r="C52" s="232"/>
      <c r="D52" s="233"/>
      <c r="E52" s="232"/>
      <c r="F52" s="233"/>
      <c r="G52" s="234"/>
      <c r="H52" s="232"/>
      <c r="I52" s="233"/>
      <c r="J52" s="233"/>
      <c r="K52" s="45">
        <f t="shared" si="11"/>
        <v>0</v>
      </c>
      <c r="M52" s="45">
        <v>0</v>
      </c>
      <c r="T52" s="198"/>
      <c r="U52" s="45">
        <f t="shared" si="12"/>
        <v>0</v>
      </c>
      <c r="V52" s="45">
        <f t="shared" si="13"/>
        <v>0</v>
      </c>
      <c r="W52" s="45">
        <f t="shared" si="14"/>
        <v>0</v>
      </c>
    </row>
    <row r="53" spans="2:23" x14ac:dyDescent="0.2">
      <c r="B53" s="181"/>
      <c r="C53" s="232"/>
      <c r="D53" s="233"/>
      <c r="E53" s="236"/>
      <c r="F53" s="233"/>
      <c r="G53" s="234"/>
      <c r="H53" s="232"/>
      <c r="I53" s="233"/>
      <c r="J53" s="233"/>
      <c r="K53" s="45">
        <f t="shared" si="11"/>
        <v>0</v>
      </c>
      <c r="M53" s="45">
        <v>0</v>
      </c>
      <c r="T53" s="198"/>
      <c r="U53" s="45">
        <f t="shared" si="12"/>
        <v>0</v>
      </c>
      <c r="V53" s="45">
        <f t="shared" si="13"/>
        <v>0</v>
      </c>
      <c r="W53" s="45">
        <f t="shared" si="14"/>
        <v>0</v>
      </c>
    </row>
    <row r="54" spans="2:23" x14ac:dyDescent="0.2">
      <c r="B54" s="181"/>
      <c r="C54" s="232"/>
      <c r="D54" s="233"/>
      <c r="E54" s="232"/>
      <c r="F54" s="233"/>
      <c r="G54" s="234"/>
      <c r="H54" s="232"/>
      <c r="I54" s="233"/>
      <c r="J54" s="233"/>
      <c r="K54" s="45">
        <f t="shared" si="11"/>
        <v>0</v>
      </c>
      <c r="M54" s="45">
        <v>0</v>
      </c>
      <c r="T54" s="198"/>
      <c r="U54" s="45">
        <f t="shared" si="12"/>
        <v>0</v>
      </c>
      <c r="V54" s="45">
        <f t="shared" si="13"/>
        <v>0</v>
      </c>
      <c r="W54" s="45">
        <f t="shared" si="14"/>
        <v>0</v>
      </c>
    </row>
    <row r="55" spans="2:23" x14ac:dyDescent="0.2">
      <c r="B55" s="181"/>
      <c r="C55" s="232"/>
      <c r="D55" s="233"/>
      <c r="E55" s="236"/>
      <c r="F55" s="233"/>
      <c r="G55" s="234"/>
      <c r="H55" s="232"/>
      <c r="I55" s="233"/>
      <c r="J55" s="233"/>
      <c r="K55" s="45">
        <f t="shared" si="11"/>
        <v>0</v>
      </c>
      <c r="M55" s="45">
        <v>0</v>
      </c>
      <c r="T55" s="198"/>
      <c r="U55" s="45">
        <f t="shared" ref="U55:U65" si="15">I55+L55-N55</f>
        <v>0</v>
      </c>
      <c r="V55" s="45">
        <f t="shared" ref="V55:V65" si="16">J55+T55-O55</f>
        <v>0</v>
      </c>
      <c r="W55" s="45">
        <f t="shared" si="14"/>
        <v>0</v>
      </c>
    </row>
    <row r="56" spans="2:23" x14ac:dyDescent="0.2">
      <c r="B56" s="93"/>
      <c r="C56" s="172"/>
      <c r="D56" s="172"/>
      <c r="E56" s="172"/>
      <c r="F56" s="173"/>
      <c r="G56" s="1"/>
      <c r="H56" s="172"/>
      <c r="K56" s="45">
        <f t="shared" si="11"/>
        <v>0</v>
      </c>
      <c r="T56" s="198"/>
      <c r="U56" s="45">
        <f t="shared" si="15"/>
        <v>0</v>
      </c>
      <c r="V56" s="45">
        <f t="shared" si="16"/>
        <v>0</v>
      </c>
      <c r="W56" s="45">
        <f t="shared" si="14"/>
        <v>0</v>
      </c>
    </row>
    <row r="57" spans="2:23" ht="15" x14ac:dyDescent="0.35">
      <c r="B57" s="93"/>
      <c r="C57" s="174" t="s">
        <v>598</v>
      </c>
      <c r="D57" s="174"/>
      <c r="E57" s="172"/>
      <c r="F57" s="173"/>
      <c r="G57" s="1"/>
      <c r="H57" s="172"/>
      <c r="K57" s="45">
        <f t="shared" si="11"/>
        <v>0</v>
      </c>
      <c r="T57" s="198"/>
      <c r="U57" s="45">
        <f t="shared" si="15"/>
        <v>0</v>
      </c>
      <c r="V57" s="45">
        <f t="shared" si="16"/>
        <v>0</v>
      </c>
      <c r="W57" s="45">
        <f t="shared" si="14"/>
        <v>0</v>
      </c>
    </row>
    <row r="58" spans="2:23" ht="15" x14ac:dyDescent="0.35">
      <c r="B58" s="93"/>
      <c r="C58" s="174"/>
      <c r="D58" s="174"/>
      <c r="E58" s="172"/>
      <c r="F58" s="173"/>
      <c r="G58" s="1"/>
      <c r="H58" s="172"/>
      <c r="K58" s="45">
        <f t="shared" si="11"/>
        <v>0</v>
      </c>
      <c r="T58" s="198"/>
      <c r="U58" s="45">
        <f t="shared" si="15"/>
        <v>0</v>
      </c>
      <c r="V58" s="45">
        <f t="shared" si="16"/>
        <v>0</v>
      </c>
      <c r="W58" s="45">
        <f t="shared" si="14"/>
        <v>0</v>
      </c>
    </row>
    <row r="59" spans="2:23" x14ac:dyDescent="0.2">
      <c r="B59" s="181"/>
      <c r="C59" s="232"/>
      <c r="D59" s="232"/>
      <c r="E59" s="232"/>
      <c r="F59" s="233"/>
      <c r="G59" s="181"/>
      <c r="H59" s="232"/>
      <c r="I59" s="240"/>
      <c r="J59" s="233"/>
      <c r="K59" s="45">
        <f t="shared" si="11"/>
        <v>0</v>
      </c>
      <c r="T59" s="198"/>
      <c r="U59" s="45">
        <f t="shared" si="15"/>
        <v>0</v>
      </c>
      <c r="V59" s="45">
        <f t="shared" si="16"/>
        <v>0</v>
      </c>
      <c r="W59" s="45">
        <f t="shared" si="14"/>
        <v>0</v>
      </c>
    </row>
    <row r="60" spans="2:23" x14ac:dyDescent="0.2">
      <c r="B60" s="181"/>
      <c r="C60" s="232"/>
      <c r="D60" s="232"/>
      <c r="E60" s="232"/>
      <c r="F60" s="233"/>
      <c r="G60" s="230"/>
      <c r="H60" s="241"/>
      <c r="I60" s="240"/>
      <c r="J60" s="233"/>
      <c r="K60" s="45">
        <f t="shared" si="11"/>
        <v>0</v>
      </c>
      <c r="T60" s="198"/>
      <c r="U60" s="45">
        <f t="shared" si="15"/>
        <v>0</v>
      </c>
      <c r="V60" s="45">
        <f t="shared" si="16"/>
        <v>0</v>
      </c>
      <c r="W60" s="45">
        <f t="shared" si="14"/>
        <v>0</v>
      </c>
    </row>
    <row r="61" spans="2:23" x14ac:dyDescent="0.2">
      <c r="B61" s="181"/>
      <c r="C61" s="232"/>
      <c r="D61" s="232"/>
      <c r="E61" s="232"/>
      <c r="F61" s="233"/>
      <c r="G61" s="181"/>
      <c r="H61" s="241"/>
      <c r="I61" s="240"/>
      <c r="J61" s="233"/>
      <c r="K61" s="45">
        <f t="shared" si="11"/>
        <v>0</v>
      </c>
      <c r="T61" s="198"/>
      <c r="U61" s="45">
        <f t="shared" si="15"/>
        <v>0</v>
      </c>
      <c r="V61" s="45">
        <f t="shared" si="16"/>
        <v>0</v>
      </c>
      <c r="W61" s="45">
        <f t="shared" si="14"/>
        <v>0</v>
      </c>
    </row>
    <row r="62" spans="2:23" x14ac:dyDescent="0.2">
      <c r="B62" s="181"/>
      <c r="C62" s="232"/>
      <c r="D62" s="232"/>
      <c r="E62" s="232"/>
      <c r="F62" s="233"/>
      <c r="G62" s="230"/>
      <c r="H62" s="241"/>
      <c r="I62" s="240"/>
      <c r="J62" s="233"/>
      <c r="K62" s="45">
        <f t="shared" si="11"/>
        <v>0</v>
      </c>
      <c r="T62" s="198"/>
      <c r="U62" s="45">
        <f t="shared" si="15"/>
        <v>0</v>
      </c>
      <c r="V62" s="45">
        <f t="shared" si="16"/>
        <v>0</v>
      </c>
      <c r="W62" s="45">
        <f t="shared" si="14"/>
        <v>0</v>
      </c>
    </row>
    <row r="63" spans="2:23" x14ac:dyDescent="0.2">
      <c r="B63" s="181"/>
      <c r="C63" s="232"/>
      <c r="D63" s="232"/>
      <c r="E63" s="232"/>
      <c r="F63" s="233"/>
      <c r="G63" s="181"/>
      <c r="H63" s="241"/>
      <c r="I63" s="240"/>
      <c r="J63" s="233"/>
      <c r="K63" s="45">
        <f t="shared" si="11"/>
        <v>0</v>
      </c>
      <c r="T63" s="198"/>
      <c r="U63" s="45">
        <f t="shared" si="15"/>
        <v>0</v>
      </c>
      <c r="V63" s="45">
        <f t="shared" si="16"/>
        <v>0</v>
      </c>
      <c r="W63" s="45">
        <f t="shared" si="14"/>
        <v>0</v>
      </c>
    </row>
    <row r="64" spans="2:23" x14ac:dyDescent="0.2">
      <c r="B64" s="181"/>
      <c r="C64" s="232"/>
      <c r="D64" s="232"/>
      <c r="E64" s="232"/>
      <c r="F64" s="233"/>
      <c r="G64" s="181"/>
      <c r="H64" s="241"/>
      <c r="I64" s="240"/>
      <c r="J64" s="233"/>
      <c r="K64" s="45">
        <f t="shared" si="11"/>
        <v>0</v>
      </c>
      <c r="T64" s="198"/>
      <c r="U64" s="45">
        <f t="shared" si="15"/>
        <v>0</v>
      </c>
      <c r="V64" s="45">
        <f t="shared" si="16"/>
        <v>0</v>
      </c>
      <c r="W64" s="45">
        <f t="shared" si="14"/>
        <v>0</v>
      </c>
    </row>
    <row r="65" spans="2:23" x14ac:dyDescent="0.2">
      <c r="B65" s="181"/>
      <c r="C65" s="232"/>
      <c r="D65" s="232"/>
      <c r="E65" s="232"/>
      <c r="F65" s="233"/>
      <c r="G65" s="181"/>
      <c r="H65" s="241"/>
      <c r="I65" s="240"/>
      <c r="J65" s="233"/>
      <c r="K65" s="45">
        <f t="shared" si="11"/>
        <v>0</v>
      </c>
      <c r="T65" s="198"/>
      <c r="U65" s="45">
        <f t="shared" si="15"/>
        <v>0</v>
      </c>
      <c r="V65" s="45">
        <f t="shared" si="16"/>
        <v>0</v>
      </c>
      <c r="W65" s="45">
        <f t="shared" si="14"/>
        <v>0</v>
      </c>
    </row>
    <row r="66" spans="2:23" x14ac:dyDescent="0.2">
      <c r="B66" s="181"/>
      <c r="C66" s="232"/>
      <c r="D66" s="232"/>
      <c r="E66" s="232"/>
      <c r="F66" s="233"/>
      <c r="G66" s="181"/>
      <c r="H66" s="241"/>
      <c r="I66" s="240"/>
      <c r="J66" s="233"/>
      <c r="K66" s="45">
        <f t="shared" ref="K66:K82" si="17">I66-J66</f>
        <v>0</v>
      </c>
      <c r="T66" s="198"/>
      <c r="U66" s="45">
        <f t="shared" ref="U66:U82" si="18">I66+L66-N66</f>
        <v>0</v>
      </c>
      <c r="V66" s="45">
        <f t="shared" ref="V66:V82" si="19">J66+T66-O66</f>
        <v>0</v>
      </c>
      <c r="W66" s="45">
        <f t="shared" si="14"/>
        <v>0</v>
      </c>
    </row>
    <row r="67" spans="2:23" x14ac:dyDescent="0.2">
      <c r="B67" s="181"/>
      <c r="C67" s="232"/>
      <c r="D67" s="232"/>
      <c r="E67" s="232"/>
      <c r="F67" s="233"/>
      <c r="G67" s="181"/>
      <c r="H67" s="241"/>
      <c r="I67" s="233"/>
      <c r="J67" s="233"/>
      <c r="K67" s="45">
        <f t="shared" si="17"/>
        <v>0</v>
      </c>
      <c r="T67" s="198"/>
      <c r="U67" s="45">
        <f t="shared" si="18"/>
        <v>0</v>
      </c>
      <c r="V67" s="45">
        <f t="shared" si="19"/>
        <v>0</v>
      </c>
      <c r="W67" s="45">
        <f t="shared" ref="W67:W82" si="20">U67-V67</f>
        <v>0</v>
      </c>
    </row>
    <row r="68" spans="2:23" x14ac:dyDescent="0.2">
      <c r="B68" s="181"/>
      <c r="C68" s="232"/>
      <c r="D68" s="232"/>
      <c r="E68" s="232"/>
      <c r="F68" s="233"/>
      <c r="G68" s="181"/>
      <c r="H68" s="241"/>
      <c r="I68" s="233"/>
      <c r="J68" s="233"/>
      <c r="K68" s="45">
        <f t="shared" si="17"/>
        <v>0</v>
      </c>
      <c r="T68" s="198"/>
      <c r="U68" s="45">
        <f t="shared" si="18"/>
        <v>0</v>
      </c>
      <c r="V68" s="45">
        <f t="shared" si="19"/>
        <v>0</v>
      </c>
      <c r="W68" s="45">
        <f t="shared" si="20"/>
        <v>0</v>
      </c>
    </row>
    <row r="69" spans="2:23" x14ac:dyDescent="0.2">
      <c r="B69" s="181"/>
      <c r="C69" s="232"/>
      <c r="D69" s="232"/>
      <c r="E69" s="232"/>
      <c r="F69" s="233"/>
      <c r="G69" s="181"/>
      <c r="H69" s="241"/>
      <c r="I69" s="233"/>
      <c r="J69" s="233"/>
      <c r="K69" s="45">
        <f t="shared" si="17"/>
        <v>0</v>
      </c>
      <c r="T69" s="198"/>
      <c r="U69" s="45">
        <f t="shared" si="18"/>
        <v>0</v>
      </c>
      <c r="V69" s="45">
        <f t="shared" si="19"/>
        <v>0</v>
      </c>
      <c r="W69" s="45">
        <f t="shared" si="20"/>
        <v>0</v>
      </c>
    </row>
    <row r="70" spans="2:23" x14ac:dyDescent="0.2">
      <c r="B70" s="181"/>
      <c r="C70" s="232"/>
      <c r="D70" s="232"/>
      <c r="E70" s="232"/>
      <c r="F70" s="233"/>
      <c r="G70" s="181"/>
      <c r="H70" s="241"/>
      <c r="I70" s="233"/>
      <c r="J70" s="233"/>
      <c r="K70" s="45">
        <f t="shared" si="17"/>
        <v>0</v>
      </c>
      <c r="T70" s="198"/>
      <c r="U70" s="45">
        <f t="shared" si="18"/>
        <v>0</v>
      </c>
      <c r="V70" s="45">
        <f t="shared" si="19"/>
        <v>0</v>
      </c>
      <c r="W70" s="45">
        <f t="shared" si="20"/>
        <v>0</v>
      </c>
    </row>
    <row r="71" spans="2:23" x14ac:dyDescent="0.2">
      <c r="B71" s="181"/>
      <c r="C71" s="232"/>
      <c r="D71" s="232"/>
      <c r="E71" s="232"/>
      <c r="F71" s="233"/>
      <c r="G71" s="181"/>
      <c r="H71" s="241"/>
      <c r="I71" s="233"/>
      <c r="J71" s="233"/>
      <c r="K71" s="45">
        <f t="shared" si="17"/>
        <v>0</v>
      </c>
      <c r="T71" s="198"/>
      <c r="U71" s="45">
        <f t="shared" si="18"/>
        <v>0</v>
      </c>
      <c r="V71" s="45">
        <f t="shared" si="19"/>
        <v>0</v>
      </c>
      <c r="W71" s="45">
        <f t="shared" si="20"/>
        <v>0</v>
      </c>
    </row>
    <row r="72" spans="2:23" x14ac:dyDescent="0.2">
      <c r="B72" s="181"/>
      <c r="C72" s="232"/>
      <c r="D72" s="232"/>
      <c r="E72" s="232"/>
      <c r="F72" s="233"/>
      <c r="G72" s="181"/>
      <c r="H72" s="241"/>
      <c r="I72" s="233"/>
      <c r="J72" s="233"/>
      <c r="K72" s="45">
        <f t="shared" si="17"/>
        <v>0</v>
      </c>
      <c r="T72" s="198"/>
      <c r="U72" s="45">
        <f t="shared" si="18"/>
        <v>0</v>
      </c>
      <c r="V72" s="45">
        <f t="shared" si="19"/>
        <v>0</v>
      </c>
      <c r="W72" s="45">
        <f t="shared" si="20"/>
        <v>0</v>
      </c>
    </row>
    <row r="73" spans="2:23" x14ac:dyDescent="0.2">
      <c r="B73" s="181"/>
      <c r="C73" s="232"/>
      <c r="D73" s="232"/>
      <c r="E73" s="232"/>
      <c r="F73" s="233"/>
      <c r="G73" s="181"/>
      <c r="H73" s="241"/>
      <c r="I73" s="233"/>
      <c r="J73" s="233"/>
      <c r="K73" s="45">
        <f t="shared" si="17"/>
        <v>0</v>
      </c>
      <c r="T73" s="198"/>
      <c r="U73" s="45">
        <f t="shared" si="18"/>
        <v>0</v>
      </c>
      <c r="V73" s="45">
        <f t="shared" si="19"/>
        <v>0</v>
      </c>
      <c r="W73" s="45">
        <f t="shared" si="20"/>
        <v>0</v>
      </c>
    </row>
    <row r="74" spans="2:23" x14ac:dyDescent="0.2">
      <c r="B74" s="181"/>
      <c r="C74" s="232"/>
      <c r="D74" s="232"/>
      <c r="E74" s="232"/>
      <c r="F74" s="233"/>
      <c r="G74" s="181"/>
      <c r="H74" s="241"/>
      <c r="I74" s="233"/>
      <c r="J74" s="233"/>
      <c r="K74" s="45">
        <f t="shared" si="17"/>
        <v>0</v>
      </c>
      <c r="T74" s="198"/>
      <c r="U74" s="45">
        <f t="shared" si="18"/>
        <v>0</v>
      </c>
      <c r="V74" s="45">
        <f t="shared" si="19"/>
        <v>0</v>
      </c>
      <c r="W74" s="45">
        <f t="shared" si="20"/>
        <v>0</v>
      </c>
    </row>
    <row r="75" spans="2:23" x14ac:dyDescent="0.2">
      <c r="B75" s="181"/>
      <c r="C75" s="232"/>
      <c r="D75" s="232"/>
      <c r="E75" s="232"/>
      <c r="F75" s="233"/>
      <c r="G75" s="181"/>
      <c r="H75" s="241"/>
      <c r="I75" s="233"/>
      <c r="J75" s="233"/>
      <c r="K75" s="45">
        <f t="shared" si="17"/>
        <v>0</v>
      </c>
      <c r="T75" s="198"/>
      <c r="U75" s="45">
        <f t="shared" si="18"/>
        <v>0</v>
      </c>
      <c r="V75" s="45">
        <f t="shared" si="19"/>
        <v>0</v>
      </c>
      <c r="W75" s="45">
        <f t="shared" si="20"/>
        <v>0</v>
      </c>
    </row>
    <row r="76" spans="2:23" x14ac:dyDescent="0.2">
      <c r="B76" s="181"/>
      <c r="C76" s="232"/>
      <c r="D76" s="232"/>
      <c r="E76" s="232"/>
      <c r="F76" s="233"/>
      <c r="G76" s="181"/>
      <c r="H76" s="241"/>
      <c r="I76" s="233"/>
      <c r="J76" s="233"/>
      <c r="K76" s="45">
        <f t="shared" si="17"/>
        <v>0</v>
      </c>
      <c r="T76" s="198"/>
      <c r="U76" s="45">
        <f t="shared" si="18"/>
        <v>0</v>
      </c>
      <c r="V76" s="45">
        <f t="shared" si="19"/>
        <v>0</v>
      </c>
      <c r="W76" s="45">
        <f t="shared" si="20"/>
        <v>0</v>
      </c>
    </row>
    <row r="77" spans="2:23" x14ac:dyDescent="0.2">
      <c r="B77" s="181"/>
      <c r="C77" s="232"/>
      <c r="D77" s="232"/>
      <c r="E77" s="232"/>
      <c r="F77" s="233"/>
      <c r="G77" s="181"/>
      <c r="H77" s="241"/>
      <c r="I77" s="233"/>
      <c r="J77" s="233"/>
      <c r="K77" s="45">
        <f t="shared" si="17"/>
        <v>0</v>
      </c>
      <c r="T77" s="198"/>
      <c r="U77" s="45">
        <f t="shared" si="18"/>
        <v>0</v>
      </c>
      <c r="V77" s="45">
        <f t="shared" si="19"/>
        <v>0</v>
      </c>
      <c r="W77" s="45">
        <f t="shared" si="20"/>
        <v>0</v>
      </c>
    </row>
    <row r="78" spans="2:23" x14ac:dyDescent="0.2">
      <c r="B78" s="181"/>
      <c r="C78" s="232"/>
      <c r="D78" s="232"/>
      <c r="E78" s="232"/>
      <c r="F78" s="233"/>
      <c r="G78" s="181"/>
      <c r="H78" s="241"/>
      <c r="I78" s="233"/>
      <c r="J78" s="233"/>
      <c r="K78" s="45">
        <f t="shared" si="17"/>
        <v>0</v>
      </c>
      <c r="T78" s="198"/>
      <c r="U78" s="45">
        <f t="shared" si="18"/>
        <v>0</v>
      </c>
      <c r="V78" s="45">
        <f t="shared" si="19"/>
        <v>0</v>
      </c>
      <c r="W78" s="45">
        <f t="shared" si="20"/>
        <v>0</v>
      </c>
    </row>
    <row r="79" spans="2:23" x14ac:dyDescent="0.2">
      <c r="B79" s="181"/>
      <c r="C79" s="232"/>
      <c r="D79" s="232"/>
      <c r="E79" s="232"/>
      <c r="F79" s="233"/>
      <c r="G79" s="181"/>
      <c r="H79" s="241"/>
      <c r="I79" s="233"/>
      <c r="J79" s="233"/>
      <c r="K79" s="45">
        <f t="shared" si="17"/>
        <v>0</v>
      </c>
      <c r="T79" s="198"/>
      <c r="U79" s="45">
        <f t="shared" si="18"/>
        <v>0</v>
      </c>
      <c r="V79" s="45">
        <f t="shared" si="19"/>
        <v>0</v>
      </c>
      <c r="W79" s="45">
        <f t="shared" si="20"/>
        <v>0</v>
      </c>
    </row>
    <row r="80" spans="2:23" x14ac:dyDescent="0.2">
      <c r="B80" s="181"/>
      <c r="C80" s="232"/>
      <c r="D80" s="232"/>
      <c r="E80" s="232"/>
      <c r="F80" s="233"/>
      <c r="G80" s="181"/>
      <c r="H80" s="241"/>
      <c r="I80" s="233"/>
      <c r="J80" s="233"/>
      <c r="K80" s="45">
        <f t="shared" si="17"/>
        <v>0</v>
      </c>
      <c r="T80" s="198"/>
      <c r="U80" s="45">
        <f t="shared" si="18"/>
        <v>0</v>
      </c>
      <c r="V80" s="45">
        <f t="shared" si="19"/>
        <v>0</v>
      </c>
      <c r="W80" s="45">
        <f t="shared" si="20"/>
        <v>0</v>
      </c>
    </row>
    <row r="81" spans="2:25" x14ac:dyDescent="0.2">
      <c r="B81" s="181"/>
      <c r="C81" s="232"/>
      <c r="D81" s="232"/>
      <c r="E81" s="232"/>
      <c r="F81" s="233"/>
      <c r="G81" s="181"/>
      <c r="H81" s="241"/>
      <c r="I81" s="233"/>
      <c r="J81" s="233"/>
      <c r="K81" s="45">
        <f t="shared" si="17"/>
        <v>0</v>
      </c>
      <c r="T81" s="198"/>
      <c r="U81" s="45">
        <f t="shared" si="18"/>
        <v>0</v>
      </c>
      <c r="V81" s="45">
        <f t="shared" si="19"/>
        <v>0</v>
      </c>
      <c r="W81" s="45">
        <f t="shared" si="20"/>
        <v>0</v>
      </c>
    </row>
    <row r="82" spans="2:25" x14ac:dyDescent="0.2">
      <c r="B82" s="181"/>
      <c r="C82" s="236"/>
      <c r="D82" s="232"/>
      <c r="E82" s="232"/>
      <c r="F82" s="233"/>
      <c r="G82" s="181"/>
      <c r="H82" s="241"/>
      <c r="I82" s="233"/>
      <c r="J82" s="233"/>
      <c r="K82" s="45">
        <f t="shared" si="17"/>
        <v>0</v>
      </c>
      <c r="T82" s="198"/>
      <c r="U82" s="45">
        <f t="shared" si="18"/>
        <v>0</v>
      </c>
      <c r="V82" s="45">
        <f t="shared" si="19"/>
        <v>0</v>
      </c>
      <c r="W82" s="45">
        <f t="shared" si="20"/>
        <v>0</v>
      </c>
    </row>
    <row r="84" spans="2:25" ht="13.5" thickBot="1" x14ac:dyDescent="0.25">
      <c r="C84" s="45" t="s">
        <v>418</v>
      </c>
      <c r="I84" s="53">
        <f>SUM(I22:I83)</f>
        <v>0</v>
      </c>
      <c r="J84" s="53">
        <f>SUM(J22:J83)</f>
        <v>0</v>
      </c>
      <c r="K84" s="53">
        <f>SUM(K22:K83)</f>
        <v>0</v>
      </c>
      <c r="L84" s="53">
        <f>SUM(L22:L83)</f>
        <v>0</v>
      </c>
      <c r="M84" s="53"/>
      <c r="N84" s="53">
        <f t="shared" ref="N84:W84" si="21">SUM(N22:N83)</f>
        <v>0</v>
      </c>
      <c r="O84" s="53">
        <f t="shared" si="21"/>
        <v>0</v>
      </c>
      <c r="P84" s="53">
        <f t="shared" si="21"/>
        <v>0</v>
      </c>
      <c r="Q84" s="53">
        <f t="shared" si="21"/>
        <v>0</v>
      </c>
      <c r="R84" s="53">
        <f t="shared" si="21"/>
        <v>0</v>
      </c>
      <c r="S84" s="53">
        <f t="shared" si="21"/>
        <v>0</v>
      </c>
      <c r="T84" s="53">
        <f t="shared" si="21"/>
        <v>0</v>
      </c>
      <c r="U84" s="53">
        <f t="shared" si="21"/>
        <v>0</v>
      </c>
      <c r="V84" s="53">
        <f t="shared" si="21"/>
        <v>0</v>
      </c>
      <c r="W84" s="53">
        <f t="shared" si="21"/>
        <v>0</v>
      </c>
    </row>
    <row r="85" spans="2:25" ht="13.5" thickTop="1" x14ac:dyDescent="0.2">
      <c r="G85" s="45" t="s">
        <v>880</v>
      </c>
      <c r="I85" s="289">
        <f>I84-FARegister!I60-FARegister!I149</f>
        <v>0</v>
      </c>
      <c r="J85" s="289"/>
      <c r="K85" s="289"/>
      <c r="L85" s="289">
        <f>L84-FARegister!L60-FARegister!L149</f>
        <v>0</v>
      </c>
      <c r="M85" s="289"/>
      <c r="N85" s="289">
        <f>N84-FARegister!Q60-FARegister!Q149</f>
        <v>0</v>
      </c>
      <c r="O85" s="289"/>
      <c r="P85" s="289">
        <f>P84-FARegister!S60-FARegister!S149</f>
        <v>0</v>
      </c>
      <c r="Q85" s="289"/>
      <c r="R85" s="289"/>
      <c r="S85" s="289"/>
      <c r="T85" s="289"/>
      <c r="U85" s="289">
        <f>U84-FARegister!AA60-FARegister!AA149</f>
        <v>0</v>
      </c>
      <c r="V85" s="289"/>
      <c r="W85" s="289"/>
    </row>
    <row r="86" spans="2:25" x14ac:dyDescent="0.2">
      <c r="B86" s="204" t="s">
        <v>208</v>
      </c>
      <c r="I86" s="277"/>
      <c r="J86" s="277"/>
    </row>
    <row r="87" spans="2:25" x14ac:dyDescent="0.2">
      <c r="B87" s="205"/>
      <c r="I87" s="22"/>
      <c r="J87" s="22"/>
      <c r="K87" s="22"/>
      <c r="L87" s="22"/>
      <c r="M87" s="22"/>
      <c r="N87" s="22"/>
      <c r="O87" s="22" t="s">
        <v>190</v>
      </c>
      <c r="P87" s="22"/>
      <c r="Q87" s="296" t="s">
        <v>868</v>
      </c>
      <c r="R87" s="297" t="s">
        <v>875</v>
      </c>
      <c r="S87" s="298" t="s">
        <v>869</v>
      </c>
      <c r="T87" s="22"/>
      <c r="U87" s="22"/>
      <c r="V87" s="22"/>
      <c r="W87" s="22"/>
    </row>
    <row r="88" spans="2:25" x14ac:dyDescent="0.2">
      <c r="B88" s="206" t="s">
        <v>28</v>
      </c>
      <c r="C88" s="70" t="s">
        <v>282</v>
      </c>
      <c r="D88" s="70"/>
      <c r="E88" s="110"/>
      <c r="F88" s="111"/>
      <c r="G88" s="110"/>
      <c r="H88" s="110"/>
      <c r="I88" s="24" t="s">
        <v>452</v>
      </c>
      <c r="J88" s="24" t="s">
        <v>878</v>
      </c>
      <c r="K88" s="24" t="s">
        <v>702</v>
      </c>
      <c r="L88" s="24" t="s">
        <v>334</v>
      </c>
      <c r="M88" s="24" t="s">
        <v>491</v>
      </c>
      <c r="N88" s="24" t="s">
        <v>704</v>
      </c>
      <c r="O88" s="24" t="s">
        <v>879</v>
      </c>
      <c r="P88" s="24" t="s">
        <v>867</v>
      </c>
      <c r="Q88" s="283" t="s">
        <v>870</v>
      </c>
      <c r="R88" s="24" t="s">
        <v>876</v>
      </c>
      <c r="S88" s="284" t="s">
        <v>871</v>
      </c>
      <c r="T88" s="24" t="s">
        <v>874</v>
      </c>
      <c r="U88" s="24" t="s">
        <v>452</v>
      </c>
      <c r="V88" s="24" t="s">
        <v>873</v>
      </c>
      <c r="W88" s="24" t="s">
        <v>702</v>
      </c>
      <c r="Y88" s="66"/>
    </row>
    <row r="90" spans="2:25" x14ac:dyDescent="0.2">
      <c r="B90" s="93"/>
      <c r="C90" s="290" t="s">
        <v>881</v>
      </c>
      <c r="D90" s="1"/>
      <c r="E90" s="1"/>
      <c r="F90" s="1"/>
      <c r="G90" s="1"/>
      <c r="H90" s="18"/>
      <c r="I90" s="291">
        <f>FARegister!I192</f>
        <v>0</v>
      </c>
      <c r="J90" s="291">
        <f>FARegister!J192</f>
        <v>0</v>
      </c>
      <c r="K90" s="290">
        <f>+I90-J90</f>
        <v>0</v>
      </c>
      <c r="L90" s="291">
        <f>FARegister!L192</f>
        <v>0</v>
      </c>
      <c r="M90" s="291">
        <v>12</v>
      </c>
      <c r="N90" s="291">
        <f>FARegister!Q192</f>
        <v>0</v>
      </c>
      <c r="O90" s="291">
        <f>FARegister!R192</f>
        <v>0</v>
      </c>
      <c r="P90" s="291">
        <f>FARegister!S192</f>
        <v>0</v>
      </c>
      <c r="Q90" s="291">
        <f>FARegister!V192</f>
        <v>0</v>
      </c>
      <c r="R90" s="291">
        <f>FARegister!W192</f>
        <v>0</v>
      </c>
      <c r="S90" s="291">
        <f>FARegister!X192</f>
        <v>0</v>
      </c>
      <c r="T90" s="291">
        <f>FARegister!Z192</f>
        <v>0</v>
      </c>
      <c r="U90" s="290">
        <f t="shared" ref="U90:U125" si="22">I90+L90-N90</f>
        <v>0</v>
      </c>
      <c r="V90" s="290">
        <f t="shared" ref="V90:V125" si="23">J90+T90-O90</f>
        <v>0</v>
      </c>
      <c r="W90" s="290">
        <f t="shared" ref="W90" si="24">+U90-V90</f>
        <v>0</v>
      </c>
    </row>
    <row r="91" spans="2:25" x14ac:dyDescent="0.2">
      <c r="B91" s="209"/>
      <c r="C91" s="199"/>
      <c r="D91" s="199"/>
      <c r="E91" s="199"/>
      <c r="F91" s="199"/>
      <c r="G91" s="199"/>
      <c r="H91" s="18"/>
      <c r="I91" s="104"/>
      <c r="K91" s="45">
        <f>+I91-J91</f>
        <v>0</v>
      </c>
      <c r="L91" s="104"/>
      <c r="M91" s="104">
        <v>12</v>
      </c>
      <c r="N91" s="104"/>
      <c r="O91" s="104"/>
      <c r="T91" s="198"/>
      <c r="U91" s="45">
        <f t="shared" si="22"/>
        <v>0</v>
      </c>
      <c r="V91" s="45">
        <f t="shared" si="23"/>
        <v>0</v>
      </c>
      <c r="W91" s="45">
        <f t="shared" ref="W91:W125" si="25">+U91-V91</f>
        <v>0</v>
      </c>
    </row>
    <row r="92" spans="2:25" x14ac:dyDescent="0.2">
      <c r="B92" s="209"/>
      <c r="C92" s="199"/>
      <c r="D92" s="199"/>
      <c r="E92" s="199"/>
      <c r="F92" s="199"/>
      <c r="G92" s="199"/>
      <c r="H92" s="18"/>
      <c r="I92" s="104"/>
      <c r="K92" s="45">
        <f>+I92-J92</f>
        <v>0</v>
      </c>
      <c r="L92" s="104"/>
      <c r="M92" s="104">
        <v>12</v>
      </c>
      <c r="N92" s="104"/>
      <c r="O92" s="104"/>
      <c r="T92" s="198"/>
      <c r="U92" s="45">
        <f t="shared" si="22"/>
        <v>0</v>
      </c>
      <c r="V92" s="45">
        <f t="shared" si="23"/>
        <v>0</v>
      </c>
      <c r="W92" s="45">
        <f t="shared" si="25"/>
        <v>0</v>
      </c>
    </row>
    <row r="93" spans="2:25" x14ac:dyDescent="0.2">
      <c r="B93" s="93"/>
      <c r="C93" s="1"/>
      <c r="D93" s="1"/>
      <c r="E93" s="1"/>
      <c r="F93" s="1"/>
      <c r="G93" s="1"/>
      <c r="K93" s="45">
        <f t="shared" ref="K93:K125" si="26">+I93-J93</f>
        <v>0</v>
      </c>
      <c r="M93" s="104">
        <v>12</v>
      </c>
      <c r="N93" s="104"/>
      <c r="O93" s="104"/>
      <c r="T93" s="198"/>
      <c r="U93" s="45">
        <f t="shared" si="22"/>
        <v>0</v>
      </c>
      <c r="V93" s="45">
        <f t="shared" si="23"/>
        <v>0</v>
      </c>
      <c r="W93" s="45">
        <f t="shared" si="25"/>
        <v>0</v>
      </c>
    </row>
    <row r="94" spans="2:25" x14ac:dyDescent="0.2">
      <c r="B94" s="58"/>
      <c r="C94" s="1"/>
      <c r="D94" s="1"/>
      <c r="E94" s="1"/>
      <c r="F94" s="1"/>
      <c r="G94" s="1"/>
      <c r="K94" s="45">
        <f t="shared" si="26"/>
        <v>0</v>
      </c>
      <c r="M94" s="104">
        <v>12</v>
      </c>
      <c r="N94" s="104"/>
      <c r="O94" s="104"/>
      <c r="T94" s="198"/>
      <c r="U94" s="45">
        <f t="shared" si="22"/>
        <v>0</v>
      </c>
      <c r="V94" s="45">
        <f t="shared" si="23"/>
        <v>0</v>
      </c>
      <c r="W94" s="45">
        <f t="shared" si="25"/>
        <v>0</v>
      </c>
    </row>
    <row r="95" spans="2:25" x14ac:dyDescent="0.2">
      <c r="B95" s="93"/>
      <c r="C95" s="1"/>
      <c r="D95" s="1"/>
      <c r="E95" s="1"/>
      <c r="F95" s="1"/>
      <c r="G95" s="1"/>
      <c r="K95" s="45">
        <f t="shared" si="26"/>
        <v>0</v>
      </c>
      <c r="M95" s="104">
        <v>12</v>
      </c>
      <c r="N95" s="104"/>
      <c r="O95" s="104"/>
      <c r="T95" s="198"/>
      <c r="U95" s="45">
        <f t="shared" si="22"/>
        <v>0</v>
      </c>
      <c r="V95" s="45">
        <f t="shared" si="23"/>
        <v>0</v>
      </c>
      <c r="W95" s="45">
        <f t="shared" si="25"/>
        <v>0</v>
      </c>
    </row>
    <row r="96" spans="2:25" x14ac:dyDescent="0.2">
      <c r="B96" s="93"/>
      <c r="C96" s="1"/>
      <c r="D96" s="1"/>
      <c r="E96" s="1"/>
      <c r="F96" s="1"/>
      <c r="G96" s="1"/>
      <c r="K96" s="45">
        <f t="shared" si="26"/>
        <v>0</v>
      </c>
      <c r="M96" s="104">
        <v>12</v>
      </c>
      <c r="N96" s="104"/>
      <c r="O96" s="104"/>
      <c r="T96" s="198"/>
      <c r="U96" s="45">
        <f t="shared" si="22"/>
        <v>0</v>
      </c>
      <c r="V96" s="45">
        <f t="shared" si="23"/>
        <v>0</v>
      </c>
      <c r="W96" s="45">
        <f t="shared" si="25"/>
        <v>0</v>
      </c>
    </row>
    <row r="97" spans="2:23" x14ac:dyDescent="0.2">
      <c r="B97" s="93"/>
      <c r="C97" s="1"/>
      <c r="D97" s="1"/>
      <c r="E97" s="1"/>
      <c r="F97" s="1"/>
      <c r="G97" s="1"/>
      <c r="K97" s="45">
        <f t="shared" si="26"/>
        <v>0</v>
      </c>
      <c r="M97" s="104">
        <v>12</v>
      </c>
      <c r="N97" s="104"/>
      <c r="O97" s="104"/>
      <c r="T97" s="198"/>
      <c r="U97" s="45">
        <f t="shared" si="22"/>
        <v>0</v>
      </c>
      <c r="V97" s="45">
        <f t="shared" si="23"/>
        <v>0</v>
      </c>
      <c r="W97" s="45">
        <f t="shared" si="25"/>
        <v>0</v>
      </c>
    </row>
    <row r="98" spans="2:23" x14ac:dyDescent="0.2">
      <c r="B98" s="207"/>
      <c r="K98" s="45">
        <f t="shared" si="26"/>
        <v>0</v>
      </c>
      <c r="M98" s="104">
        <v>12</v>
      </c>
      <c r="N98" s="104"/>
      <c r="O98" s="104"/>
      <c r="T98" s="198"/>
      <c r="U98" s="45">
        <f t="shared" si="22"/>
        <v>0</v>
      </c>
      <c r="V98" s="45">
        <f t="shared" si="23"/>
        <v>0</v>
      </c>
      <c r="W98" s="45">
        <f t="shared" si="25"/>
        <v>0</v>
      </c>
    </row>
    <row r="99" spans="2:23" x14ac:dyDescent="0.2">
      <c r="B99" s="207"/>
      <c r="K99" s="45">
        <f t="shared" si="26"/>
        <v>0</v>
      </c>
      <c r="M99" s="104">
        <v>12</v>
      </c>
      <c r="N99" s="104"/>
      <c r="O99" s="104"/>
      <c r="T99" s="198"/>
      <c r="U99" s="45">
        <f t="shared" si="22"/>
        <v>0</v>
      </c>
      <c r="V99" s="45">
        <f t="shared" si="23"/>
        <v>0</v>
      </c>
      <c r="W99" s="45">
        <f t="shared" si="25"/>
        <v>0</v>
      </c>
    </row>
    <row r="100" spans="2:23" x14ac:dyDescent="0.2">
      <c r="B100" s="207"/>
      <c r="K100" s="45">
        <f t="shared" si="26"/>
        <v>0</v>
      </c>
      <c r="M100" s="104">
        <v>12</v>
      </c>
      <c r="N100" s="104"/>
      <c r="O100" s="104"/>
      <c r="T100" s="198"/>
      <c r="U100" s="45">
        <f t="shared" si="22"/>
        <v>0</v>
      </c>
      <c r="V100" s="45">
        <f t="shared" si="23"/>
        <v>0</v>
      </c>
      <c r="W100" s="45">
        <f t="shared" si="25"/>
        <v>0</v>
      </c>
    </row>
    <row r="101" spans="2:23" x14ac:dyDescent="0.2">
      <c r="B101" s="207"/>
      <c r="K101" s="45">
        <f t="shared" si="26"/>
        <v>0</v>
      </c>
      <c r="M101" s="104">
        <v>12</v>
      </c>
      <c r="N101" s="104"/>
      <c r="O101" s="104"/>
      <c r="T101" s="198"/>
      <c r="U101" s="45">
        <f t="shared" si="22"/>
        <v>0</v>
      </c>
      <c r="V101" s="45">
        <f t="shared" si="23"/>
        <v>0</v>
      </c>
      <c r="W101" s="45">
        <f t="shared" si="25"/>
        <v>0</v>
      </c>
    </row>
    <row r="102" spans="2:23" x14ac:dyDescent="0.2">
      <c r="B102" s="207"/>
      <c r="K102" s="45">
        <f t="shared" si="26"/>
        <v>0</v>
      </c>
      <c r="M102" s="104">
        <v>12</v>
      </c>
      <c r="N102" s="104"/>
      <c r="O102" s="104"/>
      <c r="T102" s="198"/>
      <c r="U102" s="45">
        <f t="shared" si="22"/>
        <v>0</v>
      </c>
      <c r="V102" s="45">
        <f t="shared" si="23"/>
        <v>0</v>
      </c>
      <c r="W102" s="45">
        <f t="shared" si="25"/>
        <v>0</v>
      </c>
    </row>
    <row r="103" spans="2:23" x14ac:dyDescent="0.2">
      <c r="B103" s="207"/>
      <c r="K103" s="45">
        <f t="shared" si="26"/>
        <v>0</v>
      </c>
      <c r="M103" s="104">
        <v>12</v>
      </c>
      <c r="N103" s="104"/>
      <c r="O103" s="104"/>
      <c r="T103" s="198"/>
      <c r="U103" s="45">
        <f t="shared" si="22"/>
        <v>0</v>
      </c>
      <c r="V103" s="45">
        <f t="shared" si="23"/>
        <v>0</v>
      </c>
      <c r="W103" s="45">
        <f t="shared" si="25"/>
        <v>0</v>
      </c>
    </row>
    <row r="104" spans="2:23" x14ac:dyDescent="0.2">
      <c r="B104" s="207"/>
      <c r="K104" s="45">
        <f t="shared" si="26"/>
        <v>0</v>
      </c>
      <c r="M104" s="104">
        <v>12</v>
      </c>
      <c r="N104" s="104"/>
      <c r="O104" s="104"/>
      <c r="T104" s="198"/>
      <c r="U104" s="45">
        <f t="shared" si="22"/>
        <v>0</v>
      </c>
      <c r="V104" s="45">
        <f t="shared" si="23"/>
        <v>0</v>
      </c>
      <c r="W104" s="45">
        <f t="shared" si="25"/>
        <v>0</v>
      </c>
    </row>
    <row r="105" spans="2:23" x14ac:dyDescent="0.2">
      <c r="B105" s="207"/>
      <c r="K105" s="45">
        <f t="shared" si="26"/>
        <v>0</v>
      </c>
      <c r="M105" s="104">
        <v>12</v>
      </c>
      <c r="N105" s="104"/>
      <c r="O105" s="104"/>
      <c r="T105" s="198"/>
      <c r="U105" s="45">
        <f t="shared" si="22"/>
        <v>0</v>
      </c>
      <c r="V105" s="45">
        <f t="shared" si="23"/>
        <v>0</v>
      </c>
      <c r="W105" s="45">
        <f t="shared" si="25"/>
        <v>0</v>
      </c>
    </row>
    <row r="106" spans="2:23" x14ac:dyDescent="0.2">
      <c r="B106" s="207"/>
      <c r="K106" s="45">
        <f t="shared" si="26"/>
        <v>0</v>
      </c>
      <c r="M106" s="104">
        <v>12</v>
      </c>
      <c r="N106" s="104"/>
      <c r="O106" s="104"/>
      <c r="T106" s="198"/>
      <c r="U106" s="45">
        <f t="shared" si="22"/>
        <v>0</v>
      </c>
      <c r="V106" s="45">
        <f t="shared" si="23"/>
        <v>0</v>
      </c>
      <c r="W106" s="45">
        <f t="shared" si="25"/>
        <v>0</v>
      </c>
    </row>
    <row r="107" spans="2:23" x14ac:dyDescent="0.2">
      <c r="B107" s="207"/>
      <c r="K107" s="45">
        <f t="shared" si="26"/>
        <v>0</v>
      </c>
      <c r="M107" s="104">
        <v>12</v>
      </c>
      <c r="N107" s="104"/>
      <c r="O107" s="104"/>
      <c r="T107" s="198"/>
      <c r="U107" s="45">
        <f t="shared" si="22"/>
        <v>0</v>
      </c>
      <c r="V107" s="45">
        <f t="shared" si="23"/>
        <v>0</v>
      </c>
      <c r="W107" s="45">
        <f t="shared" si="25"/>
        <v>0</v>
      </c>
    </row>
    <row r="108" spans="2:23" x14ac:dyDescent="0.2">
      <c r="B108" s="207"/>
      <c r="K108" s="45">
        <f t="shared" si="26"/>
        <v>0</v>
      </c>
      <c r="M108" s="104">
        <v>12</v>
      </c>
      <c r="N108" s="104"/>
      <c r="O108" s="104"/>
      <c r="T108" s="198"/>
      <c r="U108" s="45">
        <f t="shared" si="22"/>
        <v>0</v>
      </c>
      <c r="V108" s="45">
        <f t="shared" si="23"/>
        <v>0</v>
      </c>
      <c r="W108" s="45">
        <f t="shared" si="25"/>
        <v>0</v>
      </c>
    </row>
    <row r="109" spans="2:23" x14ac:dyDescent="0.2">
      <c r="B109" s="207"/>
      <c r="K109" s="45">
        <f t="shared" si="26"/>
        <v>0</v>
      </c>
      <c r="M109" s="104">
        <v>12</v>
      </c>
      <c r="N109" s="104"/>
      <c r="O109" s="104"/>
      <c r="T109" s="198"/>
      <c r="U109" s="45">
        <f t="shared" si="22"/>
        <v>0</v>
      </c>
      <c r="V109" s="45">
        <f t="shared" si="23"/>
        <v>0</v>
      </c>
      <c r="W109" s="45">
        <f t="shared" si="25"/>
        <v>0</v>
      </c>
    </row>
    <row r="110" spans="2:23" x14ac:dyDescent="0.2">
      <c r="B110" s="207"/>
      <c r="K110" s="45">
        <f t="shared" si="26"/>
        <v>0</v>
      </c>
      <c r="M110" s="104">
        <v>12</v>
      </c>
      <c r="N110" s="104"/>
      <c r="O110" s="104"/>
      <c r="T110" s="198"/>
      <c r="U110" s="45">
        <f t="shared" si="22"/>
        <v>0</v>
      </c>
      <c r="V110" s="45">
        <f t="shared" si="23"/>
        <v>0</v>
      </c>
      <c r="W110" s="45">
        <f t="shared" si="25"/>
        <v>0</v>
      </c>
    </row>
    <row r="111" spans="2:23" x14ac:dyDescent="0.2">
      <c r="B111" s="207"/>
      <c r="K111" s="45">
        <f t="shared" si="26"/>
        <v>0</v>
      </c>
      <c r="M111" s="104">
        <v>12</v>
      </c>
      <c r="N111" s="104"/>
      <c r="O111" s="104"/>
      <c r="T111" s="198"/>
      <c r="U111" s="45">
        <f t="shared" si="22"/>
        <v>0</v>
      </c>
      <c r="V111" s="45">
        <f t="shared" si="23"/>
        <v>0</v>
      </c>
      <c r="W111" s="45">
        <f t="shared" si="25"/>
        <v>0</v>
      </c>
    </row>
    <row r="112" spans="2:23" x14ac:dyDescent="0.2">
      <c r="B112" s="207"/>
      <c r="K112" s="45">
        <f t="shared" si="26"/>
        <v>0</v>
      </c>
      <c r="M112" s="104">
        <v>12</v>
      </c>
      <c r="N112" s="104"/>
      <c r="O112" s="104"/>
      <c r="T112" s="198"/>
      <c r="U112" s="45">
        <f t="shared" si="22"/>
        <v>0</v>
      </c>
      <c r="V112" s="45">
        <f t="shared" si="23"/>
        <v>0</v>
      </c>
      <c r="W112" s="45">
        <f t="shared" si="25"/>
        <v>0</v>
      </c>
    </row>
    <row r="113" spans="2:23" x14ac:dyDescent="0.2">
      <c r="B113" s="207"/>
      <c r="K113" s="45">
        <f t="shared" si="26"/>
        <v>0</v>
      </c>
      <c r="M113" s="104">
        <v>12</v>
      </c>
      <c r="N113" s="104"/>
      <c r="O113" s="104"/>
      <c r="T113" s="198"/>
      <c r="U113" s="45">
        <f t="shared" si="22"/>
        <v>0</v>
      </c>
      <c r="V113" s="45">
        <f t="shared" si="23"/>
        <v>0</v>
      </c>
      <c r="W113" s="45">
        <f t="shared" si="25"/>
        <v>0</v>
      </c>
    </row>
    <row r="114" spans="2:23" x14ac:dyDescent="0.2">
      <c r="B114" s="207"/>
      <c r="K114" s="45">
        <f t="shared" si="26"/>
        <v>0</v>
      </c>
      <c r="M114" s="104">
        <v>12</v>
      </c>
      <c r="N114" s="104"/>
      <c r="O114" s="104"/>
      <c r="T114" s="198"/>
      <c r="U114" s="45">
        <f t="shared" si="22"/>
        <v>0</v>
      </c>
      <c r="V114" s="45">
        <f t="shared" si="23"/>
        <v>0</v>
      </c>
      <c r="W114" s="45">
        <f t="shared" si="25"/>
        <v>0</v>
      </c>
    </row>
    <row r="115" spans="2:23" x14ac:dyDescent="0.2">
      <c r="B115" s="207"/>
      <c r="K115" s="45">
        <f t="shared" si="26"/>
        <v>0</v>
      </c>
      <c r="M115" s="104">
        <v>12</v>
      </c>
      <c r="N115" s="104"/>
      <c r="O115" s="104"/>
      <c r="T115" s="198"/>
      <c r="U115" s="45">
        <f t="shared" si="22"/>
        <v>0</v>
      </c>
      <c r="V115" s="45">
        <f t="shared" si="23"/>
        <v>0</v>
      </c>
      <c r="W115" s="45">
        <f t="shared" si="25"/>
        <v>0</v>
      </c>
    </row>
    <row r="116" spans="2:23" x14ac:dyDescent="0.2">
      <c r="B116" s="207"/>
      <c r="K116" s="45">
        <f t="shared" si="26"/>
        <v>0</v>
      </c>
      <c r="M116" s="104">
        <v>12</v>
      </c>
      <c r="N116" s="104"/>
      <c r="O116" s="104"/>
      <c r="T116" s="198"/>
      <c r="U116" s="45">
        <f t="shared" si="22"/>
        <v>0</v>
      </c>
      <c r="V116" s="45">
        <f t="shared" si="23"/>
        <v>0</v>
      </c>
      <c r="W116" s="45">
        <f t="shared" si="25"/>
        <v>0</v>
      </c>
    </row>
    <row r="117" spans="2:23" x14ac:dyDescent="0.2">
      <c r="B117" s="207"/>
      <c r="K117" s="45">
        <f t="shared" si="26"/>
        <v>0</v>
      </c>
      <c r="M117" s="104">
        <v>12</v>
      </c>
      <c r="N117" s="104"/>
      <c r="O117" s="104"/>
      <c r="T117" s="198"/>
      <c r="U117" s="45">
        <f t="shared" si="22"/>
        <v>0</v>
      </c>
      <c r="V117" s="45">
        <f t="shared" si="23"/>
        <v>0</v>
      </c>
      <c r="W117" s="45">
        <f t="shared" si="25"/>
        <v>0</v>
      </c>
    </row>
    <row r="118" spans="2:23" x14ac:dyDescent="0.2">
      <c r="B118" s="207"/>
      <c r="K118" s="45">
        <f t="shared" si="26"/>
        <v>0</v>
      </c>
      <c r="M118" s="104">
        <v>12</v>
      </c>
      <c r="N118" s="104"/>
      <c r="O118" s="104"/>
      <c r="T118" s="198"/>
      <c r="U118" s="45">
        <f t="shared" si="22"/>
        <v>0</v>
      </c>
      <c r="V118" s="45">
        <f t="shared" si="23"/>
        <v>0</v>
      </c>
      <c r="W118" s="45">
        <f t="shared" si="25"/>
        <v>0</v>
      </c>
    </row>
    <row r="119" spans="2:23" x14ac:dyDescent="0.2">
      <c r="B119" s="207"/>
      <c r="K119" s="45">
        <f t="shared" si="26"/>
        <v>0</v>
      </c>
      <c r="M119" s="104">
        <v>12</v>
      </c>
      <c r="N119" s="104"/>
      <c r="O119" s="104"/>
      <c r="T119" s="198"/>
      <c r="U119" s="45">
        <f t="shared" si="22"/>
        <v>0</v>
      </c>
      <c r="V119" s="45">
        <f t="shared" si="23"/>
        <v>0</v>
      </c>
      <c r="W119" s="45">
        <f t="shared" si="25"/>
        <v>0</v>
      </c>
    </row>
    <row r="120" spans="2:23" x14ac:dyDescent="0.2">
      <c r="B120" s="207"/>
      <c r="K120" s="45">
        <f t="shared" si="26"/>
        <v>0</v>
      </c>
      <c r="M120" s="104">
        <v>12</v>
      </c>
      <c r="N120" s="104"/>
      <c r="O120" s="104"/>
      <c r="T120" s="198"/>
      <c r="U120" s="45">
        <f t="shared" si="22"/>
        <v>0</v>
      </c>
      <c r="V120" s="45">
        <f t="shared" si="23"/>
        <v>0</v>
      </c>
      <c r="W120" s="45">
        <f t="shared" si="25"/>
        <v>0</v>
      </c>
    </row>
    <row r="121" spans="2:23" x14ac:dyDescent="0.2">
      <c r="B121" s="207"/>
      <c r="K121" s="45">
        <f t="shared" si="26"/>
        <v>0</v>
      </c>
      <c r="M121" s="104">
        <v>12</v>
      </c>
      <c r="N121" s="104"/>
      <c r="O121" s="104"/>
      <c r="T121" s="198"/>
      <c r="U121" s="45">
        <f t="shared" si="22"/>
        <v>0</v>
      </c>
      <c r="V121" s="45">
        <f t="shared" si="23"/>
        <v>0</v>
      </c>
      <c r="W121" s="45">
        <f t="shared" si="25"/>
        <v>0</v>
      </c>
    </row>
    <row r="122" spans="2:23" x14ac:dyDescent="0.2">
      <c r="B122" s="207"/>
      <c r="K122" s="45">
        <f t="shared" si="26"/>
        <v>0</v>
      </c>
      <c r="M122" s="104">
        <v>12</v>
      </c>
      <c r="N122" s="104"/>
      <c r="O122" s="104"/>
      <c r="T122" s="198"/>
      <c r="U122" s="45">
        <f t="shared" si="22"/>
        <v>0</v>
      </c>
      <c r="V122" s="45">
        <f t="shared" si="23"/>
        <v>0</v>
      </c>
      <c r="W122" s="45">
        <f t="shared" si="25"/>
        <v>0</v>
      </c>
    </row>
    <row r="123" spans="2:23" x14ac:dyDescent="0.2">
      <c r="B123" s="207"/>
      <c r="K123" s="45">
        <f t="shared" si="26"/>
        <v>0</v>
      </c>
      <c r="M123" s="104">
        <v>12</v>
      </c>
      <c r="N123" s="104"/>
      <c r="O123" s="104"/>
      <c r="T123" s="198"/>
      <c r="U123" s="45">
        <f t="shared" si="22"/>
        <v>0</v>
      </c>
      <c r="V123" s="45">
        <f t="shared" si="23"/>
        <v>0</v>
      </c>
      <c r="W123" s="45">
        <f t="shared" si="25"/>
        <v>0</v>
      </c>
    </row>
    <row r="124" spans="2:23" x14ac:dyDescent="0.2">
      <c r="B124" s="207"/>
      <c r="K124" s="45">
        <f t="shared" si="26"/>
        <v>0</v>
      </c>
      <c r="M124" s="104">
        <v>12</v>
      </c>
      <c r="N124" s="104"/>
      <c r="O124" s="104"/>
      <c r="T124" s="198"/>
      <c r="U124" s="45">
        <f t="shared" si="22"/>
        <v>0</v>
      </c>
      <c r="V124" s="45">
        <f t="shared" si="23"/>
        <v>0</v>
      </c>
      <c r="W124" s="45">
        <f t="shared" si="25"/>
        <v>0</v>
      </c>
    </row>
    <row r="125" spans="2:23" x14ac:dyDescent="0.2">
      <c r="B125" s="207"/>
      <c r="K125" s="45">
        <f t="shared" si="26"/>
        <v>0</v>
      </c>
      <c r="M125" s="104">
        <v>12</v>
      </c>
      <c r="N125" s="104"/>
      <c r="O125" s="104"/>
      <c r="T125" s="198"/>
      <c r="U125" s="45">
        <f t="shared" si="22"/>
        <v>0</v>
      </c>
      <c r="V125" s="45">
        <f t="shared" si="23"/>
        <v>0</v>
      </c>
      <c r="W125" s="45">
        <f t="shared" si="25"/>
        <v>0</v>
      </c>
    </row>
    <row r="127" spans="2:23" ht="13.5" thickBot="1" x14ac:dyDescent="0.25">
      <c r="C127" s="45" t="s">
        <v>418</v>
      </c>
      <c r="I127" s="53">
        <f>SUM(I89:I126)</f>
        <v>0</v>
      </c>
      <c r="J127" s="53">
        <f>SUM(J89:J126)</f>
        <v>0</v>
      </c>
      <c r="K127" s="53">
        <f>SUM(K89:K126)</f>
        <v>0</v>
      </c>
      <c r="L127" s="53">
        <f>SUM(L89:L126)</f>
        <v>0</v>
      </c>
      <c r="M127" s="53"/>
      <c r="N127" s="53">
        <f t="shared" ref="N127:W127" si="27">SUM(N89:N126)</f>
        <v>0</v>
      </c>
      <c r="O127" s="53">
        <f t="shared" si="27"/>
        <v>0</v>
      </c>
      <c r="P127" s="53">
        <f t="shared" si="27"/>
        <v>0</v>
      </c>
      <c r="Q127" s="53">
        <f t="shared" si="27"/>
        <v>0</v>
      </c>
      <c r="R127" s="53">
        <f t="shared" si="27"/>
        <v>0</v>
      </c>
      <c r="S127" s="53">
        <f t="shared" si="27"/>
        <v>0</v>
      </c>
      <c r="T127" s="53">
        <f t="shared" si="27"/>
        <v>0</v>
      </c>
      <c r="U127" s="53">
        <f t="shared" si="27"/>
        <v>0</v>
      </c>
      <c r="V127" s="53">
        <f t="shared" si="27"/>
        <v>0</v>
      </c>
      <c r="W127" s="53">
        <f t="shared" si="27"/>
        <v>0</v>
      </c>
    </row>
    <row r="128" spans="2:23" ht="13.5" thickTop="1" x14ac:dyDescent="0.2">
      <c r="G128" s="45" t="s">
        <v>880</v>
      </c>
      <c r="I128" s="45">
        <f>I127-FARegister!I192</f>
        <v>0</v>
      </c>
      <c r="L128" s="45">
        <f>L127-FARegister!L192</f>
        <v>0</v>
      </c>
      <c r="N128" s="45">
        <f>N127-FARegister!Q192</f>
        <v>0</v>
      </c>
      <c r="P128" s="45">
        <f>P127-FARegister!S192</f>
        <v>0</v>
      </c>
      <c r="U128" s="45">
        <f>U127-FARegister!AA192</f>
        <v>0</v>
      </c>
    </row>
    <row r="130" spans="2:23" x14ac:dyDescent="0.2">
      <c r="B130" s="204" t="s">
        <v>419</v>
      </c>
      <c r="I130" s="277"/>
      <c r="J130" s="277"/>
    </row>
    <row r="131" spans="2:23" x14ac:dyDescent="0.2">
      <c r="B131" s="205"/>
      <c r="I131" s="22"/>
      <c r="J131" s="22"/>
      <c r="K131" s="22"/>
      <c r="L131" s="22"/>
      <c r="M131" s="22"/>
      <c r="N131" s="22"/>
      <c r="O131" s="22" t="s">
        <v>190</v>
      </c>
      <c r="P131" s="22"/>
      <c r="Q131" s="296" t="s">
        <v>868</v>
      </c>
      <c r="R131" s="297" t="s">
        <v>875</v>
      </c>
      <c r="S131" s="298" t="s">
        <v>869</v>
      </c>
      <c r="T131" s="22"/>
      <c r="U131" s="22"/>
      <c r="V131" s="22"/>
      <c r="W131" s="22"/>
    </row>
    <row r="132" spans="2:23" x14ac:dyDescent="0.2">
      <c r="B132" s="206" t="s">
        <v>28</v>
      </c>
      <c r="C132" s="70" t="s">
        <v>282</v>
      </c>
      <c r="D132" s="70"/>
      <c r="E132" s="110"/>
      <c r="F132" s="111"/>
      <c r="G132" s="110"/>
      <c r="H132" s="110"/>
      <c r="I132" s="24" t="s">
        <v>452</v>
      </c>
      <c r="J132" s="24" t="s">
        <v>878</v>
      </c>
      <c r="K132" s="24" t="s">
        <v>702</v>
      </c>
      <c r="L132" s="24" t="s">
        <v>334</v>
      </c>
      <c r="M132" s="24" t="s">
        <v>491</v>
      </c>
      <c r="N132" s="24" t="s">
        <v>704</v>
      </c>
      <c r="O132" s="24" t="s">
        <v>879</v>
      </c>
      <c r="P132" s="24" t="s">
        <v>867</v>
      </c>
      <c r="Q132" s="283" t="s">
        <v>870</v>
      </c>
      <c r="R132" s="24" t="s">
        <v>876</v>
      </c>
      <c r="S132" s="284" t="s">
        <v>871</v>
      </c>
      <c r="T132" s="24" t="s">
        <v>874</v>
      </c>
      <c r="U132" s="24" t="s">
        <v>452</v>
      </c>
      <c r="V132" s="24" t="s">
        <v>873</v>
      </c>
      <c r="W132" s="24" t="s">
        <v>702</v>
      </c>
    </row>
    <row r="134" spans="2:23" x14ac:dyDescent="0.2">
      <c r="B134" s="210"/>
      <c r="C134" s="290" t="s">
        <v>881</v>
      </c>
      <c r="D134" s="199"/>
      <c r="E134" s="199"/>
      <c r="F134" s="199"/>
      <c r="G134" s="199"/>
      <c r="H134" s="1"/>
      <c r="I134" s="292">
        <f>FARegister!I226</f>
        <v>0</v>
      </c>
      <c r="J134" s="292">
        <f>FARegister!J226</f>
        <v>0</v>
      </c>
      <c r="K134" s="290">
        <f>+I134-J134</f>
        <v>0</v>
      </c>
      <c r="L134" s="292">
        <f>FARegister!L226</f>
        <v>0</v>
      </c>
      <c r="M134" s="291">
        <v>12</v>
      </c>
      <c r="N134" s="292">
        <f>FARegister!Q226</f>
        <v>0</v>
      </c>
      <c r="O134" s="292">
        <f>FARegister!R226</f>
        <v>0</v>
      </c>
      <c r="P134" s="292">
        <f>FARegister!S226</f>
        <v>0</v>
      </c>
      <c r="Q134" s="292">
        <f>FARegister!V226</f>
        <v>0</v>
      </c>
      <c r="R134" s="292">
        <f>FARegister!W226</f>
        <v>0</v>
      </c>
      <c r="S134" s="292">
        <f>FARegister!X226</f>
        <v>0</v>
      </c>
      <c r="T134" s="292">
        <f>FARegister!Z226</f>
        <v>0</v>
      </c>
      <c r="U134" s="290">
        <f t="shared" ref="U134:U159" si="28">I134+L134-N134</f>
        <v>0</v>
      </c>
      <c r="V134" s="290">
        <f t="shared" ref="V134:V159" si="29">J134+T134-O134</f>
        <v>0</v>
      </c>
      <c r="W134" s="290">
        <f>+U134-V134</f>
        <v>0</v>
      </c>
    </row>
    <row r="135" spans="2:23" x14ac:dyDescent="0.2">
      <c r="B135" s="58"/>
      <c r="C135" s="1"/>
      <c r="D135" s="1"/>
      <c r="E135" s="1"/>
      <c r="F135" s="1"/>
      <c r="G135" s="1"/>
      <c r="H135" s="1"/>
      <c r="I135" s="74"/>
      <c r="K135" s="45">
        <f>+I135-J135</f>
        <v>0</v>
      </c>
      <c r="M135" s="104">
        <v>12</v>
      </c>
      <c r="N135" s="104"/>
      <c r="O135" s="104"/>
      <c r="T135" s="198"/>
      <c r="U135" s="45">
        <f t="shared" si="28"/>
        <v>0</v>
      </c>
      <c r="V135" s="45">
        <f t="shared" si="29"/>
        <v>0</v>
      </c>
      <c r="W135" s="45">
        <f t="shared" ref="W135:W159" si="30">+U135-V135</f>
        <v>0</v>
      </c>
    </row>
    <row r="136" spans="2:23" x14ac:dyDescent="0.2">
      <c r="B136" s="58"/>
      <c r="C136" s="1"/>
      <c r="D136" s="1"/>
      <c r="E136" s="1"/>
      <c r="F136" s="1"/>
      <c r="G136" s="1"/>
      <c r="H136" s="1"/>
      <c r="I136" s="74"/>
      <c r="K136" s="45">
        <f>+I136-J136</f>
        <v>0</v>
      </c>
      <c r="M136" s="104">
        <v>12</v>
      </c>
      <c r="N136" s="104"/>
      <c r="O136" s="104"/>
      <c r="T136" s="198"/>
      <c r="U136" s="45">
        <f t="shared" si="28"/>
        <v>0</v>
      </c>
      <c r="V136" s="45">
        <f t="shared" si="29"/>
        <v>0</v>
      </c>
      <c r="W136" s="45">
        <f t="shared" si="30"/>
        <v>0</v>
      </c>
    </row>
    <row r="137" spans="2:23" x14ac:dyDescent="0.2">
      <c r="B137" s="58"/>
      <c r="C137" s="1"/>
      <c r="D137" s="1"/>
      <c r="E137" s="1"/>
      <c r="F137" s="1"/>
      <c r="G137" s="1"/>
      <c r="H137" s="1"/>
      <c r="I137" s="74"/>
      <c r="K137" s="45">
        <f t="shared" ref="K137:K158" si="31">+I137-J137</f>
        <v>0</v>
      </c>
      <c r="M137" s="104">
        <v>12</v>
      </c>
      <c r="N137" s="104"/>
      <c r="O137" s="104"/>
      <c r="T137" s="198"/>
      <c r="U137" s="45">
        <f t="shared" si="28"/>
        <v>0</v>
      </c>
      <c r="V137" s="45">
        <f t="shared" si="29"/>
        <v>0</v>
      </c>
      <c r="W137" s="45">
        <f t="shared" si="30"/>
        <v>0</v>
      </c>
    </row>
    <row r="138" spans="2:23" x14ac:dyDescent="0.2">
      <c r="B138" s="58"/>
      <c r="C138" s="1"/>
      <c r="D138" s="1"/>
      <c r="E138" s="1"/>
      <c r="F138" s="1"/>
      <c r="G138" s="1"/>
      <c r="H138" s="1"/>
      <c r="I138" s="74"/>
      <c r="K138" s="45">
        <f t="shared" si="31"/>
        <v>0</v>
      </c>
      <c r="M138" s="104">
        <v>12</v>
      </c>
      <c r="N138" s="104"/>
      <c r="O138" s="104"/>
      <c r="T138" s="198"/>
      <c r="U138" s="45">
        <f t="shared" si="28"/>
        <v>0</v>
      </c>
      <c r="V138" s="45">
        <f t="shared" si="29"/>
        <v>0</v>
      </c>
      <c r="W138" s="45">
        <f t="shared" si="30"/>
        <v>0</v>
      </c>
    </row>
    <row r="139" spans="2:23" x14ac:dyDescent="0.2">
      <c r="B139" s="58"/>
      <c r="C139" s="1"/>
      <c r="D139" s="1"/>
      <c r="E139" s="1"/>
      <c r="F139" s="1"/>
      <c r="G139" s="1"/>
      <c r="H139" s="1"/>
      <c r="I139" s="74"/>
      <c r="K139" s="45">
        <f t="shared" si="31"/>
        <v>0</v>
      </c>
      <c r="M139" s="104">
        <v>12</v>
      </c>
      <c r="N139" s="104"/>
      <c r="O139" s="104"/>
      <c r="T139" s="198"/>
      <c r="U139" s="45">
        <f t="shared" si="28"/>
        <v>0</v>
      </c>
      <c r="V139" s="45">
        <f t="shared" si="29"/>
        <v>0</v>
      </c>
      <c r="W139" s="45">
        <f t="shared" si="30"/>
        <v>0</v>
      </c>
    </row>
    <row r="140" spans="2:23" x14ac:dyDescent="0.2">
      <c r="B140" s="58"/>
      <c r="C140" s="1"/>
      <c r="D140" s="1"/>
      <c r="E140" s="1"/>
      <c r="F140" s="1"/>
      <c r="G140" s="1"/>
      <c r="H140" s="1"/>
      <c r="I140" s="74"/>
      <c r="K140" s="45">
        <f t="shared" si="31"/>
        <v>0</v>
      </c>
      <c r="M140" s="104">
        <v>12</v>
      </c>
      <c r="N140" s="104"/>
      <c r="O140" s="104"/>
      <c r="T140" s="198"/>
      <c r="U140" s="45">
        <f t="shared" si="28"/>
        <v>0</v>
      </c>
      <c r="V140" s="45">
        <f t="shared" si="29"/>
        <v>0</v>
      </c>
      <c r="W140" s="45">
        <f t="shared" si="30"/>
        <v>0</v>
      </c>
    </row>
    <row r="141" spans="2:23" x14ac:dyDescent="0.2">
      <c r="B141" s="58"/>
      <c r="C141" s="1"/>
      <c r="D141" s="1"/>
      <c r="E141" s="1"/>
      <c r="F141" s="1"/>
      <c r="G141" s="1"/>
      <c r="H141" s="1"/>
      <c r="I141" s="74"/>
      <c r="K141" s="45">
        <f t="shared" si="31"/>
        <v>0</v>
      </c>
      <c r="M141" s="104">
        <v>12</v>
      </c>
      <c r="N141" s="104"/>
      <c r="O141" s="104"/>
      <c r="T141" s="198"/>
      <c r="U141" s="45">
        <f t="shared" si="28"/>
        <v>0</v>
      </c>
      <c r="V141" s="45">
        <f t="shared" si="29"/>
        <v>0</v>
      </c>
      <c r="W141" s="45">
        <f t="shared" si="30"/>
        <v>0</v>
      </c>
    </row>
    <row r="142" spans="2:23" x14ac:dyDescent="0.2">
      <c r="B142" s="58"/>
      <c r="C142" s="1"/>
      <c r="D142" s="1"/>
      <c r="E142" s="1"/>
      <c r="F142" s="1"/>
      <c r="G142" s="1"/>
      <c r="H142" s="1"/>
      <c r="I142" s="74"/>
      <c r="K142" s="45">
        <f t="shared" si="31"/>
        <v>0</v>
      </c>
      <c r="M142" s="104">
        <v>12</v>
      </c>
      <c r="N142" s="104"/>
      <c r="O142" s="104"/>
      <c r="T142" s="198"/>
      <c r="U142" s="45">
        <f t="shared" si="28"/>
        <v>0</v>
      </c>
      <c r="V142" s="45">
        <f t="shared" si="29"/>
        <v>0</v>
      </c>
      <c r="W142" s="45">
        <f t="shared" si="30"/>
        <v>0</v>
      </c>
    </row>
    <row r="143" spans="2:23" x14ac:dyDescent="0.2">
      <c r="B143" s="58"/>
      <c r="C143" s="1"/>
      <c r="D143" s="1"/>
      <c r="E143" s="1"/>
      <c r="F143" s="1"/>
      <c r="G143" s="1"/>
      <c r="H143" s="1"/>
      <c r="I143" s="74"/>
      <c r="K143" s="45">
        <f t="shared" si="31"/>
        <v>0</v>
      </c>
      <c r="M143" s="104">
        <v>12</v>
      </c>
      <c r="N143" s="104"/>
      <c r="O143" s="104"/>
      <c r="T143" s="198"/>
      <c r="U143" s="45">
        <f t="shared" si="28"/>
        <v>0</v>
      </c>
      <c r="V143" s="45">
        <f t="shared" si="29"/>
        <v>0</v>
      </c>
      <c r="W143" s="45">
        <f t="shared" si="30"/>
        <v>0</v>
      </c>
    </row>
    <row r="144" spans="2:23" x14ac:dyDescent="0.2">
      <c r="B144" s="58"/>
      <c r="C144" s="1"/>
      <c r="D144" s="1"/>
      <c r="E144" s="1"/>
      <c r="F144" s="1"/>
      <c r="G144" s="1"/>
      <c r="H144" s="1"/>
      <c r="I144" s="74"/>
      <c r="K144" s="45">
        <f t="shared" si="31"/>
        <v>0</v>
      </c>
      <c r="M144" s="104">
        <v>12</v>
      </c>
      <c r="N144" s="104"/>
      <c r="O144" s="104"/>
      <c r="T144" s="198"/>
      <c r="U144" s="45">
        <f t="shared" si="28"/>
        <v>0</v>
      </c>
      <c r="V144" s="45">
        <f t="shared" si="29"/>
        <v>0</v>
      </c>
      <c r="W144" s="45">
        <f t="shared" si="30"/>
        <v>0</v>
      </c>
    </row>
    <row r="145" spans="2:23" x14ac:dyDescent="0.2">
      <c r="B145" s="58"/>
      <c r="C145" s="1"/>
      <c r="D145" s="1"/>
      <c r="E145" s="1"/>
      <c r="F145" s="1"/>
      <c r="G145" s="1"/>
      <c r="H145" s="1"/>
      <c r="I145" s="74"/>
      <c r="K145" s="45">
        <f t="shared" si="31"/>
        <v>0</v>
      </c>
      <c r="M145" s="104">
        <v>12</v>
      </c>
      <c r="N145" s="104"/>
      <c r="O145" s="104"/>
      <c r="T145" s="198"/>
      <c r="U145" s="45">
        <f t="shared" si="28"/>
        <v>0</v>
      </c>
      <c r="V145" s="45">
        <f t="shared" si="29"/>
        <v>0</v>
      </c>
      <c r="W145" s="45">
        <f t="shared" si="30"/>
        <v>0</v>
      </c>
    </row>
    <row r="146" spans="2:23" x14ac:dyDescent="0.2">
      <c r="B146" s="58"/>
      <c r="C146" s="1"/>
      <c r="D146" s="1"/>
      <c r="E146" s="1"/>
      <c r="F146" s="1"/>
      <c r="G146" s="1"/>
      <c r="H146" s="1"/>
      <c r="I146" s="74"/>
      <c r="K146" s="45">
        <f t="shared" si="31"/>
        <v>0</v>
      </c>
      <c r="M146" s="104">
        <v>12</v>
      </c>
      <c r="N146" s="104"/>
      <c r="O146" s="104"/>
      <c r="T146" s="198"/>
      <c r="U146" s="45">
        <f t="shared" si="28"/>
        <v>0</v>
      </c>
      <c r="V146" s="45">
        <f t="shared" si="29"/>
        <v>0</v>
      </c>
      <c r="W146" s="45">
        <f t="shared" si="30"/>
        <v>0</v>
      </c>
    </row>
    <row r="147" spans="2:23" x14ac:dyDescent="0.2">
      <c r="B147" s="58"/>
      <c r="C147" s="1"/>
      <c r="D147" s="1"/>
      <c r="E147" s="1"/>
      <c r="F147" s="1"/>
      <c r="G147" s="1"/>
      <c r="H147" s="1"/>
      <c r="I147" s="74"/>
      <c r="K147" s="45">
        <f t="shared" si="31"/>
        <v>0</v>
      </c>
      <c r="M147" s="104">
        <v>12</v>
      </c>
      <c r="N147" s="104"/>
      <c r="O147" s="104"/>
      <c r="T147" s="198"/>
      <c r="U147" s="45">
        <f t="shared" si="28"/>
        <v>0</v>
      </c>
      <c r="V147" s="45">
        <f t="shared" si="29"/>
        <v>0</v>
      </c>
      <c r="W147" s="45">
        <f t="shared" si="30"/>
        <v>0</v>
      </c>
    </row>
    <row r="148" spans="2:23" x14ac:dyDescent="0.2">
      <c r="B148" s="58"/>
      <c r="C148" s="1"/>
      <c r="D148" s="1"/>
      <c r="E148" s="1"/>
      <c r="F148" s="1"/>
      <c r="G148" s="1"/>
      <c r="H148" s="1"/>
      <c r="I148" s="74"/>
      <c r="K148" s="45">
        <f t="shared" si="31"/>
        <v>0</v>
      </c>
      <c r="M148" s="104">
        <v>12</v>
      </c>
      <c r="N148" s="104"/>
      <c r="O148" s="104"/>
      <c r="T148" s="198"/>
      <c r="U148" s="45">
        <f t="shared" si="28"/>
        <v>0</v>
      </c>
      <c r="V148" s="45">
        <f t="shared" si="29"/>
        <v>0</v>
      </c>
      <c r="W148" s="45">
        <f t="shared" si="30"/>
        <v>0</v>
      </c>
    </row>
    <row r="149" spans="2:23" x14ac:dyDescent="0.2">
      <c r="B149" s="58"/>
      <c r="C149" s="1"/>
      <c r="D149" s="1"/>
      <c r="E149" s="1"/>
      <c r="F149" s="1"/>
      <c r="G149" s="1"/>
      <c r="H149" s="1"/>
      <c r="I149" s="74"/>
      <c r="K149" s="45">
        <f t="shared" si="31"/>
        <v>0</v>
      </c>
      <c r="M149" s="104">
        <v>12</v>
      </c>
      <c r="N149" s="104"/>
      <c r="O149" s="104"/>
      <c r="T149" s="198"/>
      <c r="U149" s="45">
        <f t="shared" si="28"/>
        <v>0</v>
      </c>
      <c r="V149" s="45">
        <f t="shared" si="29"/>
        <v>0</v>
      </c>
      <c r="W149" s="45">
        <f t="shared" si="30"/>
        <v>0</v>
      </c>
    </row>
    <row r="150" spans="2:23" x14ac:dyDescent="0.2">
      <c r="B150" s="58"/>
      <c r="C150" s="1"/>
      <c r="D150" s="1"/>
      <c r="E150" s="1"/>
      <c r="F150" s="1"/>
      <c r="G150" s="1"/>
      <c r="H150" s="1"/>
      <c r="I150" s="74"/>
      <c r="K150" s="45">
        <f t="shared" si="31"/>
        <v>0</v>
      </c>
      <c r="M150" s="104">
        <v>12</v>
      </c>
      <c r="N150" s="104"/>
      <c r="O150" s="104"/>
      <c r="T150" s="198"/>
      <c r="U150" s="45">
        <f t="shared" si="28"/>
        <v>0</v>
      </c>
      <c r="V150" s="45">
        <f t="shared" si="29"/>
        <v>0</v>
      </c>
      <c r="W150" s="45">
        <f t="shared" si="30"/>
        <v>0</v>
      </c>
    </row>
    <row r="151" spans="2:23" x14ac:dyDescent="0.2">
      <c r="B151" s="58"/>
      <c r="C151" s="1"/>
      <c r="D151" s="1"/>
      <c r="E151" s="1"/>
      <c r="F151" s="1"/>
      <c r="G151" s="1"/>
      <c r="H151" s="1"/>
      <c r="I151" s="74"/>
      <c r="K151" s="45">
        <f t="shared" si="31"/>
        <v>0</v>
      </c>
      <c r="M151" s="104">
        <v>12</v>
      </c>
      <c r="N151" s="104"/>
      <c r="O151" s="104"/>
      <c r="T151" s="198"/>
      <c r="U151" s="45">
        <f t="shared" si="28"/>
        <v>0</v>
      </c>
      <c r="V151" s="45">
        <f t="shared" si="29"/>
        <v>0</v>
      </c>
      <c r="W151" s="45">
        <f t="shared" si="30"/>
        <v>0</v>
      </c>
    </row>
    <row r="152" spans="2:23" x14ac:dyDescent="0.2">
      <c r="B152" s="58"/>
      <c r="C152" s="1"/>
      <c r="D152" s="1"/>
      <c r="E152" s="1"/>
      <c r="F152" s="1"/>
      <c r="G152" s="1"/>
      <c r="H152" s="1"/>
      <c r="I152" s="74"/>
      <c r="K152" s="45">
        <f t="shared" si="31"/>
        <v>0</v>
      </c>
      <c r="M152" s="104">
        <v>12</v>
      </c>
      <c r="N152" s="104"/>
      <c r="O152" s="104"/>
      <c r="T152" s="198"/>
      <c r="U152" s="45">
        <f t="shared" si="28"/>
        <v>0</v>
      </c>
      <c r="V152" s="45">
        <f t="shared" si="29"/>
        <v>0</v>
      </c>
      <c r="W152" s="45">
        <f t="shared" si="30"/>
        <v>0</v>
      </c>
    </row>
    <row r="153" spans="2:23" x14ac:dyDescent="0.2">
      <c r="B153" s="58"/>
      <c r="C153" s="1"/>
      <c r="D153" s="1"/>
      <c r="E153" s="1"/>
      <c r="F153" s="1"/>
      <c r="G153" s="1"/>
      <c r="H153" s="1"/>
      <c r="I153" s="74"/>
      <c r="K153" s="45">
        <f t="shared" si="31"/>
        <v>0</v>
      </c>
      <c r="M153" s="104">
        <v>12</v>
      </c>
      <c r="N153" s="104"/>
      <c r="O153" s="104"/>
      <c r="T153" s="198"/>
      <c r="U153" s="45">
        <f t="shared" si="28"/>
        <v>0</v>
      </c>
      <c r="V153" s="45">
        <f t="shared" si="29"/>
        <v>0</v>
      </c>
      <c r="W153" s="45">
        <f t="shared" si="30"/>
        <v>0</v>
      </c>
    </row>
    <row r="154" spans="2:23" x14ac:dyDescent="0.2">
      <c r="B154" s="58"/>
      <c r="C154" s="1"/>
      <c r="D154" s="1"/>
      <c r="E154" s="1"/>
      <c r="F154" s="1"/>
      <c r="G154" s="1"/>
      <c r="H154" s="1"/>
      <c r="I154" s="74"/>
      <c r="K154" s="45">
        <f t="shared" si="31"/>
        <v>0</v>
      </c>
      <c r="M154" s="104">
        <v>12</v>
      </c>
      <c r="N154" s="104"/>
      <c r="O154" s="104"/>
      <c r="T154" s="198"/>
      <c r="U154" s="45">
        <f t="shared" si="28"/>
        <v>0</v>
      </c>
      <c r="V154" s="45">
        <f t="shared" si="29"/>
        <v>0</v>
      </c>
      <c r="W154" s="45">
        <f t="shared" si="30"/>
        <v>0</v>
      </c>
    </row>
    <row r="155" spans="2:23" x14ac:dyDescent="0.2">
      <c r="B155" s="58"/>
      <c r="C155" s="1"/>
      <c r="D155" s="1"/>
      <c r="E155" s="1"/>
      <c r="F155" s="1"/>
      <c r="G155" s="1"/>
      <c r="H155" s="1"/>
      <c r="I155" s="74"/>
      <c r="K155" s="45">
        <f t="shared" si="31"/>
        <v>0</v>
      </c>
      <c r="M155" s="104">
        <v>12</v>
      </c>
      <c r="N155" s="104"/>
      <c r="O155" s="104"/>
      <c r="T155" s="198"/>
      <c r="U155" s="45">
        <f t="shared" si="28"/>
        <v>0</v>
      </c>
      <c r="V155" s="45">
        <f t="shared" si="29"/>
        <v>0</v>
      </c>
      <c r="W155" s="45">
        <f t="shared" si="30"/>
        <v>0</v>
      </c>
    </row>
    <row r="156" spans="2:23" x14ac:dyDescent="0.2">
      <c r="B156" s="58"/>
      <c r="C156" s="1"/>
      <c r="D156" s="1"/>
      <c r="E156" s="1"/>
      <c r="F156" s="1"/>
      <c r="G156" s="1"/>
      <c r="H156" s="1"/>
      <c r="I156" s="74"/>
      <c r="K156" s="45">
        <f t="shared" si="31"/>
        <v>0</v>
      </c>
      <c r="M156" s="104">
        <v>12</v>
      </c>
      <c r="N156" s="104"/>
      <c r="O156" s="104"/>
      <c r="T156" s="198"/>
      <c r="U156" s="45">
        <f t="shared" si="28"/>
        <v>0</v>
      </c>
      <c r="V156" s="45">
        <f t="shared" si="29"/>
        <v>0</v>
      </c>
      <c r="W156" s="45">
        <f t="shared" si="30"/>
        <v>0</v>
      </c>
    </row>
    <row r="157" spans="2:23" x14ac:dyDescent="0.2">
      <c r="B157" s="58"/>
      <c r="C157" s="1"/>
      <c r="D157" s="1"/>
      <c r="E157" s="1"/>
      <c r="F157" s="1"/>
      <c r="G157" s="1"/>
      <c r="H157" s="1"/>
      <c r="I157" s="74"/>
      <c r="K157" s="45">
        <f t="shared" si="31"/>
        <v>0</v>
      </c>
      <c r="M157" s="104">
        <v>12</v>
      </c>
      <c r="N157" s="104"/>
      <c r="O157" s="104"/>
      <c r="T157" s="198"/>
      <c r="U157" s="45">
        <f t="shared" si="28"/>
        <v>0</v>
      </c>
      <c r="V157" s="45">
        <f t="shared" si="29"/>
        <v>0</v>
      </c>
      <c r="W157" s="45">
        <f t="shared" si="30"/>
        <v>0</v>
      </c>
    </row>
    <row r="158" spans="2:23" x14ac:dyDescent="0.2">
      <c r="B158" s="58"/>
      <c r="C158" s="1"/>
      <c r="D158" s="1"/>
      <c r="E158" s="1"/>
      <c r="F158" s="1"/>
      <c r="G158" s="1"/>
      <c r="H158" s="1"/>
      <c r="I158" s="74"/>
      <c r="K158" s="45">
        <f t="shared" si="31"/>
        <v>0</v>
      </c>
      <c r="M158" s="104">
        <v>12</v>
      </c>
      <c r="N158" s="104"/>
      <c r="O158" s="104"/>
      <c r="T158" s="198"/>
      <c r="U158" s="45">
        <f t="shared" si="28"/>
        <v>0</v>
      </c>
      <c r="V158" s="45">
        <f t="shared" si="29"/>
        <v>0</v>
      </c>
      <c r="W158" s="45">
        <f t="shared" si="30"/>
        <v>0</v>
      </c>
    </row>
    <row r="159" spans="2:23" x14ac:dyDescent="0.2">
      <c r="B159" s="58"/>
      <c r="C159" s="1"/>
      <c r="D159" s="1"/>
      <c r="E159" s="1"/>
      <c r="F159" s="1"/>
      <c r="G159" s="1"/>
      <c r="H159" s="1"/>
      <c r="I159" s="74"/>
      <c r="K159" s="45">
        <f>+I159-J159</f>
        <v>0</v>
      </c>
      <c r="M159" s="104">
        <v>12</v>
      </c>
      <c r="N159" s="104"/>
      <c r="O159" s="104"/>
      <c r="T159" s="198"/>
      <c r="U159" s="45">
        <f t="shared" si="28"/>
        <v>0</v>
      </c>
      <c r="V159" s="45">
        <f t="shared" si="29"/>
        <v>0</v>
      </c>
      <c r="W159" s="45">
        <f t="shared" si="30"/>
        <v>0</v>
      </c>
    </row>
    <row r="161" spans="2:23" ht="13.5" thickBot="1" x14ac:dyDescent="0.25">
      <c r="C161" s="45" t="s">
        <v>418</v>
      </c>
      <c r="I161" s="53">
        <f>SUM(I133:I160)</f>
        <v>0</v>
      </c>
      <c r="J161" s="53">
        <f>SUM(J133:J160)</f>
        <v>0</v>
      </c>
      <c r="K161" s="53">
        <f>SUM(K133:K160)</f>
        <v>0</v>
      </c>
      <c r="L161" s="53">
        <f>SUM(L133:L160)</f>
        <v>0</v>
      </c>
      <c r="M161" s="53"/>
      <c r="N161" s="53">
        <f t="shared" ref="N161:W161" si="32">SUM(N133:N160)</f>
        <v>0</v>
      </c>
      <c r="O161" s="53">
        <f t="shared" si="32"/>
        <v>0</v>
      </c>
      <c r="P161" s="53">
        <f t="shared" si="32"/>
        <v>0</v>
      </c>
      <c r="Q161" s="53">
        <f t="shared" si="32"/>
        <v>0</v>
      </c>
      <c r="R161" s="53">
        <f t="shared" si="32"/>
        <v>0</v>
      </c>
      <c r="S161" s="53">
        <f t="shared" si="32"/>
        <v>0</v>
      </c>
      <c r="T161" s="53">
        <f t="shared" si="32"/>
        <v>0</v>
      </c>
      <c r="U161" s="53">
        <f t="shared" si="32"/>
        <v>0</v>
      </c>
      <c r="V161" s="53">
        <f t="shared" si="32"/>
        <v>0</v>
      </c>
      <c r="W161" s="53">
        <f t="shared" si="32"/>
        <v>0</v>
      </c>
    </row>
    <row r="162" spans="2:23" ht="13.5" thickTop="1" x14ac:dyDescent="0.2">
      <c r="G162" s="45" t="s">
        <v>880</v>
      </c>
      <c r="I162" s="45">
        <f>I161-FARegister!I226</f>
        <v>0</v>
      </c>
      <c r="L162" s="45">
        <f>L161-FARegister!L226</f>
        <v>0</v>
      </c>
      <c r="N162" s="45">
        <f>N161-FARegister!Q226</f>
        <v>0</v>
      </c>
      <c r="P162" s="45">
        <f>P161-FARegister!S226</f>
        <v>0</v>
      </c>
      <c r="U162" s="45">
        <f>U161-FARegister!AA226</f>
        <v>0</v>
      </c>
    </row>
    <row r="164" spans="2:23" x14ac:dyDescent="0.2">
      <c r="B164" s="204" t="s">
        <v>420</v>
      </c>
      <c r="I164" s="277"/>
      <c r="J164" s="277"/>
    </row>
    <row r="165" spans="2:23" x14ac:dyDescent="0.2">
      <c r="B165" s="205"/>
      <c r="I165" s="22"/>
      <c r="J165" s="22"/>
      <c r="K165" s="22"/>
      <c r="L165" s="22"/>
      <c r="M165" s="22"/>
      <c r="N165" s="22"/>
      <c r="O165" s="22" t="s">
        <v>190</v>
      </c>
      <c r="P165" s="22"/>
      <c r="Q165" s="296" t="s">
        <v>868</v>
      </c>
      <c r="R165" s="297" t="s">
        <v>875</v>
      </c>
      <c r="S165" s="298" t="s">
        <v>869</v>
      </c>
      <c r="T165" s="22"/>
      <c r="U165" s="22"/>
      <c r="V165" s="22"/>
      <c r="W165" s="22"/>
    </row>
    <row r="166" spans="2:23" x14ac:dyDescent="0.2">
      <c r="B166" s="206" t="s">
        <v>28</v>
      </c>
      <c r="C166" s="70" t="s">
        <v>282</v>
      </c>
      <c r="D166" s="70"/>
      <c r="E166" s="110"/>
      <c r="F166" s="111"/>
      <c r="G166" s="110"/>
      <c r="H166" s="110"/>
      <c r="I166" s="24" t="s">
        <v>452</v>
      </c>
      <c r="J166" s="24" t="s">
        <v>878</v>
      </c>
      <c r="K166" s="24" t="s">
        <v>702</v>
      </c>
      <c r="L166" s="24" t="s">
        <v>334</v>
      </c>
      <c r="M166" s="24" t="s">
        <v>491</v>
      </c>
      <c r="N166" s="24" t="s">
        <v>704</v>
      </c>
      <c r="O166" s="24" t="s">
        <v>879</v>
      </c>
      <c r="P166" s="24" t="s">
        <v>867</v>
      </c>
      <c r="Q166" s="283" t="s">
        <v>870</v>
      </c>
      <c r="R166" s="24" t="s">
        <v>876</v>
      </c>
      <c r="S166" s="284" t="s">
        <v>871</v>
      </c>
      <c r="T166" s="24" t="s">
        <v>874</v>
      </c>
      <c r="U166" s="24" t="s">
        <v>452</v>
      </c>
      <c r="V166" s="24" t="s">
        <v>873</v>
      </c>
      <c r="W166" s="24" t="s">
        <v>702</v>
      </c>
    </row>
    <row r="168" spans="2:23" x14ac:dyDescent="0.2">
      <c r="B168" s="93"/>
      <c r="C168" s="290" t="s">
        <v>881</v>
      </c>
      <c r="D168" s="1"/>
      <c r="E168" s="1"/>
      <c r="F168" s="1"/>
      <c r="G168" s="1"/>
      <c r="H168" s="18"/>
      <c r="I168" s="291">
        <f>FARegister!I265</f>
        <v>0</v>
      </c>
      <c r="J168" s="291">
        <f>FARegister!J265</f>
        <v>0</v>
      </c>
      <c r="K168" s="290">
        <f>+I168-J168</f>
        <v>0</v>
      </c>
      <c r="L168" s="291">
        <f>FARegister!L265</f>
        <v>0</v>
      </c>
      <c r="M168" s="291">
        <v>12</v>
      </c>
      <c r="N168" s="291">
        <f>FARegister!Q265</f>
        <v>0</v>
      </c>
      <c r="O168" s="291">
        <f>FARegister!R265</f>
        <v>0</v>
      </c>
      <c r="P168" s="291">
        <f>FARegister!S265</f>
        <v>0</v>
      </c>
      <c r="Q168" s="291">
        <f>FARegister!V265</f>
        <v>0</v>
      </c>
      <c r="R168" s="291">
        <f>FARegister!W265</f>
        <v>0</v>
      </c>
      <c r="S168" s="291">
        <f>FARegister!X265</f>
        <v>0</v>
      </c>
      <c r="T168" s="291">
        <f>FARegister!Z265</f>
        <v>0</v>
      </c>
      <c r="U168" s="290">
        <f t="shared" ref="U168:U198" si="33">I168+L168-N168</f>
        <v>0</v>
      </c>
      <c r="V168" s="290">
        <f t="shared" ref="V168:V198" si="34">J168+T168-O168</f>
        <v>0</v>
      </c>
      <c r="W168" s="290">
        <f>+U168-V168</f>
        <v>0</v>
      </c>
    </row>
    <row r="169" spans="2:23" x14ac:dyDescent="0.2">
      <c r="B169" s="93"/>
      <c r="C169" s="1"/>
      <c r="D169" s="1"/>
      <c r="E169" s="1"/>
      <c r="F169" s="1"/>
      <c r="G169" s="1"/>
      <c r="H169" s="18"/>
      <c r="I169" s="104"/>
      <c r="K169" s="45">
        <f t="shared" ref="K169:K196" si="35">+I169-J169</f>
        <v>0</v>
      </c>
      <c r="L169" s="104"/>
      <c r="M169" s="104">
        <v>12</v>
      </c>
      <c r="N169" s="104"/>
      <c r="O169" s="104"/>
      <c r="T169" s="198"/>
      <c r="U169" s="45">
        <f t="shared" si="33"/>
        <v>0</v>
      </c>
      <c r="V169" s="45">
        <f t="shared" si="34"/>
        <v>0</v>
      </c>
      <c r="W169" s="45">
        <f t="shared" ref="W169" si="36">+U169-V169</f>
        <v>0</v>
      </c>
    </row>
    <row r="170" spans="2:23" x14ac:dyDescent="0.2">
      <c r="B170" s="93"/>
      <c r="C170" s="1"/>
      <c r="D170" s="1"/>
      <c r="E170" s="1"/>
      <c r="F170" s="1"/>
      <c r="G170" s="1"/>
      <c r="H170" s="18"/>
      <c r="I170" s="104"/>
      <c r="K170" s="45">
        <f t="shared" si="35"/>
        <v>0</v>
      </c>
      <c r="L170" s="104"/>
      <c r="M170" s="104">
        <v>12</v>
      </c>
      <c r="N170" s="104"/>
      <c r="O170" s="104"/>
      <c r="T170" s="198"/>
      <c r="U170" s="45">
        <f t="shared" si="33"/>
        <v>0</v>
      </c>
      <c r="V170" s="45">
        <f t="shared" si="34"/>
        <v>0</v>
      </c>
      <c r="W170" s="45">
        <f t="shared" ref="W170:W198" si="37">+U170-V170</f>
        <v>0</v>
      </c>
    </row>
    <row r="171" spans="2:23" x14ac:dyDescent="0.2">
      <c r="B171" s="93"/>
      <c r="C171" s="1"/>
      <c r="D171" s="1"/>
      <c r="E171" s="1"/>
      <c r="F171" s="1"/>
      <c r="G171" s="1"/>
      <c r="H171" s="18"/>
      <c r="I171" s="104"/>
      <c r="K171" s="45">
        <f t="shared" si="35"/>
        <v>0</v>
      </c>
      <c r="L171" s="104"/>
      <c r="M171" s="104">
        <v>12</v>
      </c>
      <c r="N171" s="104"/>
      <c r="O171" s="104"/>
      <c r="T171" s="198"/>
      <c r="U171" s="45">
        <f t="shared" si="33"/>
        <v>0</v>
      </c>
      <c r="V171" s="45">
        <f t="shared" si="34"/>
        <v>0</v>
      </c>
      <c r="W171" s="45">
        <f t="shared" si="37"/>
        <v>0</v>
      </c>
    </row>
    <row r="172" spans="2:23" x14ac:dyDescent="0.2">
      <c r="B172" s="93"/>
      <c r="C172" s="1"/>
      <c r="D172" s="1"/>
      <c r="E172" s="1"/>
      <c r="F172" s="1"/>
      <c r="G172" s="1"/>
      <c r="H172" s="18"/>
      <c r="I172" s="104"/>
      <c r="K172" s="45">
        <f t="shared" si="35"/>
        <v>0</v>
      </c>
      <c r="L172" s="104"/>
      <c r="M172" s="104">
        <v>12</v>
      </c>
      <c r="N172" s="104"/>
      <c r="O172" s="104"/>
      <c r="T172" s="198"/>
      <c r="U172" s="45">
        <f t="shared" si="33"/>
        <v>0</v>
      </c>
      <c r="V172" s="45">
        <f t="shared" si="34"/>
        <v>0</v>
      </c>
      <c r="W172" s="45">
        <f t="shared" si="37"/>
        <v>0</v>
      </c>
    </row>
    <row r="173" spans="2:23" x14ac:dyDescent="0.2">
      <c r="B173" s="93"/>
      <c r="C173" s="1"/>
      <c r="D173" s="1"/>
      <c r="E173" s="1"/>
      <c r="F173" s="1"/>
      <c r="G173" s="1"/>
      <c r="H173" s="18"/>
      <c r="I173" s="104"/>
      <c r="K173" s="45">
        <f t="shared" si="35"/>
        <v>0</v>
      </c>
      <c r="L173" s="104"/>
      <c r="M173" s="104">
        <v>12</v>
      </c>
      <c r="N173" s="104"/>
      <c r="O173" s="104"/>
      <c r="T173" s="198"/>
      <c r="U173" s="45">
        <f t="shared" si="33"/>
        <v>0</v>
      </c>
      <c r="V173" s="45">
        <f t="shared" si="34"/>
        <v>0</v>
      </c>
      <c r="W173" s="45">
        <f t="shared" si="37"/>
        <v>0</v>
      </c>
    </row>
    <row r="174" spans="2:23" x14ac:dyDescent="0.2">
      <c r="B174" s="93"/>
      <c r="C174" s="1"/>
      <c r="D174" s="1"/>
      <c r="E174" s="1"/>
      <c r="F174" s="1"/>
      <c r="G174" s="1"/>
      <c r="H174" s="18"/>
      <c r="I174" s="104"/>
      <c r="K174" s="45">
        <f t="shared" si="35"/>
        <v>0</v>
      </c>
      <c r="L174" s="104"/>
      <c r="M174" s="104">
        <v>12</v>
      </c>
      <c r="N174" s="104"/>
      <c r="O174" s="104"/>
      <c r="T174" s="198"/>
      <c r="U174" s="45">
        <f t="shared" si="33"/>
        <v>0</v>
      </c>
      <c r="V174" s="45">
        <f t="shared" si="34"/>
        <v>0</v>
      </c>
      <c r="W174" s="45">
        <f t="shared" si="37"/>
        <v>0</v>
      </c>
    </row>
    <row r="175" spans="2:23" x14ac:dyDescent="0.2">
      <c r="B175" s="93"/>
      <c r="C175" s="1"/>
      <c r="D175" s="1"/>
      <c r="E175" s="1"/>
      <c r="F175" s="1"/>
      <c r="G175" s="1"/>
      <c r="H175" s="18"/>
      <c r="I175" s="104"/>
      <c r="K175" s="45">
        <f t="shared" si="35"/>
        <v>0</v>
      </c>
      <c r="L175" s="104"/>
      <c r="M175" s="104">
        <v>12</v>
      </c>
      <c r="N175" s="104"/>
      <c r="O175" s="104"/>
      <c r="T175" s="198"/>
      <c r="U175" s="45">
        <f t="shared" si="33"/>
        <v>0</v>
      </c>
      <c r="V175" s="45">
        <f t="shared" si="34"/>
        <v>0</v>
      </c>
      <c r="W175" s="45">
        <f t="shared" si="37"/>
        <v>0</v>
      </c>
    </row>
    <row r="176" spans="2:23" x14ac:dyDescent="0.2">
      <c r="B176" s="93"/>
      <c r="C176" s="1"/>
      <c r="D176" s="1"/>
      <c r="E176" s="1"/>
      <c r="F176" s="1"/>
      <c r="G176" s="1"/>
      <c r="H176" s="18"/>
      <c r="I176" s="104"/>
      <c r="K176" s="45">
        <f t="shared" si="35"/>
        <v>0</v>
      </c>
      <c r="L176" s="104"/>
      <c r="M176" s="104">
        <v>12</v>
      </c>
      <c r="N176" s="104"/>
      <c r="O176" s="104"/>
      <c r="T176" s="198"/>
      <c r="U176" s="45">
        <f t="shared" si="33"/>
        <v>0</v>
      </c>
      <c r="V176" s="45">
        <f t="shared" si="34"/>
        <v>0</v>
      </c>
      <c r="W176" s="45">
        <f t="shared" si="37"/>
        <v>0</v>
      </c>
    </row>
    <row r="177" spans="2:23" x14ac:dyDescent="0.2">
      <c r="B177" s="93"/>
      <c r="C177" s="1"/>
      <c r="D177" s="1"/>
      <c r="E177" s="1"/>
      <c r="F177" s="1"/>
      <c r="G177" s="1"/>
      <c r="H177" s="18"/>
      <c r="I177" s="104"/>
      <c r="K177" s="45">
        <f t="shared" si="35"/>
        <v>0</v>
      </c>
      <c r="L177" s="104"/>
      <c r="M177" s="104">
        <v>12</v>
      </c>
      <c r="N177" s="104"/>
      <c r="O177" s="104"/>
      <c r="T177" s="198"/>
      <c r="U177" s="45">
        <f t="shared" si="33"/>
        <v>0</v>
      </c>
      <c r="V177" s="45">
        <f t="shared" si="34"/>
        <v>0</v>
      </c>
      <c r="W177" s="45">
        <f t="shared" si="37"/>
        <v>0</v>
      </c>
    </row>
    <row r="178" spans="2:23" x14ac:dyDescent="0.2">
      <c r="B178" s="93"/>
      <c r="C178" s="1"/>
      <c r="D178" s="1"/>
      <c r="E178" s="1"/>
      <c r="F178" s="1"/>
      <c r="G178" s="1"/>
      <c r="H178" s="18"/>
      <c r="I178" s="104"/>
      <c r="K178" s="45">
        <f t="shared" si="35"/>
        <v>0</v>
      </c>
      <c r="L178" s="104"/>
      <c r="M178" s="104">
        <v>12</v>
      </c>
      <c r="N178" s="104"/>
      <c r="O178" s="104"/>
      <c r="T178" s="198"/>
      <c r="U178" s="45">
        <f t="shared" si="33"/>
        <v>0</v>
      </c>
      <c r="V178" s="45">
        <f t="shared" si="34"/>
        <v>0</v>
      </c>
      <c r="W178" s="45">
        <f t="shared" si="37"/>
        <v>0</v>
      </c>
    </row>
    <row r="179" spans="2:23" x14ac:dyDescent="0.2">
      <c r="B179" s="93"/>
      <c r="C179" s="1"/>
      <c r="D179" s="1"/>
      <c r="E179" s="1"/>
      <c r="F179" s="1"/>
      <c r="G179" s="1"/>
      <c r="H179" s="18"/>
      <c r="I179" s="104"/>
      <c r="K179" s="45">
        <f t="shared" si="35"/>
        <v>0</v>
      </c>
      <c r="L179" s="104"/>
      <c r="M179" s="104">
        <v>12</v>
      </c>
      <c r="N179" s="104"/>
      <c r="O179" s="104"/>
      <c r="T179" s="198"/>
      <c r="U179" s="45">
        <f t="shared" si="33"/>
        <v>0</v>
      </c>
      <c r="V179" s="45">
        <f t="shared" si="34"/>
        <v>0</v>
      </c>
      <c r="W179" s="45">
        <f t="shared" si="37"/>
        <v>0</v>
      </c>
    </row>
    <row r="180" spans="2:23" x14ac:dyDescent="0.2">
      <c r="B180" s="93"/>
      <c r="C180" s="1"/>
      <c r="D180" s="1"/>
      <c r="E180" s="1"/>
      <c r="F180" s="1"/>
      <c r="G180" s="1"/>
      <c r="H180" s="18"/>
      <c r="I180" s="104"/>
      <c r="K180" s="45">
        <f t="shared" si="35"/>
        <v>0</v>
      </c>
      <c r="L180" s="104"/>
      <c r="M180" s="104">
        <v>12</v>
      </c>
      <c r="N180" s="104"/>
      <c r="O180" s="104"/>
      <c r="T180" s="198"/>
      <c r="U180" s="45">
        <f t="shared" si="33"/>
        <v>0</v>
      </c>
      <c r="V180" s="45">
        <f t="shared" si="34"/>
        <v>0</v>
      </c>
      <c r="W180" s="45">
        <f t="shared" si="37"/>
        <v>0</v>
      </c>
    </row>
    <row r="181" spans="2:23" x14ac:dyDescent="0.2">
      <c r="B181" s="93"/>
      <c r="C181" s="1"/>
      <c r="D181" s="1"/>
      <c r="E181" s="1"/>
      <c r="F181" s="1"/>
      <c r="G181" s="1"/>
      <c r="H181" s="18"/>
      <c r="I181" s="104"/>
      <c r="K181" s="45">
        <f t="shared" si="35"/>
        <v>0</v>
      </c>
      <c r="L181" s="104"/>
      <c r="M181" s="104">
        <v>12</v>
      </c>
      <c r="N181" s="104"/>
      <c r="O181" s="104"/>
      <c r="T181" s="198"/>
      <c r="U181" s="45">
        <f t="shared" si="33"/>
        <v>0</v>
      </c>
      <c r="V181" s="45">
        <f t="shared" si="34"/>
        <v>0</v>
      </c>
      <c r="W181" s="45">
        <f t="shared" si="37"/>
        <v>0</v>
      </c>
    </row>
    <row r="182" spans="2:23" x14ac:dyDescent="0.2">
      <c r="B182" s="93"/>
      <c r="C182" s="1"/>
      <c r="D182" s="1"/>
      <c r="E182" s="1"/>
      <c r="F182" s="1"/>
      <c r="G182" s="1"/>
      <c r="H182" s="18"/>
      <c r="I182" s="104"/>
      <c r="K182" s="45">
        <f t="shared" si="35"/>
        <v>0</v>
      </c>
      <c r="L182" s="104"/>
      <c r="M182" s="104">
        <v>12</v>
      </c>
      <c r="N182" s="104"/>
      <c r="O182" s="104"/>
      <c r="T182" s="198"/>
      <c r="U182" s="45">
        <f t="shared" si="33"/>
        <v>0</v>
      </c>
      <c r="V182" s="45">
        <f t="shared" si="34"/>
        <v>0</v>
      </c>
      <c r="W182" s="45">
        <f t="shared" si="37"/>
        <v>0</v>
      </c>
    </row>
    <row r="183" spans="2:23" x14ac:dyDescent="0.2">
      <c r="B183" s="93"/>
      <c r="C183" s="1"/>
      <c r="D183" s="1"/>
      <c r="E183" s="1"/>
      <c r="F183" s="1"/>
      <c r="G183" s="1"/>
      <c r="H183" s="18"/>
      <c r="I183" s="104"/>
      <c r="K183" s="45">
        <f t="shared" si="35"/>
        <v>0</v>
      </c>
      <c r="L183" s="104"/>
      <c r="M183" s="104">
        <v>12</v>
      </c>
      <c r="N183" s="104"/>
      <c r="O183" s="104"/>
      <c r="T183" s="198"/>
      <c r="U183" s="45">
        <f t="shared" si="33"/>
        <v>0</v>
      </c>
      <c r="V183" s="45">
        <f t="shared" si="34"/>
        <v>0</v>
      </c>
      <c r="W183" s="45">
        <f t="shared" si="37"/>
        <v>0</v>
      </c>
    </row>
    <row r="184" spans="2:23" x14ac:dyDescent="0.2">
      <c r="B184" s="93"/>
      <c r="C184" s="1"/>
      <c r="D184" s="1"/>
      <c r="E184" s="1"/>
      <c r="F184" s="1"/>
      <c r="G184" s="1"/>
      <c r="H184" s="18"/>
      <c r="I184" s="104"/>
      <c r="K184" s="45">
        <f t="shared" si="35"/>
        <v>0</v>
      </c>
      <c r="L184" s="104"/>
      <c r="M184" s="104">
        <v>12</v>
      </c>
      <c r="N184" s="104"/>
      <c r="O184" s="104"/>
      <c r="T184" s="198"/>
      <c r="U184" s="45">
        <f t="shared" si="33"/>
        <v>0</v>
      </c>
      <c r="V184" s="45">
        <f t="shared" si="34"/>
        <v>0</v>
      </c>
      <c r="W184" s="45">
        <f t="shared" si="37"/>
        <v>0</v>
      </c>
    </row>
    <row r="185" spans="2:23" x14ac:dyDescent="0.2">
      <c r="B185" s="93"/>
      <c r="C185" s="1"/>
      <c r="D185" s="1"/>
      <c r="E185" s="1"/>
      <c r="F185" s="1"/>
      <c r="G185" s="1"/>
      <c r="H185" s="18"/>
      <c r="I185" s="104"/>
      <c r="K185" s="45">
        <f t="shared" si="35"/>
        <v>0</v>
      </c>
      <c r="L185" s="104"/>
      <c r="M185" s="104">
        <v>12</v>
      </c>
      <c r="N185" s="104"/>
      <c r="O185" s="104"/>
      <c r="T185" s="198"/>
      <c r="U185" s="45">
        <f t="shared" si="33"/>
        <v>0</v>
      </c>
      <c r="V185" s="45">
        <f t="shared" si="34"/>
        <v>0</v>
      </c>
      <c r="W185" s="45">
        <f t="shared" si="37"/>
        <v>0</v>
      </c>
    </row>
    <row r="186" spans="2:23" x14ac:dyDescent="0.2">
      <c r="B186" s="93"/>
      <c r="C186" s="1"/>
      <c r="D186" s="1"/>
      <c r="E186" s="1"/>
      <c r="F186" s="1"/>
      <c r="G186" s="1"/>
      <c r="H186" s="18"/>
      <c r="I186" s="104"/>
      <c r="K186" s="45">
        <f t="shared" si="35"/>
        <v>0</v>
      </c>
      <c r="L186" s="104"/>
      <c r="M186" s="104">
        <v>12</v>
      </c>
      <c r="N186" s="104"/>
      <c r="O186" s="104"/>
      <c r="T186" s="198"/>
      <c r="U186" s="45">
        <f t="shared" si="33"/>
        <v>0</v>
      </c>
      <c r="V186" s="45">
        <f t="shared" si="34"/>
        <v>0</v>
      </c>
      <c r="W186" s="45">
        <f t="shared" si="37"/>
        <v>0</v>
      </c>
    </row>
    <row r="187" spans="2:23" x14ac:dyDescent="0.2">
      <c r="B187" s="93"/>
      <c r="C187" s="1"/>
      <c r="D187" s="1"/>
      <c r="E187" s="1"/>
      <c r="F187" s="1"/>
      <c r="G187" s="1"/>
      <c r="H187" s="18"/>
      <c r="I187" s="104"/>
      <c r="K187" s="45">
        <f t="shared" si="35"/>
        <v>0</v>
      </c>
      <c r="L187" s="104"/>
      <c r="M187" s="104">
        <v>12</v>
      </c>
      <c r="N187" s="104"/>
      <c r="O187" s="104"/>
      <c r="T187" s="198"/>
      <c r="U187" s="45">
        <f t="shared" si="33"/>
        <v>0</v>
      </c>
      <c r="V187" s="45">
        <f t="shared" si="34"/>
        <v>0</v>
      </c>
      <c r="W187" s="45">
        <f t="shared" si="37"/>
        <v>0</v>
      </c>
    </row>
    <row r="188" spans="2:23" x14ac:dyDescent="0.2">
      <c r="B188" s="93"/>
      <c r="C188" s="1"/>
      <c r="D188" s="1"/>
      <c r="E188" s="1"/>
      <c r="F188" s="1"/>
      <c r="G188" s="1"/>
      <c r="H188" s="18"/>
      <c r="I188" s="104"/>
      <c r="K188" s="45">
        <f t="shared" si="35"/>
        <v>0</v>
      </c>
      <c r="L188" s="104"/>
      <c r="M188" s="104">
        <v>12</v>
      </c>
      <c r="N188" s="104"/>
      <c r="O188" s="104"/>
      <c r="T188" s="198"/>
      <c r="U188" s="45">
        <f t="shared" si="33"/>
        <v>0</v>
      </c>
      <c r="V188" s="45">
        <f t="shared" si="34"/>
        <v>0</v>
      </c>
      <c r="W188" s="45">
        <f t="shared" si="37"/>
        <v>0</v>
      </c>
    </row>
    <row r="189" spans="2:23" x14ac:dyDescent="0.2">
      <c r="B189" s="93"/>
      <c r="C189" s="1"/>
      <c r="D189" s="1"/>
      <c r="E189" s="1"/>
      <c r="F189" s="1"/>
      <c r="G189" s="1"/>
      <c r="H189" s="18"/>
      <c r="I189" s="104"/>
      <c r="K189" s="45">
        <f t="shared" si="35"/>
        <v>0</v>
      </c>
      <c r="L189" s="104"/>
      <c r="M189" s="104">
        <v>12</v>
      </c>
      <c r="N189" s="104"/>
      <c r="O189" s="104"/>
      <c r="T189" s="198"/>
      <c r="U189" s="45">
        <f t="shared" si="33"/>
        <v>0</v>
      </c>
      <c r="V189" s="45">
        <f t="shared" si="34"/>
        <v>0</v>
      </c>
      <c r="W189" s="45">
        <f t="shared" si="37"/>
        <v>0</v>
      </c>
    </row>
    <row r="190" spans="2:23" x14ac:dyDescent="0.2">
      <c r="B190" s="93"/>
      <c r="C190" s="1"/>
      <c r="D190" s="1"/>
      <c r="E190" s="1"/>
      <c r="F190" s="1"/>
      <c r="G190" s="1"/>
      <c r="H190" s="18"/>
      <c r="I190" s="104"/>
      <c r="K190" s="45">
        <f t="shared" si="35"/>
        <v>0</v>
      </c>
      <c r="L190" s="104"/>
      <c r="M190" s="104">
        <v>12</v>
      </c>
      <c r="N190" s="104"/>
      <c r="O190" s="104"/>
      <c r="T190" s="198"/>
      <c r="U190" s="45">
        <f t="shared" si="33"/>
        <v>0</v>
      </c>
      <c r="V190" s="45">
        <f t="shared" si="34"/>
        <v>0</v>
      </c>
      <c r="W190" s="45">
        <f t="shared" si="37"/>
        <v>0</v>
      </c>
    </row>
    <row r="191" spans="2:23" x14ac:dyDescent="0.2">
      <c r="B191" s="93"/>
      <c r="C191" s="1"/>
      <c r="D191" s="1"/>
      <c r="E191" s="1"/>
      <c r="F191" s="1"/>
      <c r="G191" s="1"/>
      <c r="H191" s="18"/>
      <c r="I191" s="104"/>
      <c r="K191" s="45">
        <f t="shared" si="35"/>
        <v>0</v>
      </c>
      <c r="L191" s="104"/>
      <c r="M191" s="104">
        <v>12</v>
      </c>
      <c r="N191" s="104"/>
      <c r="O191" s="104"/>
      <c r="T191" s="198"/>
      <c r="U191" s="45">
        <f t="shared" si="33"/>
        <v>0</v>
      </c>
      <c r="V191" s="45">
        <f t="shared" si="34"/>
        <v>0</v>
      </c>
      <c r="W191" s="45">
        <f t="shared" si="37"/>
        <v>0</v>
      </c>
    </row>
    <row r="192" spans="2:23" x14ac:dyDescent="0.2">
      <c r="B192" s="93"/>
      <c r="C192" s="1"/>
      <c r="D192" s="1"/>
      <c r="E192" s="1"/>
      <c r="F192" s="1"/>
      <c r="G192" s="1"/>
      <c r="H192" s="18"/>
      <c r="I192" s="104"/>
      <c r="K192" s="45">
        <f t="shared" si="35"/>
        <v>0</v>
      </c>
      <c r="L192" s="104"/>
      <c r="M192" s="104">
        <v>12</v>
      </c>
      <c r="N192" s="104"/>
      <c r="O192" s="104"/>
      <c r="T192" s="198"/>
      <c r="U192" s="45">
        <f t="shared" si="33"/>
        <v>0</v>
      </c>
      <c r="V192" s="45">
        <f t="shared" si="34"/>
        <v>0</v>
      </c>
      <c r="W192" s="45">
        <f t="shared" si="37"/>
        <v>0</v>
      </c>
    </row>
    <row r="193" spans="2:23" x14ac:dyDescent="0.2">
      <c r="B193" s="93"/>
      <c r="C193" s="1"/>
      <c r="D193" s="1"/>
      <c r="E193" s="1"/>
      <c r="F193" s="1"/>
      <c r="G193" s="1"/>
      <c r="H193" s="18"/>
      <c r="I193" s="104"/>
      <c r="K193" s="45">
        <f t="shared" si="35"/>
        <v>0</v>
      </c>
      <c r="L193" s="104"/>
      <c r="M193" s="104">
        <v>12</v>
      </c>
      <c r="N193" s="104"/>
      <c r="O193" s="104"/>
      <c r="T193" s="198"/>
      <c r="U193" s="45">
        <f t="shared" si="33"/>
        <v>0</v>
      </c>
      <c r="V193" s="45">
        <f t="shared" si="34"/>
        <v>0</v>
      </c>
      <c r="W193" s="45">
        <f t="shared" si="37"/>
        <v>0</v>
      </c>
    </row>
    <row r="194" spans="2:23" x14ac:dyDescent="0.2">
      <c r="B194" s="93"/>
      <c r="C194" s="1"/>
      <c r="D194" s="1"/>
      <c r="E194" s="1"/>
      <c r="F194" s="1"/>
      <c r="G194" s="1"/>
      <c r="H194" s="18"/>
      <c r="I194" s="104"/>
      <c r="K194" s="45">
        <f t="shared" si="35"/>
        <v>0</v>
      </c>
      <c r="L194" s="104"/>
      <c r="M194" s="104">
        <v>12</v>
      </c>
      <c r="N194" s="104"/>
      <c r="O194" s="104"/>
      <c r="T194" s="198"/>
      <c r="U194" s="45">
        <f t="shared" si="33"/>
        <v>0</v>
      </c>
      <c r="V194" s="45">
        <f t="shared" si="34"/>
        <v>0</v>
      </c>
      <c r="W194" s="45">
        <f t="shared" si="37"/>
        <v>0</v>
      </c>
    </row>
    <row r="195" spans="2:23" x14ac:dyDescent="0.2">
      <c r="B195" s="93"/>
      <c r="C195" s="1"/>
      <c r="D195" s="1"/>
      <c r="E195" s="1"/>
      <c r="F195" s="1"/>
      <c r="G195" s="1"/>
      <c r="H195" s="18"/>
      <c r="I195" s="104"/>
      <c r="K195" s="45">
        <f t="shared" si="35"/>
        <v>0</v>
      </c>
      <c r="L195" s="104"/>
      <c r="M195" s="104">
        <v>12</v>
      </c>
      <c r="N195" s="104"/>
      <c r="O195" s="104"/>
      <c r="T195" s="198"/>
      <c r="U195" s="45">
        <f t="shared" si="33"/>
        <v>0</v>
      </c>
      <c r="V195" s="45">
        <f t="shared" si="34"/>
        <v>0</v>
      </c>
      <c r="W195" s="45">
        <f t="shared" si="37"/>
        <v>0</v>
      </c>
    </row>
    <row r="196" spans="2:23" x14ac:dyDescent="0.2">
      <c r="B196" s="93"/>
      <c r="C196" s="1"/>
      <c r="D196" s="1"/>
      <c r="E196" s="1"/>
      <c r="F196" s="1"/>
      <c r="G196" s="1"/>
      <c r="H196" s="18"/>
      <c r="I196" s="104"/>
      <c r="K196" s="45">
        <f t="shared" si="35"/>
        <v>0</v>
      </c>
      <c r="L196" s="104"/>
      <c r="M196" s="104">
        <v>12</v>
      </c>
      <c r="N196" s="104"/>
      <c r="O196" s="104"/>
      <c r="T196" s="198"/>
      <c r="U196" s="45">
        <f t="shared" si="33"/>
        <v>0</v>
      </c>
      <c r="V196" s="45">
        <f t="shared" si="34"/>
        <v>0</v>
      </c>
      <c r="W196" s="45">
        <f t="shared" si="37"/>
        <v>0</v>
      </c>
    </row>
    <row r="197" spans="2:23" x14ac:dyDescent="0.2">
      <c r="B197" s="209"/>
      <c r="C197" s="1"/>
      <c r="D197" s="1"/>
      <c r="E197" s="1"/>
      <c r="F197" s="1"/>
      <c r="G197" s="1"/>
      <c r="H197" s="18"/>
      <c r="I197" s="104"/>
      <c r="K197" s="45">
        <f>+I197-J197</f>
        <v>0</v>
      </c>
      <c r="L197" s="104"/>
      <c r="M197" s="104">
        <v>12</v>
      </c>
      <c r="N197" s="104"/>
      <c r="O197" s="104"/>
      <c r="T197" s="198"/>
      <c r="U197" s="45">
        <f t="shared" si="33"/>
        <v>0</v>
      </c>
      <c r="V197" s="45">
        <f t="shared" si="34"/>
        <v>0</v>
      </c>
      <c r="W197" s="45">
        <f t="shared" si="37"/>
        <v>0</v>
      </c>
    </row>
    <row r="198" spans="2:23" x14ac:dyDescent="0.2">
      <c r="B198" s="209"/>
      <c r="C198" s="1"/>
      <c r="D198" s="1"/>
      <c r="E198" s="1"/>
      <c r="F198" s="1"/>
      <c r="G198" s="1"/>
      <c r="H198" s="18"/>
      <c r="I198" s="104"/>
      <c r="K198" s="45">
        <f>+I198-J198</f>
        <v>0</v>
      </c>
      <c r="L198" s="104"/>
      <c r="M198" s="104">
        <v>12</v>
      </c>
      <c r="N198" s="104"/>
      <c r="O198" s="104"/>
      <c r="T198" s="198"/>
      <c r="U198" s="45">
        <f t="shared" si="33"/>
        <v>0</v>
      </c>
      <c r="V198" s="45">
        <f t="shared" si="34"/>
        <v>0</v>
      </c>
      <c r="W198" s="45">
        <f t="shared" si="37"/>
        <v>0</v>
      </c>
    </row>
    <row r="200" spans="2:23" ht="13.5" thickBot="1" x14ac:dyDescent="0.25">
      <c r="C200" s="45" t="s">
        <v>418</v>
      </c>
      <c r="I200" s="53">
        <f>SUM(I167:I199)</f>
        <v>0</v>
      </c>
      <c r="J200" s="53">
        <f>SUM(J167:J199)</f>
        <v>0</v>
      </c>
      <c r="K200" s="53">
        <f>SUM(K167:K199)</f>
        <v>0</v>
      </c>
      <c r="L200" s="53">
        <f>SUM(L167:L199)</f>
        <v>0</v>
      </c>
      <c r="M200" s="53"/>
      <c r="N200" s="53">
        <f t="shared" ref="N200:W200" si="38">SUM(N167:N199)</f>
        <v>0</v>
      </c>
      <c r="O200" s="53">
        <f t="shared" si="38"/>
        <v>0</v>
      </c>
      <c r="P200" s="53">
        <f t="shared" si="38"/>
        <v>0</v>
      </c>
      <c r="Q200" s="53">
        <f t="shared" si="38"/>
        <v>0</v>
      </c>
      <c r="R200" s="53">
        <f t="shared" si="38"/>
        <v>0</v>
      </c>
      <c r="S200" s="53">
        <f t="shared" si="38"/>
        <v>0</v>
      </c>
      <c r="T200" s="53">
        <f t="shared" si="38"/>
        <v>0</v>
      </c>
      <c r="U200" s="53">
        <f t="shared" si="38"/>
        <v>0</v>
      </c>
      <c r="V200" s="53">
        <f t="shared" si="38"/>
        <v>0</v>
      </c>
      <c r="W200" s="53">
        <f t="shared" si="38"/>
        <v>0</v>
      </c>
    </row>
    <row r="201" spans="2:23" ht="13.5" thickTop="1" x14ac:dyDescent="0.2">
      <c r="G201" s="45" t="s">
        <v>880</v>
      </c>
      <c r="I201" s="45">
        <f>I200-FARegister!I265</f>
        <v>0</v>
      </c>
      <c r="L201" s="45">
        <f>L200-FARegister!L265</f>
        <v>0</v>
      </c>
      <c r="N201" s="45">
        <f>N200-FARegister!Q265</f>
        <v>0</v>
      </c>
      <c r="P201" s="45">
        <f>P200-FARegister!S265</f>
        <v>0</v>
      </c>
      <c r="U201" s="45">
        <f>U200-FARegister!AA265</f>
        <v>0</v>
      </c>
    </row>
    <row r="203" spans="2:23" ht="14.25" x14ac:dyDescent="0.2">
      <c r="B203" s="208" t="s">
        <v>414</v>
      </c>
      <c r="I203" s="277"/>
      <c r="J203" s="277"/>
    </row>
    <row r="204" spans="2:23" x14ac:dyDescent="0.2">
      <c r="B204" s="205"/>
      <c r="I204" s="22"/>
      <c r="J204" s="22"/>
      <c r="K204" s="22"/>
      <c r="L204" s="22"/>
      <c r="M204" s="22"/>
      <c r="N204" s="22"/>
      <c r="O204" s="22" t="s">
        <v>190</v>
      </c>
      <c r="P204" s="22"/>
      <c r="Q204" s="296" t="s">
        <v>868</v>
      </c>
      <c r="R204" s="297" t="s">
        <v>875</v>
      </c>
      <c r="S204" s="298" t="s">
        <v>869</v>
      </c>
      <c r="T204" s="22"/>
      <c r="U204" s="22"/>
      <c r="V204" s="22"/>
      <c r="W204" s="22"/>
    </row>
    <row r="205" spans="2:23" x14ac:dyDescent="0.2">
      <c r="B205" s="206" t="s">
        <v>28</v>
      </c>
      <c r="C205" s="70" t="s">
        <v>282</v>
      </c>
      <c r="D205" s="70"/>
      <c r="E205" s="110"/>
      <c r="F205" s="111"/>
      <c r="G205" s="110"/>
      <c r="H205" s="110"/>
      <c r="I205" s="24" t="s">
        <v>452</v>
      </c>
      <c r="J205" s="24" t="s">
        <v>878</v>
      </c>
      <c r="K205" s="24" t="s">
        <v>702</v>
      </c>
      <c r="L205" s="24" t="s">
        <v>334</v>
      </c>
      <c r="M205" s="24" t="s">
        <v>491</v>
      </c>
      <c r="N205" s="24" t="s">
        <v>704</v>
      </c>
      <c r="O205" s="24" t="s">
        <v>879</v>
      </c>
      <c r="P205" s="24" t="s">
        <v>867</v>
      </c>
      <c r="Q205" s="283" t="s">
        <v>870</v>
      </c>
      <c r="R205" s="24" t="s">
        <v>876</v>
      </c>
      <c r="S205" s="284" t="s">
        <v>871</v>
      </c>
      <c r="T205" s="24" t="s">
        <v>874</v>
      </c>
      <c r="U205" s="24" t="s">
        <v>452</v>
      </c>
      <c r="V205" s="24" t="s">
        <v>873</v>
      </c>
      <c r="W205" s="24" t="s">
        <v>702</v>
      </c>
    </row>
    <row r="207" spans="2:23" x14ac:dyDescent="0.2">
      <c r="C207" s="290" t="s">
        <v>881</v>
      </c>
      <c r="D207" s="290"/>
      <c r="E207" s="290"/>
      <c r="F207" s="290"/>
      <c r="G207" s="290"/>
      <c r="H207" s="290"/>
      <c r="I207" s="290">
        <f>FARegister!I370</f>
        <v>0</v>
      </c>
      <c r="J207" s="290">
        <f>FARegister!J370</f>
        <v>0</v>
      </c>
      <c r="K207" s="290">
        <f t="shared" ref="K207:K214" si="39">+I207-J207</f>
        <v>0</v>
      </c>
      <c r="L207" s="290">
        <f>FARegister!L370</f>
        <v>0</v>
      </c>
      <c r="M207" s="291">
        <v>12</v>
      </c>
      <c r="N207" s="290">
        <f>FARegister!Q370</f>
        <v>0</v>
      </c>
      <c r="O207" s="290">
        <f>FARegister!R370</f>
        <v>0</v>
      </c>
      <c r="P207" s="290">
        <f>FARegister!S370</f>
        <v>0</v>
      </c>
      <c r="Q207" s="290">
        <f>FARegister!V370</f>
        <v>0</v>
      </c>
      <c r="R207" s="290">
        <f>FARegister!W370</f>
        <v>0</v>
      </c>
      <c r="S207" s="290">
        <f>FARegister!X370</f>
        <v>0</v>
      </c>
      <c r="T207" s="290">
        <f>FARegister!Z370</f>
        <v>0</v>
      </c>
      <c r="U207" s="290">
        <f t="shared" ref="U207:U238" si="40">I207+L207-N207</f>
        <v>0</v>
      </c>
      <c r="V207" s="290">
        <f t="shared" ref="V207:V238" si="41">J207+T207-O207</f>
        <v>0</v>
      </c>
      <c r="W207" s="290">
        <f t="shared" ref="W207:W208" si="42">+U207-V207</f>
        <v>0</v>
      </c>
    </row>
    <row r="208" spans="2:23" x14ac:dyDescent="0.2">
      <c r="C208" s="183"/>
      <c r="K208" s="45">
        <f t="shared" si="39"/>
        <v>0</v>
      </c>
      <c r="M208" s="104">
        <v>12</v>
      </c>
      <c r="T208" s="198"/>
      <c r="U208" s="45">
        <f t="shared" si="40"/>
        <v>0</v>
      </c>
      <c r="V208" s="45">
        <f t="shared" si="41"/>
        <v>0</v>
      </c>
      <c r="W208" s="45">
        <f t="shared" si="42"/>
        <v>0</v>
      </c>
    </row>
    <row r="209" spans="2:23" x14ac:dyDescent="0.2">
      <c r="B209" s="58"/>
      <c r="C209" s="1"/>
      <c r="D209" s="1"/>
      <c r="E209" s="1"/>
      <c r="F209" s="1"/>
      <c r="G209" s="1"/>
      <c r="K209" s="45">
        <f t="shared" si="39"/>
        <v>0</v>
      </c>
      <c r="M209" s="104">
        <v>12</v>
      </c>
      <c r="N209" s="104"/>
      <c r="O209" s="104"/>
      <c r="T209" s="198"/>
      <c r="U209" s="45">
        <f t="shared" si="40"/>
        <v>0</v>
      </c>
      <c r="V209" s="45">
        <f t="shared" si="41"/>
        <v>0</v>
      </c>
      <c r="W209" s="45">
        <f t="shared" ref="W209:W272" si="43">+U209-V209</f>
        <v>0</v>
      </c>
    </row>
    <row r="210" spans="2:23" x14ac:dyDescent="0.2">
      <c r="B210" s="58"/>
      <c r="C210" s="1"/>
      <c r="D210" s="1"/>
      <c r="E210" s="1"/>
      <c r="F210" s="1"/>
      <c r="G210" s="1"/>
      <c r="K210" s="45">
        <f t="shared" si="39"/>
        <v>0</v>
      </c>
      <c r="M210" s="104">
        <v>12</v>
      </c>
      <c r="N210" s="104"/>
      <c r="O210" s="104"/>
      <c r="T210" s="198"/>
      <c r="U210" s="45">
        <f t="shared" si="40"/>
        <v>0</v>
      </c>
      <c r="V210" s="45">
        <f t="shared" si="41"/>
        <v>0</v>
      </c>
      <c r="W210" s="45">
        <f t="shared" si="43"/>
        <v>0</v>
      </c>
    </row>
    <row r="211" spans="2:23" x14ac:dyDescent="0.2">
      <c r="B211" s="58"/>
      <c r="C211" s="30"/>
      <c r="D211" s="1"/>
      <c r="E211" s="1"/>
      <c r="F211" s="1"/>
      <c r="G211" s="1"/>
      <c r="K211" s="45">
        <f t="shared" si="39"/>
        <v>0</v>
      </c>
      <c r="M211" s="104">
        <v>12</v>
      </c>
      <c r="N211" s="104"/>
      <c r="O211" s="104"/>
      <c r="T211" s="198"/>
      <c r="U211" s="45">
        <f t="shared" si="40"/>
        <v>0</v>
      </c>
      <c r="V211" s="45">
        <f t="shared" si="41"/>
        <v>0</v>
      </c>
      <c r="W211" s="45">
        <f t="shared" si="43"/>
        <v>0</v>
      </c>
    </row>
    <row r="212" spans="2:23" x14ac:dyDescent="0.2">
      <c r="B212" s="58"/>
      <c r="C212" s="1"/>
      <c r="D212" s="1"/>
      <c r="E212" s="1"/>
      <c r="F212" s="1"/>
      <c r="G212" s="1"/>
      <c r="K212" s="45">
        <f t="shared" si="39"/>
        <v>0</v>
      </c>
      <c r="M212" s="104">
        <v>12</v>
      </c>
      <c r="N212" s="104"/>
      <c r="O212" s="104"/>
      <c r="T212" s="198"/>
      <c r="U212" s="45">
        <f t="shared" si="40"/>
        <v>0</v>
      </c>
      <c r="V212" s="45">
        <f t="shared" si="41"/>
        <v>0</v>
      </c>
      <c r="W212" s="45">
        <f t="shared" si="43"/>
        <v>0</v>
      </c>
    </row>
    <row r="213" spans="2:23" x14ac:dyDescent="0.2">
      <c r="B213" s="58"/>
      <c r="C213" s="1"/>
      <c r="D213" s="30"/>
      <c r="E213" s="30"/>
      <c r="F213" s="30"/>
      <c r="G213" s="30"/>
      <c r="K213" s="45">
        <f t="shared" si="39"/>
        <v>0</v>
      </c>
      <c r="M213" s="104">
        <v>12</v>
      </c>
      <c r="N213" s="104"/>
      <c r="O213" s="104"/>
      <c r="T213" s="198"/>
      <c r="U213" s="45">
        <f t="shared" si="40"/>
        <v>0</v>
      </c>
      <c r="V213" s="45">
        <f t="shared" si="41"/>
        <v>0</v>
      </c>
      <c r="W213" s="45">
        <f t="shared" si="43"/>
        <v>0</v>
      </c>
    </row>
    <row r="214" spans="2:23" x14ac:dyDescent="0.2">
      <c r="B214" s="58"/>
      <c r="C214" s="1"/>
      <c r="D214" s="30"/>
      <c r="E214" s="30"/>
      <c r="F214" s="30"/>
      <c r="G214" s="30"/>
      <c r="K214" s="45">
        <f t="shared" si="39"/>
        <v>0</v>
      </c>
      <c r="M214" s="104">
        <v>12</v>
      </c>
      <c r="N214" s="104"/>
      <c r="O214" s="104"/>
      <c r="T214" s="198"/>
      <c r="U214" s="45">
        <f t="shared" si="40"/>
        <v>0</v>
      </c>
      <c r="V214" s="45">
        <f t="shared" si="41"/>
        <v>0</v>
      </c>
      <c r="W214" s="45">
        <f t="shared" si="43"/>
        <v>0</v>
      </c>
    </row>
    <row r="215" spans="2:23" ht="15" x14ac:dyDescent="0.25">
      <c r="B215" s="58"/>
      <c r="C215" s="30"/>
      <c r="D215" s="200"/>
      <c r="E215" s="200"/>
      <c r="F215" s="201"/>
      <c r="G215" s="200"/>
      <c r="K215" s="45">
        <f>+I215-J215</f>
        <v>0</v>
      </c>
      <c r="M215" s="104">
        <v>12</v>
      </c>
      <c r="N215" s="104"/>
      <c r="O215" s="104"/>
      <c r="T215" s="198"/>
      <c r="U215" s="45">
        <f t="shared" si="40"/>
        <v>0</v>
      </c>
      <c r="V215" s="45">
        <f t="shared" si="41"/>
        <v>0</v>
      </c>
      <c r="W215" s="45">
        <f t="shared" si="43"/>
        <v>0</v>
      </c>
    </row>
    <row r="216" spans="2:23" ht="15" x14ac:dyDescent="0.25">
      <c r="B216" s="211"/>
      <c r="C216" s="183"/>
      <c r="D216" s="200"/>
      <c r="E216" s="200"/>
      <c r="F216" s="201"/>
      <c r="G216" s="200"/>
      <c r="K216" s="45">
        <f>+I216-J216</f>
        <v>0</v>
      </c>
      <c r="M216" s="104">
        <v>12</v>
      </c>
      <c r="N216" s="104"/>
      <c r="O216" s="104"/>
      <c r="T216" s="198"/>
      <c r="U216" s="45">
        <f t="shared" si="40"/>
        <v>0</v>
      </c>
      <c r="V216" s="45">
        <f t="shared" si="41"/>
        <v>0</v>
      </c>
      <c r="W216" s="45">
        <f t="shared" si="43"/>
        <v>0</v>
      </c>
    </row>
    <row r="217" spans="2:23" ht="15" x14ac:dyDescent="0.25">
      <c r="B217" s="211"/>
      <c r="C217" s="200"/>
      <c r="D217" s="200"/>
      <c r="E217" s="200"/>
      <c r="F217" s="201"/>
      <c r="G217" s="200"/>
      <c r="K217" s="45">
        <f>+I217-J217</f>
        <v>0</v>
      </c>
      <c r="M217" s="104">
        <v>12</v>
      </c>
      <c r="N217" s="104"/>
      <c r="O217" s="104"/>
      <c r="T217" s="198"/>
      <c r="U217" s="45">
        <f t="shared" si="40"/>
        <v>0</v>
      </c>
      <c r="V217" s="45">
        <f t="shared" si="41"/>
        <v>0</v>
      </c>
      <c r="W217" s="45">
        <f t="shared" si="43"/>
        <v>0</v>
      </c>
    </row>
    <row r="218" spans="2:23" ht="15" x14ac:dyDescent="0.25">
      <c r="B218" s="211"/>
      <c r="C218" s="200"/>
      <c r="D218" s="200"/>
      <c r="E218" s="200"/>
      <c r="F218" s="201"/>
      <c r="G218" s="200"/>
      <c r="K218" s="45">
        <f>+I218-J218</f>
        <v>0</v>
      </c>
      <c r="M218" s="104">
        <v>12</v>
      </c>
      <c r="N218" s="104"/>
      <c r="O218" s="104"/>
      <c r="T218" s="198"/>
      <c r="U218" s="45">
        <f t="shared" si="40"/>
        <v>0</v>
      </c>
      <c r="V218" s="45">
        <f t="shared" si="41"/>
        <v>0</v>
      </c>
      <c r="W218" s="45">
        <f t="shared" si="43"/>
        <v>0</v>
      </c>
    </row>
    <row r="219" spans="2:23" ht="15" x14ac:dyDescent="0.25">
      <c r="B219" s="211"/>
      <c r="C219" s="200"/>
      <c r="D219" s="200"/>
      <c r="E219" s="200"/>
      <c r="F219" s="201"/>
      <c r="G219" s="200"/>
      <c r="K219" s="45">
        <f>+I219-J219</f>
        <v>0</v>
      </c>
      <c r="M219" s="104">
        <v>12</v>
      </c>
      <c r="N219" s="104"/>
      <c r="O219" s="104"/>
      <c r="T219" s="198"/>
      <c r="U219" s="45">
        <f t="shared" si="40"/>
        <v>0</v>
      </c>
      <c r="V219" s="45">
        <f t="shared" si="41"/>
        <v>0</v>
      </c>
      <c r="W219" s="45">
        <f t="shared" si="43"/>
        <v>0</v>
      </c>
    </row>
    <row r="220" spans="2:23" ht="15" x14ac:dyDescent="0.25">
      <c r="B220" s="211"/>
      <c r="C220" s="200"/>
      <c r="D220" s="200"/>
      <c r="E220" s="200"/>
      <c r="F220" s="201"/>
      <c r="G220" s="200"/>
      <c r="K220" s="45">
        <f t="shared" ref="K220:K303" si="44">+I220-J220</f>
        <v>0</v>
      </c>
      <c r="M220" s="104">
        <v>12</v>
      </c>
      <c r="N220" s="104"/>
      <c r="O220" s="104"/>
      <c r="T220" s="198"/>
      <c r="U220" s="45">
        <f t="shared" si="40"/>
        <v>0</v>
      </c>
      <c r="V220" s="45">
        <f t="shared" si="41"/>
        <v>0</v>
      </c>
      <c r="W220" s="45">
        <f t="shared" si="43"/>
        <v>0</v>
      </c>
    </row>
    <row r="221" spans="2:23" ht="15" x14ac:dyDescent="0.25">
      <c r="B221" s="211"/>
      <c r="C221" s="200"/>
      <c r="D221" s="200"/>
      <c r="E221" s="200"/>
      <c r="F221" s="201"/>
      <c r="G221" s="200"/>
      <c r="K221" s="45">
        <f t="shared" si="44"/>
        <v>0</v>
      </c>
      <c r="M221" s="104">
        <v>12</v>
      </c>
      <c r="N221" s="104"/>
      <c r="O221" s="104"/>
      <c r="T221" s="198"/>
      <c r="U221" s="45">
        <f t="shared" si="40"/>
        <v>0</v>
      </c>
      <c r="V221" s="45">
        <f t="shared" si="41"/>
        <v>0</v>
      </c>
      <c r="W221" s="45">
        <f t="shared" si="43"/>
        <v>0</v>
      </c>
    </row>
    <row r="222" spans="2:23" ht="15" x14ac:dyDescent="0.25">
      <c r="B222" s="211"/>
      <c r="C222" s="202"/>
      <c r="D222" s="200"/>
      <c r="E222" s="200"/>
      <c r="F222" s="201"/>
      <c r="G222" s="200"/>
      <c r="K222" s="45">
        <f t="shared" si="44"/>
        <v>0</v>
      </c>
      <c r="M222" s="104">
        <v>12</v>
      </c>
      <c r="N222" s="104"/>
      <c r="O222" s="104"/>
      <c r="T222" s="198"/>
      <c r="U222" s="45">
        <f t="shared" si="40"/>
        <v>0</v>
      </c>
      <c r="V222" s="45">
        <f t="shared" si="41"/>
        <v>0</v>
      </c>
      <c r="W222" s="45">
        <f t="shared" si="43"/>
        <v>0</v>
      </c>
    </row>
    <row r="223" spans="2:23" ht="15" x14ac:dyDescent="0.25">
      <c r="B223" s="211"/>
      <c r="C223" s="200"/>
      <c r="D223" s="200"/>
      <c r="E223" s="200"/>
      <c r="F223" s="201"/>
      <c r="G223" s="200"/>
      <c r="K223" s="45">
        <f t="shared" si="44"/>
        <v>0</v>
      </c>
      <c r="M223" s="104">
        <v>12</v>
      </c>
      <c r="N223" s="104"/>
      <c r="O223" s="104"/>
      <c r="T223" s="198"/>
      <c r="U223" s="45">
        <f t="shared" si="40"/>
        <v>0</v>
      </c>
      <c r="V223" s="45">
        <f t="shared" si="41"/>
        <v>0</v>
      </c>
      <c r="W223" s="45">
        <f t="shared" si="43"/>
        <v>0</v>
      </c>
    </row>
    <row r="224" spans="2:23" ht="15" x14ac:dyDescent="0.25">
      <c r="B224" s="211"/>
      <c r="C224" s="200"/>
      <c r="D224" s="200"/>
      <c r="E224" s="200"/>
      <c r="F224" s="201"/>
      <c r="G224" s="200"/>
      <c r="K224" s="45">
        <f t="shared" si="44"/>
        <v>0</v>
      </c>
      <c r="M224" s="104">
        <v>12</v>
      </c>
      <c r="N224" s="104"/>
      <c r="O224" s="104"/>
      <c r="T224" s="198"/>
      <c r="U224" s="45">
        <f t="shared" si="40"/>
        <v>0</v>
      </c>
      <c r="V224" s="45">
        <f t="shared" si="41"/>
        <v>0</v>
      </c>
      <c r="W224" s="45">
        <f t="shared" si="43"/>
        <v>0</v>
      </c>
    </row>
    <row r="225" spans="2:23" ht="15" x14ac:dyDescent="0.25">
      <c r="B225" s="211"/>
      <c r="C225" s="200"/>
      <c r="D225" s="200"/>
      <c r="E225" s="200"/>
      <c r="F225" s="201"/>
      <c r="G225" s="200"/>
      <c r="K225" s="45">
        <f t="shared" si="44"/>
        <v>0</v>
      </c>
      <c r="M225" s="104">
        <v>12</v>
      </c>
      <c r="N225" s="104"/>
      <c r="O225" s="104"/>
      <c r="T225" s="198"/>
      <c r="U225" s="45">
        <f t="shared" si="40"/>
        <v>0</v>
      </c>
      <c r="V225" s="45">
        <f t="shared" si="41"/>
        <v>0</v>
      </c>
      <c r="W225" s="45">
        <f t="shared" si="43"/>
        <v>0</v>
      </c>
    </row>
    <row r="226" spans="2:23" ht="15" x14ac:dyDescent="0.25">
      <c r="B226" s="211"/>
      <c r="C226" s="200"/>
      <c r="D226" s="200"/>
      <c r="E226" s="200"/>
      <c r="F226" s="201"/>
      <c r="G226" s="200"/>
      <c r="K226" s="45">
        <f t="shared" si="44"/>
        <v>0</v>
      </c>
      <c r="M226" s="104">
        <v>12</v>
      </c>
      <c r="N226" s="104"/>
      <c r="O226" s="104"/>
      <c r="T226" s="198"/>
      <c r="U226" s="45">
        <f t="shared" si="40"/>
        <v>0</v>
      </c>
      <c r="V226" s="45">
        <f t="shared" si="41"/>
        <v>0</v>
      </c>
      <c r="W226" s="45">
        <f t="shared" si="43"/>
        <v>0</v>
      </c>
    </row>
    <row r="227" spans="2:23" ht="15" x14ac:dyDescent="0.25">
      <c r="B227" s="211"/>
      <c r="C227" s="200"/>
      <c r="D227" s="200"/>
      <c r="E227" s="200"/>
      <c r="F227" s="201"/>
      <c r="G227" s="200"/>
      <c r="K227" s="45">
        <f t="shared" si="44"/>
        <v>0</v>
      </c>
      <c r="M227" s="104">
        <v>12</v>
      </c>
      <c r="N227" s="104"/>
      <c r="O227" s="104"/>
      <c r="T227" s="198"/>
      <c r="U227" s="45">
        <f t="shared" si="40"/>
        <v>0</v>
      </c>
      <c r="V227" s="45">
        <f t="shared" si="41"/>
        <v>0</v>
      </c>
      <c r="W227" s="45">
        <f t="shared" si="43"/>
        <v>0</v>
      </c>
    </row>
    <row r="228" spans="2:23" ht="15" x14ac:dyDescent="0.25">
      <c r="B228" s="211"/>
      <c r="C228" s="200"/>
      <c r="D228" s="200"/>
      <c r="E228" s="200"/>
      <c r="F228" s="201"/>
      <c r="G228" s="200"/>
      <c r="K228" s="45">
        <f t="shared" si="44"/>
        <v>0</v>
      </c>
      <c r="M228" s="104">
        <v>12</v>
      </c>
      <c r="N228" s="104"/>
      <c r="O228" s="104"/>
      <c r="T228" s="198"/>
      <c r="U228" s="45">
        <f t="shared" si="40"/>
        <v>0</v>
      </c>
      <c r="V228" s="45">
        <f t="shared" si="41"/>
        <v>0</v>
      </c>
      <c r="W228" s="45">
        <f t="shared" si="43"/>
        <v>0</v>
      </c>
    </row>
    <row r="229" spans="2:23" ht="15" x14ac:dyDescent="0.25">
      <c r="B229" s="211"/>
      <c r="C229" s="200"/>
      <c r="D229" s="200"/>
      <c r="E229" s="200"/>
      <c r="F229" s="201"/>
      <c r="G229" s="200"/>
      <c r="K229" s="45">
        <f t="shared" si="44"/>
        <v>0</v>
      </c>
      <c r="M229" s="104">
        <v>12</v>
      </c>
      <c r="N229" s="104"/>
      <c r="O229" s="104"/>
      <c r="T229" s="198"/>
      <c r="U229" s="45">
        <f t="shared" si="40"/>
        <v>0</v>
      </c>
      <c r="V229" s="45">
        <f t="shared" si="41"/>
        <v>0</v>
      </c>
      <c r="W229" s="45">
        <f t="shared" si="43"/>
        <v>0</v>
      </c>
    </row>
    <row r="230" spans="2:23" ht="15" x14ac:dyDescent="0.25">
      <c r="B230" s="211"/>
      <c r="C230" s="200"/>
      <c r="D230" s="200"/>
      <c r="E230" s="200"/>
      <c r="F230" s="201"/>
      <c r="G230" s="200"/>
      <c r="K230" s="45">
        <f t="shared" si="44"/>
        <v>0</v>
      </c>
      <c r="M230" s="104">
        <v>12</v>
      </c>
      <c r="N230" s="104"/>
      <c r="O230" s="104"/>
      <c r="T230" s="198"/>
      <c r="U230" s="45">
        <f t="shared" si="40"/>
        <v>0</v>
      </c>
      <c r="V230" s="45">
        <f t="shared" si="41"/>
        <v>0</v>
      </c>
      <c r="W230" s="45">
        <f t="shared" si="43"/>
        <v>0</v>
      </c>
    </row>
    <row r="231" spans="2:23" ht="15" x14ac:dyDescent="0.25">
      <c r="B231" s="211"/>
      <c r="C231" s="200"/>
      <c r="D231" s="200"/>
      <c r="E231" s="200"/>
      <c r="F231" s="201"/>
      <c r="G231" s="200"/>
      <c r="K231" s="45">
        <f t="shared" si="44"/>
        <v>0</v>
      </c>
      <c r="M231" s="104">
        <v>12</v>
      </c>
      <c r="N231" s="104"/>
      <c r="O231" s="104"/>
      <c r="T231" s="198"/>
      <c r="U231" s="45">
        <f t="shared" si="40"/>
        <v>0</v>
      </c>
      <c r="V231" s="45">
        <f t="shared" si="41"/>
        <v>0</v>
      </c>
      <c r="W231" s="45">
        <f t="shared" si="43"/>
        <v>0</v>
      </c>
    </row>
    <row r="232" spans="2:23" ht="15" x14ac:dyDescent="0.25">
      <c r="B232" s="211"/>
      <c r="C232" s="200"/>
      <c r="D232" s="200"/>
      <c r="E232" s="200"/>
      <c r="F232" s="201"/>
      <c r="G232" s="200"/>
      <c r="K232" s="45">
        <f t="shared" si="44"/>
        <v>0</v>
      </c>
      <c r="M232" s="104">
        <v>12</v>
      </c>
      <c r="N232" s="104"/>
      <c r="O232" s="104"/>
      <c r="T232" s="198"/>
      <c r="U232" s="45">
        <f t="shared" si="40"/>
        <v>0</v>
      </c>
      <c r="V232" s="45">
        <f t="shared" si="41"/>
        <v>0</v>
      </c>
      <c r="W232" s="45">
        <f t="shared" si="43"/>
        <v>0</v>
      </c>
    </row>
    <row r="233" spans="2:23" ht="15" x14ac:dyDescent="0.25">
      <c r="B233" s="211"/>
      <c r="C233" s="200"/>
      <c r="D233" s="200"/>
      <c r="E233" s="200"/>
      <c r="F233" s="201"/>
      <c r="G233" s="200"/>
      <c r="K233" s="45">
        <f t="shared" si="44"/>
        <v>0</v>
      </c>
      <c r="M233" s="104">
        <v>12</v>
      </c>
      <c r="N233" s="104"/>
      <c r="O233" s="104"/>
      <c r="T233" s="198"/>
      <c r="U233" s="45">
        <f t="shared" si="40"/>
        <v>0</v>
      </c>
      <c r="V233" s="45">
        <f t="shared" si="41"/>
        <v>0</v>
      </c>
      <c r="W233" s="45">
        <f t="shared" si="43"/>
        <v>0</v>
      </c>
    </row>
    <row r="234" spans="2:23" ht="15" x14ac:dyDescent="0.25">
      <c r="B234" s="211"/>
      <c r="C234" s="200"/>
      <c r="D234" s="200"/>
      <c r="E234" s="200"/>
      <c r="F234" s="201"/>
      <c r="G234" s="200"/>
      <c r="K234" s="45">
        <f t="shared" si="44"/>
        <v>0</v>
      </c>
      <c r="M234" s="104">
        <v>12</v>
      </c>
      <c r="N234" s="104"/>
      <c r="O234" s="104"/>
      <c r="T234" s="198"/>
      <c r="U234" s="45">
        <f t="shared" si="40"/>
        <v>0</v>
      </c>
      <c r="V234" s="45">
        <f t="shared" si="41"/>
        <v>0</v>
      </c>
      <c r="W234" s="45">
        <f t="shared" si="43"/>
        <v>0</v>
      </c>
    </row>
    <row r="235" spans="2:23" ht="15" x14ac:dyDescent="0.25">
      <c r="B235" s="211"/>
      <c r="C235" s="200"/>
      <c r="D235" s="200"/>
      <c r="E235" s="200"/>
      <c r="F235" s="201"/>
      <c r="G235" s="200"/>
      <c r="K235" s="45">
        <f t="shared" si="44"/>
        <v>0</v>
      </c>
      <c r="M235" s="104">
        <v>12</v>
      </c>
      <c r="N235" s="104"/>
      <c r="O235" s="104"/>
      <c r="T235" s="198"/>
      <c r="U235" s="45">
        <f t="shared" si="40"/>
        <v>0</v>
      </c>
      <c r="V235" s="45">
        <f t="shared" si="41"/>
        <v>0</v>
      </c>
      <c r="W235" s="45">
        <f t="shared" si="43"/>
        <v>0</v>
      </c>
    </row>
    <row r="236" spans="2:23" ht="15" x14ac:dyDescent="0.25">
      <c r="B236" s="211"/>
      <c r="C236" s="200"/>
      <c r="D236" s="200"/>
      <c r="E236" s="200"/>
      <c r="F236" s="201"/>
      <c r="G236" s="200"/>
      <c r="K236" s="45">
        <f t="shared" si="44"/>
        <v>0</v>
      </c>
      <c r="M236" s="104">
        <v>12</v>
      </c>
      <c r="N236" s="104"/>
      <c r="O236" s="104"/>
      <c r="T236" s="198"/>
      <c r="U236" s="45">
        <f t="shared" si="40"/>
        <v>0</v>
      </c>
      <c r="V236" s="45">
        <f t="shared" si="41"/>
        <v>0</v>
      </c>
      <c r="W236" s="45">
        <f t="shared" si="43"/>
        <v>0</v>
      </c>
    </row>
    <row r="237" spans="2:23" ht="15" x14ac:dyDescent="0.25">
      <c r="B237" s="211"/>
      <c r="C237" s="200"/>
      <c r="D237" s="200"/>
      <c r="E237" s="200"/>
      <c r="F237" s="201"/>
      <c r="G237" s="200"/>
      <c r="K237" s="45">
        <f t="shared" si="44"/>
        <v>0</v>
      </c>
      <c r="M237" s="104">
        <v>12</v>
      </c>
      <c r="N237" s="104"/>
      <c r="O237" s="104"/>
      <c r="T237" s="198"/>
      <c r="U237" s="45">
        <f t="shared" si="40"/>
        <v>0</v>
      </c>
      <c r="V237" s="45">
        <f t="shared" si="41"/>
        <v>0</v>
      </c>
      <c r="W237" s="45">
        <f t="shared" si="43"/>
        <v>0</v>
      </c>
    </row>
    <row r="238" spans="2:23" ht="15" x14ac:dyDescent="0.25">
      <c r="B238" s="211"/>
      <c r="C238" s="200"/>
      <c r="D238" s="200"/>
      <c r="E238" s="200"/>
      <c r="F238" s="201"/>
      <c r="G238" s="200"/>
      <c r="K238" s="45">
        <f t="shared" si="44"/>
        <v>0</v>
      </c>
      <c r="M238" s="104">
        <v>12</v>
      </c>
      <c r="N238" s="104"/>
      <c r="O238" s="104"/>
      <c r="T238" s="198"/>
      <c r="U238" s="45">
        <f t="shared" si="40"/>
        <v>0</v>
      </c>
      <c r="V238" s="45">
        <f t="shared" si="41"/>
        <v>0</v>
      </c>
      <c r="W238" s="45">
        <f t="shared" si="43"/>
        <v>0</v>
      </c>
    </row>
    <row r="239" spans="2:23" ht="15" x14ac:dyDescent="0.25">
      <c r="B239" s="211"/>
      <c r="C239" s="200"/>
      <c r="D239" s="200"/>
      <c r="E239" s="200"/>
      <c r="F239" s="201"/>
      <c r="G239" s="200"/>
      <c r="K239" s="45">
        <f t="shared" si="44"/>
        <v>0</v>
      </c>
      <c r="M239" s="104">
        <v>12</v>
      </c>
      <c r="N239" s="104"/>
      <c r="O239" s="104"/>
      <c r="T239" s="198"/>
      <c r="U239" s="45">
        <f t="shared" ref="U239:U270" si="45">I239+L239-N239</f>
        <v>0</v>
      </c>
      <c r="V239" s="45">
        <f t="shared" ref="V239:V270" si="46">J239+T239-O239</f>
        <v>0</v>
      </c>
      <c r="W239" s="45">
        <f t="shared" si="43"/>
        <v>0</v>
      </c>
    </row>
    <row r="240" spans="2:23" ht="15" x14ac:dyDescent="0.25">
      <c r="B240" s="211"/>
      <c r="C240" s="200"/>
      <c r="D240" s="200"/>
      <c r="E240" s="200"/>
      <c r="F240" s="201"/>
      <c r="G240" s="200"/>
      <c r="K240" s="45">
        <f t="shared" si="44"/>
        <v>0</v>
      </c>
      <c r="M240" s="104">
        <v>12</v>
      </c>
      <c r="N240" s="104"/>
      <c r="O240" s="104"/>
      <c r="T240" s="198"/>
      <c r="U240" s="45">
        <f t="shared" si="45"/>
        <v>0</v>
      </c>
      <c r="V240" s="45">
        <f t="shared" si="46"/>
        <v>0</v>
      </c>
      <c r="W240" s="45">
        <f t="shared" si="43"/>
        <v>0</v>
      </c>
    </row>
    <row r="241" spans="2:23" ht="15" x14ac:dyDescent="0.25">
      <c r="B241" s="211"/>
      <c r="C241" s="200"/>
      <c r="D241" s="200"/>
      <c r="E241" s="200"/>
      <c r="F241" s="201"/>
      <c r="G241" s="200"/>
      <c r="K241" s="45">
        <f t="shared" si="44"/>
        <v>0</v>
      </c>
      <c r="M241" s="104">
        <v>12</v>
      </c>
      <c r="N241" s="104"/>
      <c r="O241" s="104"/>
      <c r="T241" s="198"/>
      <c r="U241" s="45">
        <f t="shared" si="45"/>
        <v>0</v>
      </c>
      <c r="V241" s="45">
        <f t="shared" si="46"/>
        <v>0</v>
      </c>
      <c r="W241" s="45">
        <f t="shared" si="43"/>
        <v>0</v>
      </c>
    </row>
    <row r="242" spans="2:23" ht="15" x14ac:dyDescent="0.25">
      <c r="B242" s="211"/>
      <c r="C242" s="200"/>
      <c r="D242" s="200"/>
      <c r="E242" s="200"/>
      <c r="F242" s="201"/>
      <c r="G242" s="200"/>
      <c r="K242" s="45">
        <f t="shared" si="44"/>
        <v>0</v>
      </c>
      <c r="M242" s="104">
        <v>12</v>
      </c>
      <c r="N242" s="104"/>
      <c r="O242" s="104"/>
      <c r="T242" s="198"/>
      <c r="U242" s="45">
        <f t="shared" si="45"/>
        <v>0</v>
      </c>
      <c r="V242" s="45">
        <f t="shared" si="46"/>
        <v>0</v>
      </c>
      <c r="W242" s="45">
        <f t="shared" si="43"/>
        <v>0</v>
      </c>
    </row>
    <row r="243" spans="2:23" ht="15" x14ac:dyDescent="0.25">
      <c r="B243" s="211"/>
      <c r="C243" s="200"/>
      <c r="D243" s="200"/>
      <c r="E243" s="200"/>
      <c r="F243" s="201"/>
      <c r="G243" s="200"/>
      <c r="K243" s="45">
        <f t="shared" si="44"/>
        <v>0</v>
      </c>
      <c r="M243" s="104">
        <v>12</v>
      </c>
      <c r="N243" s="104"/>
      <c r="O243" s="104"/>
      <c r="T243" s="198"/>
      <c r="U243" s="45">
        <f t="shared" si="45"/>
        <v>0</v>
      </c>
      <c r="V243" s="45">
        <f t="shared" si="46"/>
        <v>0</v>
      </c>
      <c r="W243" s="45">
        <f t="shared" si="43"/>
        <v>0</v>
      </c>
    </row>
    <row r="244" spans="2:23" ht="15" x14ac:dyDescent="0.25">
      <c r="B244" s="211"/>
      <c r="C244" s="200"/>
      <c r="D244" s="200"/>
      <c r="E244" s="200"/>
      <c r="F244" s="201"/>
      <c r="G244" s="200"/>
      <c r="K244" s="45">
        <f t="shared" si="44"/>
        <v>0</v>
      </c>
      <c r="M244" s="104">
        <v>12</v>
      </c>
      <c r="N244" s="104"/>
      <c r="O244" s="104"/>
      <c r="T244" s="198"/>
      <c r="U244" s="45">
        <f t="shared" si="45"/>
        <v>0</v>
      </c>
      <c r="V244" s="45">
        <f t="shared" si="46"/>
        <v>0</v>
      </c>
      <c r="W244" s="45">
        <f t="shared" si="43"/>
        <v>0</v>
      </c>
    </row>
    <row r="245" spans="2:23" ht="15" x14ac:dyDescent="0.25">
      <c r="B245" s="211"/>
      <c r="C245" s="200"/>
      <c r="D245" s="200"/>
      <c r="E245" s="200"/>
      <c r="F245" s="201"/>
      <c r="G245" s="200"/>
      <c r="K245" s="45">
        <f t="shared" si="44"/>
        <v>0</v>
      </c>
      <c r="M245" s="104">
        <v>12</v>
      </c>
      <c r="N245" s="104"/>
      <c r="O245" s="104"/>
      <c r="T245" s="198"/>
      <c r="U245" s="45">
        <f t="shared" si="45"/>
        <v>0</v>
      </c>
      <c r="V245" s="45">
        <f t="shared" si="46"/>
        <v>0</v>
      </c>
      <c r="W245" s="45">
        <f t="shared" si="43"/>
        <v>0</v>
      </c>
    </row>
    <row r="246" spans="2:23" ht="15" x14ac:dyDescent="0.25">
      <c r="B246" s="211"/>
      <c r="C246" s="200"/>
      <c r="D246" s="200"/>
      <c r="E246" s="200"/>
      <c r="F246" s="201"/>
      <c r="G246" s="200"/>
      <c r="K246" s="45">
        <f t="shared" si="44"/>
        <v>0</v>
      </c>
      <c r="M246" s="104">
        <v>12</v>
      </c>
      <c r="N246" s="104"/>
      <c r="O246" s="104"/>
      <c r="T246" s="198"/>
      <c r="U246" s="45">
        <f t="shared" si="45"/>
        <v>0</v>
      </c>
      <c r="V246" s="45">
        <f t="shared" si="46"/>
        <v>0</v>
      </c>
      <c r="W246" s="45">
        <f t="shared" si="43"/>
        <v>0</v>
      </c>
    </row>
    <row r="247" spans="2:23" ht="15" x14ac:dyDescent="0.25">
      <c r="B247" s="211"/>
      <c r="C247" s="200"/>
      <c r="D247" s="200"/>
      <c r="E247" s="200"/>
      <c r="F247" s="201"/>
      <c r="G247" s="200"/>
      <c r="K247" s="45">
        <f t="shared" si="44"/>
        <v>0</v>
      </c>
      <c r="M247" s="104">
        <v>12</v>
      </c>
      <c r="N247" s="104"/>
      <c r="O247" s="104"/>
      <c r="T247" s="198"/>
      <c r="U247" s="45">
        <f t="shared" si="45"/>
        <v>0</v>
      </c>
      <c r="V247" s="45">
        <f t="shared" si="46"/>
        <v>0</v>
      </c>
      <c r="W247" s="45">
        <f t="shared" si="43"/>
        <v>0</v>
      </c>
    </row>
    <row r="248" spans="2:23" ht="15" x14ac:dyDescent="0.25">
      <c r="B248" s="211"/>
      <c r="C248" s="200"/>
      <c r="D248" s="200"/>
      <c r="E248" s="200"/>
      <c r="F248" s="201"/>
      <c r="G248" s="200"/>
      <c r="K248" s="45">
        <f t="shared" si="44"/>
        <v>0</v>
      </c>
      <c r="M248" s="104">
        <v>12</v>
      </c>
      <c r="N248" s="104"/>
      <c r="O248" s="104"/>
      <c r="T248" s="198"/>
      <c r="U248" s="45">
        <f t="shared" si="45"/>
        <v>0</v>
      </c>
      <c r="V248" s="45">
        <f t="shared" si="46"/>
        <v>0</v>
      </c>
      <c r="W248" s="45">
        <f t="shared" si="43"/>
        <v>0</v>
      </c>
    </row>
    <row r="249" spans="2:23" ht="15" x14ac:dyDescent="0.25">
      <c r="B249" s="211"/>
      <c r="C249" s="200"/>
      <c r="D249" s="200"/>
      <c r="E249" s="200"/>
      <c r="F249" s="201"/>
      <c r="G249" s="200"/>
      <c r="K249" s="45">
        <f t="shared" si="44"/>
        <v>0</v>
      </c>
      <c r="M249" s="104">
        <v>12</v>
      </c>
      <c r="N249" s="104"/>
      <c r="O249" s="104"/>
      <c r="T249" s="198"/>
      <c r="U249" s="45">
        <f t="shared" si="45"/>
        <v>0</v>
      </c>
      <c r="V249" s="45">
        <f t="shared" si="46"/>
        <v>0</v>
      </c>
      <c r="W249" s="45">
        <f t="shared" si="43"/>
        <v>0</v>
      </c>
    </row>
    <row r="250" spans="2:23" ht="15" x14ac:dyDescent="0.25">
      <c r="B250" s="211"/>
      <c r="C250" s="200"/>
      <c r="D250" s="200"/>
      <c r="E250" s="200"/>
      <c r="F250" s="201"/>
      <c r="G250" s="200"/>
      <c r="K250" s="45">
        <f t="shared" si="44"/>
        <v>0</v>
      </c>
      <c r="M250" s="104">
        <v>12</v>
      </c>
      <c r="N250" s="104"/>
      <c r="O250" s="104"/>
      <c r="T250" s="198"/>
      <c r="U250" s="45">
        <f t="shared" si="45"/>
        <v>0</v>
      </c>
      <c r="V250" s="45">
        <f t="shared" si="46"/>
        <v>0</v>
      </c>
      <c r="W250" s="45">
        <f t="shared" si="43"/>
        <v>0</v>
      </c>
    </row>
    <row r="251" spans="2:23" ht="15" x14ac:dyDescent="0.25">
      <c r="B251" s="211"/>
      <c r="C251" s="200"/>
      <c r="D251" s="200"/>
      <c r="E251" s="200"/>
      <c r="F251" s="201"/>
      <c r="G251" s="200"/>
      <c r="K251" s="45">
        <f t="shared" si="44"/>
        <v>0</v>
      </c>
      <c r="M251" s="104">
        <v>12</v>
      </c>
      <c r="N251" s="104"/>
      <c r="O251" s="104"/>
      <c r="T251" s="198"/>
      <c r="U251" s="45">
        <f t="shared" si="45"/>
        <v>0</v>
      </c>
      <c r="V251" s="45">
        <f t="shared" si="46"/>
        <v>0</v>
      </c>
      <c r="W251" s="45">
        <f t="shared" si="43"/>
        <v>0</v>
      </c>
    </row>
    <row r="252" spans="2:23" ht="15" x14ac:dyDescent="0.25">
      <c r="B252" s="211"/>
      <c r="C252" s="200"/>
      <c r="D252" s="200"/>
      <c r="E252" s="200"/>
      <c r="F252" s="201"/>
      <c r="G252" s="200"/>
      <c r="K252" s="45">
        <f t="shared" si="44"/>
        <v>0</v>
      </c>
      <c r="M252" s="104">
        <v>12</v>
      </c>
      <c r="N252" s="104"/>
      <c r="O252" s="104"/>
      <c r="T252" s="198"/>
      <c r="U252" s="45">
        <f t="shared" si="45"/>
        <v>0</v>
      </c>
      <c r="V252" s="45">
        <f t="shared" si="46"/>
        <v>0</v>
      </c>
      <c r="W252" s="45">
        <f t="shared" si="43"/>
        <v>0</v>
      </c>
    </row>
    <row r="253" spans="2:23" ht="15" x14ac:dyDescent="0.25">
      <c r="B253" s="211"/>
      <c r="C253" s="200"/>
      <c r="D253" s="200"/>
      <c r="E253" s="200"/>
      <c r="F253" s="201"/>
      <c r="G253" s="200"/>
      <c r="K253" s="45">
        <f t="shared" si="44"/>
        <v>0</v>
      </c>
      <c r="M253" s="104">
        <v>12</v>
      </c>
      <c r="N253" s="104"/>
      <c r="O253" s="104"/>
      <c r="T253" s="198"/>
      <c r="U253" s="45">
        <f t="shared" si="45"/>
        <v>0</v>
      </c>
      <c r="V253" s="45">
        <f t="shared" si="46"/>
        <v>0</v>
      </c>
      <c r="W253" s="45">
        <f t="shared" si="43"/>
        <v>0</v>
      </c>
    </row>
    <row r="254" spans="2:23" ht="15" x14ac:dyDescent="0.25">
      <c r="B254" s="211"/>
      <c r="C254" s="200"/>
      <c r="D254" s="200"/>
      <c r="E254" s="200"/>
      <c r="F254" s="201"/>
      <c r="G254" s="200"/>
      <c r="K254" s="45">
        <f t="shared" si="44"/>
        <v>0</v>
      </c>
      <c r="M254" s="104">
        <v>12</v>
      </c>
      <c r="N254" s="104"/>
      <c r="O254" s="104"/>
      <c r="T254" s="198"/>
      <c r="U254" s="45">
        <f t="shared" si="45"/>
        <v>0</v>
      </c>
      <c r="V254" s="45">
        <f t="shared" si="46"/>
        <v>0</v>
      </c>
      <c r="W254" s="45">
        <f t="shared" si="43"/>
        <v>0</v>
      </c>
    </row>
    <row r="255" spans="2:23" ht="15" x14ac:dyDescent="0.25">
      <c r="B255" s="211"/>
      <c r="C255" s="200"/>
      <c r="D255" s="200"/>
      <c r="E255" s="200"/>
      <c r="F255" s="201"/>
      <c r="G255" s="200"/>
      <c r="K255" s="45">
        <f t="shared" si="44"/>
        <v>0</v>
      </c>
      <c r="M255" s="104">
        <v>12</v>
      </c>
      <c r="N255" s="104"/>
      <c r="O255" s="104"/>
      <c r="T255" s="198"/>
      <c r="U255" s="45">
        <f t="shared" si="45"/>
        <v>0</v>
      </c>
      <c r="V255" s="45">
        <f t="shared" si="46"/>
        <v>0</v>
      </c>
      <c r="W255" s="45">
        <f t="shared" si="43"/>
        <v>0</v>
      </c>
    </row>
    <row r="256" spans="2:23" ht="15" x14ac:dyDescent="0.25">
      <c r="B256" s="211"/>
      <c r="C256" s="200"/>
      <c r="D256" s="200"/>
      <c r="E256" s="200"/>
      <c r="F256" s="201"/>
      <c r="G256" s="200"/>
      <c r="K256" s="45">
        <f t="shared" si="44"/>
        <v>0</v>
      </c>
      <c r="M256" s="104">
        <v>12</v>
      </c>
      <c r="N256" s="104"/>
      <c r="O256" s="104"/>
      <c r="T256" s="198"/>
      <c r="U256" s="45">
        <f t="shared" si="45"/>
        <v>0</v>
      </c>
      <c r="V256" s="45">
        <f t="shared" si="46"/>
        <v>0</v>
      </c>
      <c r="W256" s="45">
        <f t="shared" si="43"/>
        <v>0</v>
      </c>
    </row>
    <row r="257" spans="2:23" ht="15" x14ac:dyDescent="0.25">
      <c r="B257" s="211"/>
      <c r="C257" s="200"/>
      <c r="D257" s="200"/>
      <c r="E257" s="200"/>
      <c r="F257" s="201"/>
      <c r="G257" s="200"/>
      <c r="K257" s="45">
        <f t="shared" si="44"/>
        <v>0</v>
      </c>
      <c r="M257" s="104">
        <v>12</v>
      </c>
      <c r="N257" s="104"/>
      <c r="O257" s="104"/>
      <c r="T257" s="198"/>
      <c r="U257" s="45">
        <f t="shared" si="45"/>
        <v>0</v>
      </c>
      <c r="V257" s="45">
        <f t="shared" si="46"/>
        <v>0</v>
      </c>
      <c r="W257" s="45">
        <f t="shared" si="43"/>
        <v>0</v>
      </c>
    </row>
    <row r="258" spans="2:23" ht="15" x14ac:dyDescent="0.25">
      <c r="B258" s="211"/>
      <c r="C258" s="200"/>
      <c r="D258" s="200"/>
      <c r="E258" s="200"/>
      <c r="F258" s="201"/>
      <c r="G258" s="200"/>
      <c r="K258" s="45">
        <f t="shared" si="44"/>
        <v>0</v>
      </c>
      <c r="M258" s="104">
        <v>12</v>
      </c>
      <c r="N258" s="104"/>
      <c r="O258" s="104"/>
      <c r="T258" s="198"/>
      <c r="U258" s="45">
        <f t="shared" si="45"/>
        <v>0</v>
      </c>
      <c r="V258" s="45">
        <f t="shared" si="46"/>
        <v>0</v>
      </c>
      <c r="W258" s="45">
        <f t="shared" si="43"/>
        <v>0</v>
      </c>
    </row>
    <row r="259" spans="2:23" ht="15" x14ac:dyDescent="0.25">
      <c r="B259" s="211"/>
      <c r="C259" s="200"/>
      <c r="D259" s="200"/>
      <c r="E259" s="200"/>
      <c r="F259" s="201"/>
      <c r="G259" s="200"/>
      <c r="K259" s="45">
        <f t="shared" si="44"/>
        <v>0</v>
      </c>
      <c r="M259" s="104">
        <v>12</v>
      </c>
      <c r="N259" s="104"/>
      <c r="O259" s="104"/>
      <c r="T259" s="198"/>
      <c r="U259" s="45">
        <f t="shared" si="45"/>
        <v>0</v>
      </c>
      <c r="V259" s="45">
        <f t="shared" si="46"/>
        <v>0</v>
      </c>
      <c r="W259" s="45">
        <f t="shared" si="43"/>
        <v>0</v>
      </c>
    </row>
    <row r="260" spans="2:23" ht="15" x14ac:dyDescent="0.25">
      <c r="B260" s="211"/>
      <c r="C260" s="200"/>
      <c r="D260" s="200"/>
      <c r="E260" s="200"/>
      <c r="F260" s="201"/>
      <c r="G260" s="200"/>
      <c r="K260" s="45">
        <f t="shared" si="44"/>
        <v>0</v>
      </c>
      <c r="M260" s="104">
        <v>12</v>
      </c>
      <c r="N260" s="104"/>
      <c r="O260" s="104"/>
      <c r="T260" s="198"/>
      <c r="U260" s="45">
        <f t="shared" si="45"/>
        <v>0</v>
      </c>
      <c r="V260" s="45">
        <f t="shared" si="46"/>
        <v>0</v>
      </c>
      <c r="W260" s="45">
        <f t="shared" si="43"/>
        <v>0</v>
      </c>
    </row>
    <row r="261" spans="2:23" ht="15" x14ac:dyDescent="0.25">
      <c r="B261" s="211"/>
      <c r="C261" s="200"/>
      <c r="D261" s="200"/>
      <c r="E261" s="200"/>
      <c r="F261" s="201"/>
      <c r="G261" s="200"/>
      <c r="K261" s="45">
        <f t="shared" si="44"/>
        <v>0</v>
      </c>
      <c r="M261" s="104">
        <v>12</v>
      </c>
      <c r="N261" s="104"/>
      <c r="O261" s="104"/>
      <c r="T261" s="198"/>
      <c r="U261" s="45">
        <f t="shared" si="45"/>
        <v>0</v>
      </c>
      <c r="V261" s="45">
        <f t="shared" si="46"/>
        <v>0</v>
      </c>
      <c r="W261" s="45">
        <f t="shared" si="43"/>
        <v>0</v>
      </c>
    </row>
    <row r="262" spans="2:23" ht="15" x14ac:dyDescent="0.25">
      <c r="B262" s="211"/>
      <c r="C262" s="200"/>
      <c r="D262" s="200"/>
      <c r="E262" s="200"/>
      <c r="F262" s="201"/>
      <c r="G262" s="200"/>
      <c r="K262" s="45">
        <f t="shared" si="44"/>
        <v>0</v>
      </c>
      <c r="M262" s="104">
        <v>12</v>
      </c>
      <c r="N262" s="104"/>
      <c r="O262" s="104"/>
      <c r="T262" s="198"/>
      <c r="U262" s="45">
        <f t="shared" si="45"/>
        <v>0</v>
      </c>
      <c r="V262" s="45">
        <f t="shared" si="46"/>
        <v>0</v>
      </c>
      <c r="W262" s="45">
        <f t="shared" si="43"/>
        <v>0</v>
      </c>
    </row>
    <row r="263" spans="2:23" ht="15" x14ac:dyDescent="0.25">
      <c r="B263" s="211"/>
      <c r="C263" s="200"/>
      <c r="D263" s="200"/>
      <c r="E263" s="200"/>
      <c r="F263" s="201"/>
      <c r="G263" s="200"/>
      <c r="K263" s="45">
        <f t="shared" si="44"/>
        <v>0</v>
      </c>
      <c r="M263" s="104">
        <v>12</v>
      </c>
      <c r="N263" s="104"/>
      <c r="O263" s="104"/>
      <c r="T263" s="198"/>
      <c r="U263" s="45">
        <f t="shared" si="45"/>
        <v>0</v>
      </c>
      <c r="V263" s="45">
        <f t="shared" si="46"/>
        <v>0</v>
      </c>
      <c r="W263" s="45">
        <f t="shared" si="43"/>
        <v>0</v>
      </c>
    </row>
    <row r="264" spans="2:23" ht="15" x14ac:dyDescent="0.25">
      <c r="B264" s="211"/>
      <c r="C264" s="200"/>
      <c r="D264" s="200"/>
      <c r="E264" s="200"/>
      <c r="F264" s="201"/>
      <c r="G264" s="200"/>
      <c r="K264" s="45">
        <f t="shared" si="44"/>
        <v>0</v>
      </c>
      <c r="M264" s="104">
        <v>12</v>
      </c>
      <c r="N264" s="104"/>
      <c r="O264" s="104"/>
      <c r="T264" s="198"/>
      <c r="U264" s="45">
        <f t="shared" si="45"/>
        <v>0</v>
      </c>
      <c r="V264" s="45">
        <f t="shared" si="46"/>
        <v>0</v>
      </c>
      <c r="W264" s="45">
        <f t="shared" si="43"/>
        <v>0</v>
      </c>
    </row>
    <row r="265" spans="2:23" ht="15" x14ac:dyDescent="0.25">
      <c r="B265" s="211"/>
      <c r="C265" s="200"/>
      <c r="D265" s="200"/>
      <c r="E265" s="200"/>
      <c r="F265" s="201"/>
      <c r="G265" s="200"/>
      <c r="K265" s="45">
        <f t="shared" si="44"/>
        <v>0</v>
      </c>
      <c r="M265" s="104">
        <v>12</v>
      </c>
      <c r="N265" s="104"/>
      <c r="O265" s="104"/>
      <c r="T265" s="198"/>
      <c r="U265" s="45">
        <f t="shared" si="45"/>
        <v>0</v>
      </c>
      <c r="V265" s="45">
        <f t="shared" si="46"/>
        <v>0</v>
      </c>
      <c r="W265" s="45">
        <f t="shared" si="43"/>
        <v>0</v>
      </c>
    </row>
    <row r="266" spans="2:23" ht="15" x14ac:dyDescent="0.25">
      <c r="B266" s="211"/>
      <c r="C266" s="200"/>
      <c r="D266" s="200"/>
      <c r="E266" s="200"/>
      <c r="F266" s="201"/>
      <c r="G266" s="200"/>
      <c r="K266" s="45">
        <f t="shared" si="44"/>
        <v>0</v>
      </c>
      <c r="M266" s="104">
        <v>12</v>
      </c>
      <c r="N266" s="104"/>
      <c r="O266" s="104"/>
      <c r="T266" s="198"/>
      <c r="U266" s="45">
        <f t="shared" si="45"/>
        <v>0</v>
      </c>
      <c r="V266" s="45">
        <f t="shared" si="46"/>
        <v>0</v>
      </c>
      <c r="W266" s="45">
        <f t="shared" si="43"/>
        <v>0</v>
      </c>
    </row>
    <row r="267" spans="2:23" ht="15" x14ac:dyDescent="0.25">
      <c r="B267" s="211"/>
      <c r="C267" s="200"/>
      <c r="D267" s="200"/>
      <c r="E267" s="200"/>
      <c r="F267" s="201"/>
      <c r="G267" s="200"/>
      <c r="K267" s="45">
        <f t="shared" si="44"/>
        <v>0</v>
      </c>
      <c r="M267" s="104">
        <v>12</v>
      </c>
      <c r="N267" s="104"/>
      <c r="O267" s="104"/>
      <c r="T267" s="198"/>
      <c r="U267" s="45">
        <f t="shared" si="45"/>
        <v>0</v>
      </c>
      <c r="V267" s="45">
        <f t="shared" si="46"/>
        <v>0</v>
      </c>
      <c r="W267" s="45">
        <f t="shared" si="43"/>
        <v>0</v>
      </c>
    </row>
    <row r="268" spans="2:23" ht="15" x14ac:dyDescent="0.25">
      <c r="B268" s="211"/>
      <c r="C268" s="200"/>
      <c r="D268" s="200"/>
      <c r="E268" s="200"/>
      <c r="F268" s="201"/>
      <c r="G268" s="200"/>
      <c r="K268" s="45">
        <f t="shared" si="44"/>
        <v>0</v>
      </c>
      <c r="M268" s="104">
        <v>12</v>
      </c>
      <c r="N268" s="104"/>
      <c r="O268" s="104"/>
      <c r="T268" s="198"/>
      <c r="U268" s="45">
        <f t="shared" si="45"/>
        <v>0</v>
      </c>
      <c r="V268" s="45">
        <f t="shared" si="46"/>
        <v>0</v>
      </c>
      <c r="W268" s="45">
        <f t="shared" si="43"/>
        <v>0</v>
      </c>
    </row>
    <row r="269" spans="2:23" ht="15" x14ac:dyDescent="0.25">
      <c r="B269" s="211"/>
      <c r="C269" s="200"/>
      <c r="D269" s="200"/>
      <c r="E269" s="200"/>
      <c r="F269" s="201"/>
      <c r="G269" s="200"/>
      <c r="K269" s="45">
        <f t="shared" si="44"/>
        <v>0</v>
      </c>
      <c r="M269" s="104">
        <v>12</v>
      </c>
      <c r="N269" s="104"/>
      <c r="O269" s="104"/>
      <c r="T269" s="198"/>
      <c r="U269" s="45">
        <f t="shared" si="45"/>
        <v>0</v>
      </c>
      <c r="V269" s="45">
        <f t="shared" si="46"/>
        <v>0</v>
      </c>
      <c r="W269" s="45">
        <f t="shared" si="43"/>
        <v>0</v>
      </c>
    </row>
    <row r="270" spans="2:23" ht="15" x14ac:dyDescent="0.25">
      <c r="B270" s="211"/>
      <c r="C270" s="200"/>
      <c r="D270" s="200"/>
      <c r="E270" s="200"/>
      <c r="F270" s="201"/>
      <c r="G270" s="200"/>
      <c r="K270" s="45">
        <f t="shared" si="44"/>
        <v>0</v>
      </c>
      <c r="M270" s="104">
        <v>12</v>
      </c>
      <c r="N270" s="104"/>
      <c r="O270" s="104"/>
      <c r="T270" s="198"/>
      <c r="U270" s="45">
        <f t="shared" si="45"/>
        <v>0</v>
      </c>
      <c r="V270" s="45">
        <f t="shared" si="46"/>
        <v>0</v>
      </c>
      <c r="W270" s="45">
        <f t="shared" si="43"/>
        <v>0</v>
      </c>
    </row>
    <row r="271" spans="2:23" ht="15" x14ac:dyDescent="0.25">
      <c r="B271" s="211"/>
      <c r="C271" s="200"/>
      <c r="D271" s="200"/>
      <c r="E271" s="200"/>
      <c r="F271" s="201"/>
      <c r="G271" s="200"/>
      <c r="K271" s="45">
        <f t="shared" si="44"/>
        <v>0</v>
      </c>
      <c r="M271" s="104">
        <v>12</v>
      </c>
      <c r="N271" s="104"/>
      <c r="O271" s="104"/>
      <c r="T271" s="198"/>
      <c r="U271" s="45">
        <f t="shared" ref="U271:U303" si="47">I271+L271-N271</f>
        <v>0</v>
      </c>
      <c r="V271" s="45">
        <f t="shared" ref="V271:V303" si="48">J271+T271-O271</f>
        <v>0</v>
      </c>
      <c r="W271" s="45">
        <f t="shared" si="43"/>
        <v>0</v>
      </c>
    </row>
    <row r="272" spans="2:23" ht="15" x14ac:dyDescent="0.25">
      <c r="B272" s="211"/>
      <c r="C272" s="200"/>
      <c r="D272" s="200"/>
      <c r="E272" s="200"/>
      <c r="F272" s="201"/>
      <c r="G272" s="200"/>
      <c r="K272" s="45">
        <f t="shared" si="44"/>
        <v>0</v>
      </c>
      <c r="M272" s="104">
        <v>12</v>
      </c>
      <c r="N272" s="104"/>
      <c r="O272" s="104"/>
      <c r="T272" s="198"/>
      <c r="U272" s="45">
        <f t="shared" si="47"/>
        <v>0</v>
      </c>
      <c r="V272" s="45">
        <f t="shared" si="48"/>
        <v>0</v>
      </c>
      <c r="W272" s="45">
        <f t="shared" si="43"/>
        <v>0</v>
      </c>
    </row>
    <row r="273" spans="2:23" ht="15" x14ac:dyDescent="0.25">
      <c r="B273" s="211"/>
      <c r="C273" s="200"/>
      <c r="D273" s="200"/>
      <c r="E273" s="200"/>
      <c r="F273" s="201"/>
      <c r="G273" s="200"/>
      <c r="K273" s="45">
        <f t="shared" si="44"/>
        <v>0</v>
      </c>
      <c r="M273" s="104">
        <v>12</v>
      </c>
      <c r="N273" s="104"/>
      <c r="O273" s="104"/>
      <c r="T273" s="198"/>
      <c r="U273" s="45">
        <f t="shared" si="47"/>
        <v>0</v>
      </c>
      <c r="V273" s="45">
        <f t="shared" si="48"/>
        <v>0</v>
      </c>
      <c r="W273" s="45">
        <f t="shared" ref="W273:W303" si="49">+U273-V273</f>
        <v>0</v>
      </c>
    </row>
    <row r="274" spans="2:23" ht="15" x14ac:dyDescent="0.25">
      <c r="B274" s="211"/>
      <c r="C274" s="200"/>
      <c r="D274" s="200"/>
      <c r="E274" s="200"/>
      <c r="F274" s="201"/>
      <c r="G274" s="200"/>
      <c r="K274" s="45">
        <f t="shared" si="44"/>
        <v>0</v>
      </c>
      <c r="M274" s="104">
        <v>12</v>
      </c>
      <c r="N274" s="104"/>
      <c r="O274" s="104"/>
      <c r="T274" s="198"/>
      <c r="U274" s="45">
        <f t="shared" si="47"/>
        <v>0</v>
      </c>
      <c r="V274" s="45">
        <f t="shared" si="48"/>
        <v>0</v>
      </c>
      <c r="W274" s="45">
        <f t="shared" si="49"/>
        <v>0</v>
      </c>
    </row>
    <row r="275" spans="2:23" ht="15" x14ac:dyDescent="0.25">
      <c r="B275" s="211"/>
      <c r="C275" s="200"/>
      <c r="D275" s="200"/>
      <c r="E275" s="200"/>
      <c r="F275" s="201"/>
      <c r="G275" s="200"/>
      <c r="K275" s="45">
        <f t="shared" si="44"/>
        <v>0</v>
      </c>
      <c r="M275" s="104">
        <v>12</v>
      </c>
      <c r="N275" s="104"/>
      <c r="O275" s="104"/>
      <c r="T275" s="198"/>
      <c r="U275" s="45">
        <f t="shared" si="47"/>
        <v>0</v>
      </c>
      <c r="V275" s="45">
        <f t="shared" si="48"/>
        <v>0</v>
      </c>
      <c r="W275" s="45">
        <f t="shared" si="49"/>
        <v>0</v>
      </c>
    </row>
    <row r="276" spans="2:23" ht="15" x14ac:dyDescent="0.25">
      <c r="B276" s="211"/>
      <c r="C276" s="200"/>
      <c r="D276" s="200"/>
      <c r="E276" s="200"/>
      <c r="F276" s="201"/>
      <c r="G276" s="200"/>
      <c r="K276" s="45">
        <f t="shared" si="44"/>
        <v>0</v>
      </c>
      <c r="M276" s="104">
        <v>12</v>
      </c>
      <c r="N276" s="104"/>
      <c r="O276" s="104"/>
      <c r="T276" s="198"/>
      <c r="U276" s="45">
        <f t="shared" si="47"/>
        <v>0</v>
      </c>
      <c r="V276" s="45">
        <f t="shared" si="48"/>
        <v>0</v>
      </c>
      <c r="W276" s="45">
        <f t="shared" si="49"/>
        <v>0</v>
      </c>
    </row>
    <row r="277" spans="2:23" ht="15" x14ac:dyDescent="0.25">
      <c r="B277" s="211"/>
      <c r="C277" s="200"/>
      <c r="D277" s="200"/>
      <c r="E277" s="200"/>
      <c r="F277" s="201"/>
      <c r="G277" s="200"/>
      <c r="K277" s="45">
        <f t="shared" si="44"/>
        <v>0</v>
      </c>
      <c r="M277" s="104">
        <v>12</v>
      </c>
      <c r="N277" s="104"/>
      <c r="O277" s="104"/>
      <c r="T277" s="198"/>
      <c r="U277" s="45">
        <f t="shared" si="47"/>
        <v>0</v>
      </c>
      <c r="V277" s="45">
        <f t="shared" si="48"/>
        <v>0</v>
      </c>
      <c r="W277" s="45">
        <f t="shared" si="49"/>
        <v>0</v>
      </c>
    </row>
    <row r="278" spans="2:23" ht="15" x14ac:dyDescent="0.25">
      <c r="B278" s="211"/>
      <c r="C278" s="200"/>
      <c r="D278" s="200"/>
      <c r="E278" s="200"/>
      <c r="F278" s="201"/>
      <c r="G278" s="200"/>
      <c r="K278" s="45">
        <f t="shared" si="44"/>
        <v>0</v>
      </c>
      <c r="M278" s="104">
        <v>12</v>
      </c>
      <c r="N278" s="104"/>
      <c r="O278" s="104"/>
      <c r="T278" s="198"/>
      <c r="U278" s="45">
        <f t="shared" si="47"/>
        <v>0</v>
      </c>
      <c r="V278" s="45">
        <f t="shared" si="48"/>
        <v>0</v>
      </c>
      <c r="W278" s="45">
        <f t="shared" si="49"/>
        <v>0</v>
      </c>
    </row>
    <row r="279" spans="2:23" ht="15" x14ac:dyDescent="0.25">
      <c r="B279" s="211"/>
      <c r="C279" s="200"/>
      <c r="D279" s="200"/>
      <c r="E279" s="200"/>
      <c r="F279" s="201"/>
      <c r="G279" s="200"/>
      <c r="K279" s="45">
        <f t="shared" si="44"/>
        <v>0</v>
      </c>
      <c r="M279" s="104">
        <v>12</v>
      </c>
      <c r="N279" s="104"/>
      <c r="O279" s="104"/>
      <c r="T279" s="198"/>
      <c r="U279" s="45">
        <f t="shared" si="47"/>
        <v>0</v>
      </c>
      <c r="V279" s="45">
        <f t="shared" si="48"/>
        <v>0</v>
      </c>
      <c r="W279" s="45">
        <f t="shared" si="49"/>
        <v>0</v>
      </c>
    </row>
    <row r="280" spans="2:23" ht="15" x14ac:dyDescent="0.25">
      <c r="B280" s="211"/>
      <c r="C280" s="200"/>
      <c r="D280" s="200"/>
      <c r="E280" s="200"/>
      <c r="F280" s="201"/>
      <c r="G280" s="200"/>
      <c r="K280" s="45">
        <f t="shared" si="44"/>
        <v>0</v>
      </c>
      <c r="M280" s="104">
        <v>12</v>
      </c>
      <c r="N280" s="104"/>
      <c r="O280" s="104"/>
      <c r="T280" s="198"/>
      <c r="U280" s="45">
        <f t="shared" si="47"/>
        <v>0</v>
      </c>
      <c r="V280" s="45">
        <f t="shared" si="48"/>
        <v>0</v>
      </c>
      <c r="W280" s="45">
        <f t="shared" si="49"/>
        <v>0</v>
      </c>
    </row>
    <row r="281" spans="2:23" ht="15" x14ac:dyDescent="0.25">
      <c r="B281" s="211"/>
      <c r="C281" s="200"/>
      <c r="D281" s="200"/>
      <c r="E281" s="200"/>
      <c r="F281" s="201"/>
      <c r="G281" s="200"/>
      <c r="K281" s="45">
        <f t="shared" si="44"/>
        <v>0</v>
      </c>
      <c r="M281" s="104">
        <v>12</v>
      </c>
      <c r="N281" s="104"/>
      <c r="O281" s="104"/>
      <c r="T281" s="198"/>
      <c r="U281" s="45">
        <f t="shared" si="47"/>
        <v>0</v>
      </c>
      <c r="V281" s="45">
        <f t="shared" si="48"/>
        <v>0</v>
      </c>
      <c r="W281" s="45">
        <f t="shared" si="49"/>
        <v>0</v>
      </c>
    </row>
    <row r="282" spans="2:23" ht="15" x14ac:dyDescent="0.25">
      <c r="B282" s="211"/>
      <c r="C282" s="200"/>
      <c r="D282" s="200"/>
      <c r="E282" s="200"/>
      <c r="F282" s="201"/>
      <c r="G282" s="200"/>
      <c r="K282" s="45">
        <f t="shared" si="44"/>
        <v>0</v>
      </c>
      <c r="M282" s="104">
        <v>12</v>
      </c>
      <c r="N282" s="104"/>
      <c r="O282" s="104"/>
      <c r="T282" s="198"/>
      <c r="U282" s="45">
        <f t="shared" si="47"/>
        <v>0</v>
      </c>
      <c r="V282" s="45">
        <f t="shared" si="48"/>
        <v>0</v>
      </c>
      <c r="W282" s="45">
        <f t="shared" si="49"/>
        <v>0</v>
      </c>
    </row>
    <row r="283" spans="2:23" ht="15" x14ac:dyDescent="0.25">
      <c r="B283" s="211"/>
      <c r="C283" s="200"/>
      <c r="D283" s="200"/>
      <c r="E283" s="200"/>
      <c r="F283" s="201"/>
      <c r="G283" s="200"/>
      <c r="K283" s="45">
        <f t="shared" si="44"/>
        <v>0</v>
      </c>
      <c r="M283" s="104">
        <v>12</v>
      </c>
      <c r="N283" s="104"/>
      <c r="O283" s="104"/>
      <c r="T283" s="198"/>
      <c r="U283" s="45">
        <f t="shared" si="47"/>
        <v>0</v>
      </c>
      <c r="V283" s="45">
        <f t="shared" si="48"/>
        <v>0</v>
      </c>
      <c r="W283" s="45">
        <f t="shared" si="49"/>
        <v>0</v>
      </c>
    </row>
    <row r="284" spans="2:23" ht="15" x14ac:dyDescent="0.25">
      <c r="B284" s="211"/>
      <c r="C284" s="200"/>
      <c r="D284" s="200"/>
      <c r="E284" s="200"/>
      <c r="F284" s="201"/>
      <c r="G284" s="200"/>
      <c r="K284" s="45">
        <f t="shared" si="44"/>
        <v>0</v>
      </c>
      <c r="M284" s="104">
        <v>12</v>
      </c>
      <c r="N284" s="104"/>
      <c r="O284" s="104"/>
      <c r="T284" s="198"/>
      <c r="U284" s="45">
        <f t="shared" si="47"/>
        <v>0</v>
      </c>
      <c r="V284" s="45">
        <f t="shared" si="48"/>
        <v>0</v>
      </c>
      <c r="W284" s="45">
        <f t="shared" si="49"/>
        <v>0</v>
      </c>
    </row>
    <row r="285" spans="2:23" ht="15" x14ac:dyDescent="0.25">
      <c r="B285" s="211"/>
      <c r="C285" s="200"/>
      <c r="D285" s="200"/>
      <c r="E285" s="200"/>
      <c r="F285" s="201"/>
      <c r="G285" s="200"/>
      <c r="K285" s="45">
        <f t="shared" si="44"/>
        <v>0</v>
      </c>
      <c r="M285" s="104">
        <v>12</v>
      </c>
      <c r="N285" s="104"/>
      <c r="O285" s="104"/>
      <c r="T285" s="198"/>
      <c r="U285" s="45">
        <f t="shared" si="47"/>
        <v>0</v>
      </c>
      <c r="V285" s="45">
        <f t="shared" si="48"/>
        <v>0</v>
      </c>
      <c r="W285" s="45">
        <f t="shared" si="49"/>
        <v>0</v>
      </c>
    </row>
    <row r="286" spans="2:23" ht="15" x14ac:dyDescent="0.25">
      <c r="B286" s="211"/>
      <c r="C286" s="200"/>
      <c r="D286" s="200"/>
      <c r="E286" s="200"/>
      <c r="F286" s="201"/>
      <c r="G286" s="200"/>
      <c r="K286" s="45">
        <f t="shared" si="44"/>
        <v>0</v>
      </c>
      <c r="M286" s="104">
        <v>12</v>
      </c>
      <c r="N286" s="104"/>
      <c r="O286" s="104"/>
      <c r="T286" s="198"/>
      <c r="U286" s="45">
        <f t="shared" si="47"/>
        <v>0</v>
      </c>
      <c r="V286" s="45">
        <f t="shared" si="48"/>
        <v>0</v>
      </c>
      <c r="W286" s="45">
        <f t="shared" si="49"/>
        <v>0</v>
      </c>
    </row>
    <row r="287" spans="2:23" ht="15" x14ac:dyDescent="0.25">
      <c r="B287" s="211"/>
      <c r="C287" s="200"/>
      <c r="D287" s="200"/>
      <c r="E287" s="200"/>
      <c r="F287" s="201"/>
      <c r="G287" s="200"/>
      <c r="K287" s="45">
        <f t="shared" si="44"/>
        <v>0</v>
      </c>
      <c r="M287" s="104">
        <v>12</v>
      </c>
      <c r="N287" s="104"/>
      <c r="O287" s="104"/>
      <c r="T287" s="198"/>
      <c r="U287" s="45">
        <f t="shared" si="47"/>
        <v>0</v>
      </c>
      <c r="V287" s="45">
        <f t="shared" si="48"/>
        <v>0</v>
      </c>
      <c r="W287" s="45">
        <f t="shared" si="49"/>
        <v>0</v>
      </c>
    </row>
    <row r="288" spans="2:23" ht="15" x14ac:dyDescent="0.25">
      <c r="B288" s="211"/>
      <c r="C288" s="200"/>
      <c r="D288" s="200"/>
      <c r="E288" s="200"/>
      <c r="F288" s="201"/>
      <c r="G288" s="200"/>
      <c r="K288" s="45">
        <f t="shared" si="44"/>
        <v>0</v>
      </c>
      <c r="M288" s="104">
        <v>12</v>
      </c>
      <c r="N288" s="104"/>
      <c r="O288" s="104"/>
      <c r="T288" s="198"/>
      <c r="U288" s="45">
        <f t="shared" si="47"/>
        <v>0</v>
      </c>
      <c r="V288" s="45">
        <f t="shared" si="48"/>
        <v>0</v>
      </c>
      <c r="W288" s="45">
        <f t="shared" si="49"/>
        <v>0</v>
      </c>
    </row>
    <row r="289" spans="2:23" ht="15" x14ac:dyDescent="0.25">
      <c r="B289" s="211"/>
      <c r="C289" s="200"/>
      <c r="D289" s="200"/>
      <c r="E289" s="200"/>
      <c r="F289" s="201"/>
      <c r="G289" s="200"/>
      <c r="K289" s="45">
        <f t="shared" si="44"/>
        <v>0</v>
      </c>
      <c r="M289" s="104">
        <v>12</v>
      </c>
      <c r="N289" s="104"/>
      <c r="O289" s="104"/>
      <c r="T289" s="198"/>
      <c r="U289" s="45">
        <f t="shared" si="47"/>
        <v>0</v>
      </c>
      <c r="V289" s="45">
        <f t="shared" si="48"/>
        <v>0</v>
      </c>
      <c r="W289" s="45">
        <f t="shared" si="49"/>
        <v>0</v>
      </c>
    </row>
    <row r="290" spans="2:23" ht="15" x14ac:dyDescent="0.25">
      <c r="B290" s="211"/>
      <c r="C290" s="200"/>
      <c r="D290" s="200"/>
      <c r="E290" s="200"/>
      <c r="F290" s="201"/>
      <c r="G290" s="200"/>
      <c r="K290" s="45">
        <f t="shared" si="44"/>
        <v>0</v>
      </c>
      <c r="M290" s="104">
        <v>12</v>
      </c>
      <c r="N290" s="104"/>
      <c r="O290" s="104"/>
      <c r="T290" s="198"/>
      <c r="U290" s="45">
        <f t="shared" si="47"/>
        <v>0</v>
      </c>
      <c r="V290" s="45">
        <f t="shared" si="48"/>
        <v>0</v>
      </c>
      <c r="W290" s="45">
        <f t="shared" si="49"/>
        <v>0</v>
      </c>
    </row>
    <row r="291" spans="2:23" ht="15" x14ac:dyDescent="0.25">
      <c r="B291" s="211"/>
      <c r="C291" s="200"/>
      <c r="D291" s="200"/>
      <c r="E291" s="200"/>
      <c r="F291" s="201"/>
      <c r="G291" s="200"/>
      <c r="K291" s="45">
        <f t="shared" si="44"/>
        <v>0</v>
      </c>
      <c r="M291" s="104">
        <v>12</v>
      </c>
      <c r="N291" s="104"/>
      <c r="O291" s="104"/>
      <c r="T291" s="198"/>
      <c r="U291" s="45">
        <f t="shared" si="47"/>
        <v>0</v>
      </c>
      <c r="V291" s="45">
        <f t="shared" si="48"/>
        <v>0</v>
      </c>
      <c r="W291" s="45">
        <f t="shared" si="49"/>
        <v>0</v>
      </c>
    </row>
    <row r="292" spans="2:23" ht="15" x14ac:dyDescent="0.25">
      <c r="B292" s="211"/>
      <c r="C292" s="200"/>
      <c r="D292" s="200"/>
      <c r="E292" s="200"/>
      <c r="F292" s="201"/>
      <c r="G292" s="200"/>
      <c r="K292" s="45">
        <f t="shared" si="44"/>
        <v>0</v>
      </c>
      <c r="M292" s="104">
        <v>12</v>
      </c>
      <c r="N292" s="104"/>
      <c r="O292" s="104"/>
      <c r="T292" s="198"/>
      <c r="U292" s="45">
        <f t="shared" si="47"/>
        <v>0</v>
      </c>
      <c r="V292" s="45">
        <f t="shared" si="48"/>
        <v>0</v>
      </c>
      <c r="W292" s="45">
        <f t="shared" si="49"/>
        <v>0</v>
      </c>
    </row>
    <row r="293" spans="2:23" ht="15" x14ac:dyDescent="0.25">
      <c r="B293" s="211"/>
      <c r="C293" s="200"/>
      <c r="D293" s="200"/>
      <c r="E293" s="200"/>
      <c r="F293" s="201"/>
      <c r="G293" s="200"/>
      <c r="K293" s="45">
        <f t="shared" si="44"/>
        <v>0</v>
      </c>
      <c r="M293" s="104">
        <v>12</v>
      </c>
      <c r="N293" s="104"/>
      <c r="O293" s="104"/>
      <c r="T293" s="198"/>
      <c r="U293" s="45">
        <f t="shared" si="47"/>
        <v>0</v>
      </c>
      <c r="V293" s="45">
        <f t="shared" si="48"/>
        <v>0</v>
      </c>
      <c r="W293" s="45">
        <f t="shared" si="49"/>
        <v>0</v>
      </c>
    </row>
    <row r="294" spans="2:23" ht="15" x14ac:dyDescent="0.25">
      <c r="B294" s="211"/>
      <c r="C294" s="200"/>
      <c r="D294" s="200"/>
      <c r="E294" s="200"/>
      <c r="F294" s="201"/>
      <c r="G294" s="200"/>
      <c r="K294" s="45">
        <f t="shared" si="44"/>
        <v>0</v>
      </c>
      <c r="M294" s="104">
        <v>12</v>
      </c>
      <c r="N294" s="104"/>
      <c r="O294" s="104"/>
      <c r="T294" s="198"/>
      <c r="U294" s="45">
        <f t="shared" si="47"/>
        <v>0</v>
      </c>
      <c r="V294" s="45">
        <f t="shared" si="48"/>
        <v>0</v>
      </c>
      <c r="W294" s="45">
        <f t="shared" si="49"/>
        <v>0</v>
      </c>
    </row>
    <row r="295" spans="2:23" ht="15" x14ac:dyDescent="0.25">
      <c r="B295" s="211"/>
      <c r="C295" s="200"/>
      <c r="D295" s="200"/>
      <c r="E295" s="200"/>
      <c r="F295" s="201"/>
      <c r="G295" s="200"/>
      <c r="K295" s="45">
        <f t="shared" si="44"/>
        <v>0</v>
      </c>
      <c r="M295" s="104">
        <v>12</v>
      </c>
      <c r="N295" s="104"/>
      <c r="O295" s="104"/>
      <c r="T295" s="198"/>
      <c r="U295" s="45">
        <f t="shared" si="47"/>
        <v>0</v>
      </c>
      <c r="V295" s="45">
        <f t="shared" si="48"/>
        <v>0</v>
      </c>
      <c r="W295" s="45">
        <f t="shared" si="49"/>
        <v>0</v>
      </c>
    </row>
    <row r="296" spans="2:23" ht="15" x14ac:dyDescent="0.25">
      <c r="B296" s="211"/>
      <c r="C296" s="200"/>
      <c r="D296" s="200"/>
      <c r="E296" s="200"/>
      <c r="F296" s="201"/>
      <c r="G296" s="200"/>
      <c r="K296" s="45">
        <f t="shared" si="44"/>
        <v>0</v>
      </c>
      <c r="M296" s="104">
        <v>12</v>
      </c>
      <c r="N296" s="104"/>
      <c r="O296" s="104"/>
      <c r="T296" s="198"/>
      <c r="U296" s="45">
        <f t="shared" si="47"/>
        <v>0</v>
      </c>
      <c r="V296" s="45">
        <f t="shared" si="48"/>
        <v>0</v>
      </c>
      <c r="W296" s="45">
        <f t="shared" si="49"/>
        <v>0</v>
      </c>
    </row>
    <row r="297" spans="2:23" ht="15" x14ac:dyDescent="0.25">
      <c r="B297" s="211"/>
      <c r="C297" s="200"/>
      <c r="D297" s="200"/>
      <c r="E297" s="200"/>
      <c r="F297" s="201"/>
      <c r="G297" s="200"/>
      <c r="K297" s="45">
        <f t="shared" si="44"/>
        <v>0</v>
      </c>
      <c r="M297" s="104">
        <v>12</v>
      </c>
      <c r="N297" s="104"/>
      <c r="O297" s="104"/>
      <c r="T297" s="198"/>
      <c r="U297" s="45">
        <f t="shared" si="47"/>
        <v>0</v>
      </c>
      <c r="V297" s="45">
        <f t="shared" si="48"/>
        <v>0</v>
      </c>
      <c r="W297" s="45">
        <f t="shared" si="49"/>
        <v>0</v>
      </c>
    </row>
    <row r="298" spans="2:23" ht="15" x14ac:dyDescent="0.25">
      <c r="B298" s="211"/>
      <c r="C298" s="200"/>
      <c r="D298" s="200"/>
      <c r="E298" s="200"/>
      <c r="F298" s="201"/>
      <c r="G298" s="200"/>
      <c r="K298" s="45">
        <f t="shared" si="44"/>
        <v>0</v>
      </c>
      <c r="M298" s="104">
        <v>12</v>
      </c>
      <c r="N298" s="104"/>
      <c r="O298" s="104"/>
      <c r="T298" s="198"/>
      <c r="U298" s="45">
        <f t="shared" si="47"/>
        <v>0</v>
      </c>
      <c r="V298" s="45">
        <f t="shared" si="48"/>
        <v>0</v>
      </c>
      <c r="W298" s="45">
        <f t="shared" si="49"/>
        <v>0</v>
      </c>
    </row>
    <row r="299" spans="2:23" ht="15" x14ac:dyDescent="0.25">
      <c r="B299" s="211"/>
      <c r="C299" s="200"/>
      <c r="D299" s="200"/>
      <c r="E299" s="200"/>
      <c r="F299" s="201"/>
      <c r="G299" s="200"/>
      <c r="K299" s="45">
        <f t="shared" si="44"/>
        <v>0</v>
      </c>
      <c r="M299" s="104">
        <v>12</v>
      </c>
      <c r="N299" s="104"/>
      <c r="O299" s="104"/>
      <c r="T299" s="198"/>
      <c r="U299" s="45">
        <f t="shared" si="47"/>
        <v>0</v>
      </c>
      <c r="V299" s="45">
        <f t="shared" si="48"/>
        <v>0</v>
      </c>
      <c r="W299" s="45">
        <f t="shared" si="49"/>
        <v>0</v>
      </c>
    </row>
    <row r="300" spans="2:23" ht="15" x14ac:dyDescent="0.25">
      <c r="B300" s="211"/>
      <c r="C300" s="200"/>
      <c r="D300" s="200"/>
      <c r="E300" s="200"/>
      <c r="F300" s="201"/>
      <c r="G300" s="200"/>
      <c r="K300" s="45">
        <f t="shared" si="44"/>
        <v>0</v>
      </c>
      <c r="M300" s="104">
        <v>12</v>
      </c>
      <c r="N300" s="104"/>
      <c r="O300" s="104"/>
      <c r="T300" s="198"/>
      <c r="U300" s="45">
        <f t="shared" si="47"/>
        <v>0</v>
      </c>
      <c r="V300" s="45">
        <f t="shared" si="48"/>
        <v>0</v>
      </c>
      <c r="W300" s="45">
        <f t="shared" si="49"/>
        <v>0</v>
      </c>
    </row>
    <row r="301" spans="2:23" ht="15" x14ac:dyDescent="0.25">
      <c r="B301" s="211"/>
      <c r="C301" s="200"/>
      <c r="D301" s="200"/>
      <c r="E301" s="200"/>
      <c r="F301" s="201"/>
      <c r="G301" s="200"/>
      <c r="K301" s="45">
        <f t="shared" si="44"/>
        <v>0</v>
      </c>
      <c r="M301" s="104">
        <v>12</v>
      </c>
      <c r="N301" s="104"/>
      <c r="O301" s="104"/>
      <c r="T301" s="198"/>
      <c r="U301" s="45">
        <f t="shared" si="47"/>
        <v>0</v>
      </c>
      <c r="V301" s="45">
        <f t="shared" si="48"/>
        <v>0</v>
      </c>
      <c r="W301" s="45">
        <f t="shared" si="49"/>
        <v>0</v>
      </c>
    </row>
    <row r="302" spans="2:23" ht="15" x14ac:dyDescent="0.25">
      <c r="B302" s="211"/>
      <c r="C302" s="200"/>
      <c r="D302" s="200"/>
      <c r="E302" s="200"/>
      <c r="F302" s="201"/>
      <c r="G302" s="200"/>
      <c r="K302" s="45">
        <f t="shared" si="44"/>
        <v>0</v>
      </c>
      <c r="M302" s="104">
        <v>12</v>
      </c>
      <c r="N302" s="104"/>
      <c r="O302" s="104"/>
      <c r="T302" s="198"/>
      <c r="U302" s="45">
        <f t="shared" si="47"/>
        <v>0</v>
      </c>
      <c r="V302" s="45">
        <f t="shared" si="48"/>
        <v>0</v>
      </c>
      <c r="W302" s="45">
        <f t="shared" si="49"/>
        <v>0</v>
      </c>
    </row>
    <row r="303" spans="2:23" ht="15" x14ac:dyDescent="0.25">
      <c r="B303" s="211"/>
      <c r="C303" s="200"/>
      <c r="D303" s="200"/>
      <c r="E303" s="200"/>
      <c r="F303" s="201"/>
      <c r="G303" s="200"/>
      <c r="K303" s="45">
        <f t="shared" si="44"/>
        <v>0</v>
      </c>
      <c r="M303" s="104">
        <v>12</v>
      </c>
      <c r="N303" s="104"/>
      <c r="O303" s="104"/>
      <c r="T303" s="198"/>
      <c r="U303" s="45">
        <f t="shared" si="47"/>
        <v>0</v>
      </c>
      <c r="V303" s="45">
        <f t="shared" si="48"/>
        <v>0</v>
      </c>
      <c r="W303" s="45">
        <f t="shared" si="49"/>
        <v>0</v>
      </c>
    </row>
    <row r="305" spans="3:23" ht="13.5" thickBot="1" x14ac:dyDescent="0.25">
      <c r="C305" s="45" t="s">
        <v>418</v>
      </c>
      <c r="I305" s="53">
        <f>SUM(I206:I304)</f>
        <v>0</v>
      </c>
      <c r="J305" s="53">
        <f t="shared" ref="J305:W305" si="50">SUM(J206:J304)</f>
        <v>0</v>
      </c>
      <c r="K305" s="53">
        <f t="shared" si="50"/>
        <v>0</v>
      </c>
      <c r="L305" s="53">
        <f t="shared" si="50"/>
        <v>0</v>
      </c>
      <c r="M305" s="53"/>
      <c r="N305" s="53">
        <f t="shared" si="50"/>
        <v>0</v>
      </c>
      <c r="O305" s="53">
        <f t="shared" si="50"/>
        <v>0</v>
      </c>
      <c r="P305" s="53">
        <f t="shared" si="50"/>
        <v>0</v>
      </c>
      <c r="Q305" s="53">
        <f t="shared" si="50"/>
        <v>0</v>
      </c>
      <c r="R305" s="53">
        <f t="shared" si="50"/>
        <v>0</v>
      </c>
      <c r="S305" s="53">
        <f t="shared" si="50"/>
        <v>0</v>
      </c>
      <c r="T305" s="53">
        <f t="shared" si="50"/>
        <v>0</v>
      </c>
      <c r="U305" s="53">
        <f t="shared" si="50"/>
        <v>0</v>
      </c>
      <c r="V305" s="53">
        <f t="shared" si="50"/>
        <v>0</v>
      </c>
      <c r="W305" s="53">
        <f t="shared" si="50"/>
        <v>0</v>
      </c>
    </row>
    <row r="306" spans="3:23" ht="13.5" thickTop="1" x14ac:dyDescent="0.2">
      <c r="G306" s="45" t="s">
        <v>880</v>
      </c>
      <c r="I306" s="45">
        <f>I305-FARegister!I370</f>
        <v>0</v>
      </c>
      <c r="L306" s="45">
        <f>L305-FARegister!L370</f>
        <v>0</v>
      </c>
      <c r="N306" s="45">
        <f>N305-FARegister!Q370</f>
        <v>0</v>
      </c>
      <c r="P306" s="45">
        <f>P305-FARegister!S370</f>
        <v>0</v>
      </c>
      <c r="U306" s="45">
        <f>U305-FARegister!AA370</f>
        <v>0</v>
      </c>
    </row>
    <row r="308" spans="3:23" ht="13.5" thickBot="1" x14ac:dyDescent="0.25">
      <c r="C308" s="66" t="s">
        <v>402</v>
      </c>
      <c r="D308" s="66"/>
      <c r="E308" s="66"/>
      <c r="F308" s="66"/>
      <c r="G308" s="66"/>
      <c r="I308" s="53">
        <f>SUM(+I84+I127+I161+I200+I305)</f>
        <v>0</v>
      </c>
      <c r="J308" s="53">
        <f t="shared" ref="J308:W308" si="51">SUM(+J84+J127+J161+J200+J305)</f>
        <v>0</v>
      </c>
      <c r="K308" s="53">
        <f t="shared" si="51"/>
        <v>0</v>
      </c>
      <c r="L308" s="53">
        <f t="shared" si="51"/>
        <v>0</v>
      </c>
      <c r="M308" s="53">
        <f t="shared" si="51"/>
        <v>0</v>
      </c>
      <c r="N308" s="53">
        <f t="shared" si="51"/>
        <v>0</v>
      </c>
      <c r="O308" s="53">
        <f t="shared" si="51"/>
        <v>0</v>
      </c>
      <c r="P308" s="53">
        <f t="shared" si="51"/>
        <v>0</v>
      </c>
      <c r="Q308" s="53">
        <f t="shared" si="51"/>
        <v>0</v>
      </c>
      <c r="R308" s="53">
        <f t="shared" si="51"/>
        <v>0</v>
      </c>
      <c r="S308" s="53">
        <f t="shared" si="51"/>
        <v>0</v>
      </c>
      <c r="T308" s="53">
        <f t="shared" si="51"/>
        <v>0</v>
      </c>
      <c r="U308" s="53">
        <f t="shared" si="51"/>
        <v>0</v>
      </c>
      <c r="V308" s="53">
        <f t="shared" si="51"/>
        <v>0</v>
      </c>
      <c r="W308" s="53">
        <f t="shared" si="51"/>
        <v>0</v>
      </c>
    </row>
    <row r="309" spans="3:23" ht="13.5" thickTop="1" x14ac:dyDescent="0.2">
      <c r="C309" s="66"/>
      <c r="D309" s="66"/>
      <c r="E309" s="66"/>
      <c r="F309" s="66"/>
      <c r="G309" s="66"/>
      <c r="I309" s="45">
        <f>I308-I15</f>
        <v>0</v>
      </c>
      <c r="J309" s="45">
        <f>J308-J15</f>
        <v>0</v>
      </c>
      <c r="K309" s="45">
        <f>K308-K15</f>
        <v>0</v>
      </c>
      <c r="L309" s="45">
        <f>L308-L15</f>
        <v>0</v>
      </c>
      <c r="N309" s="45">
        <f t="shared" ref="N309:W309" si="52">N308-N15</f>
        <v>0</v>
      </c>
      <c r="O309" s="45">
        <f t="shared" si="52"/>
        <v>0</v>
      </c>
      <c r="P309" s="45">
        <f t="shared" si="52"/>
        <v>0</v>
      </c>
      <c r="Q309" s="45">
        <f t="shared" si="52"/>
        <v>0</v>
      </c>
      <c r="R309" s="45">
        <f t="shared" si="52"/>
        <v>0</v>
      </c>
      <c r="S309" s="45">
        <f t="shared" si="52"/>
        <v>0</v>
      </c>
      <c r="T309" s="45">
        <f t="shared" si="52"/>
        <v>0</v>
      </c>
      <c r="U309" s="45">
        <f t="shared" si="52"/>
        <v>0</v>
      </c>
      <c r="V309" s="45">
        <f t="shared" si="52"/>
        <v>0</v>
      </c>
      <c r="W309" s="45">
        <f t="shared" si="52"/>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3"/>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B12" sqref="B12"/>
    </sheetView>
  </sheetViews>
  <sheetFormatPr defaultRowHeight="24" customHeight="1" x14ac:dyDescent="0.35"/>
  <cols>
    <col min="1" max="1" width="4.7109375" style="36" customWidth="1"/>
    <col min="2" max="2" width="8.85546875" style="36" customWidth="1"/>
    <col min="3" max="3" width="52.7109375" style="36" bestFit="1" customWidth="1"/>
    <col min="4" max="4" width="3" style="36" customWidth="1"/>
    <col min="5" max="5" width="14.85546875" style="36" customWidth="1"/>
    <col min="6" max="6" width="25.28515625" style="37" bestFit="1" customWidth="1"/>
    <col min="7" max="7" width="24.7109375" style="37" bestFit="1" customWidth="1"/>
    <col min="8" max="9" width="29.28515625" style="37" bestFit="1" customWidth="1"/>
    <col min="10" max="10" width="23.28515625" style="37" customWidth="1"/>
    <col min="11" max="11" width="23.5703125" style="37" customWidth="1"/>
    <col min="12" max="12" width="28.7109375" style="37" bestFit="1" customWidth="1"/>
    <col min="13" max="13" width="23.85546875" style="37" bestFit="1" customWidth="1"/>
    <col min="14" max="14" width="8.85546875" style="37" customWidth="1"/>
    <col min="15" max="18" width="28.5703125" style="37" customWidth="1"/>
    <col min="19" max="19" width="22.7109375" style="37" bestFit="1" customWidth="1"/>
    <col min="20" max="20" width="24.7109375" style="94" bestFit="1" customWidth="1"/>
    <col min="21" max="21" width="26.7109375" style="94" bestFit="1" customWidth="1"/>
    <col min="22" max="22" width="21.85546875" style="94" bestFit="1" customWidth="1"/>
    <col min="23" max="16384" width="9.140625" style="94"/>
  </cols>
  <sheetData>
    <row r="1" spans="2:22" ht="24" customHeight="1" x14ac:dyDescent="0.35">
      <c r="B1" s="37"/>
      <c r="C1" s="37"/>
      <c r="D1" s="37"/>
      <c r="E1" s="37"/>
    </row>
    <row r="2" spans="2:22" ht="24" customHeight="1" x14ac:dyDescent="0.35">
      <c r="B2" s="37"/>
      <c r="C2" s="37"/>
      <c r="D2" s="37"/>
      <c r="E2" s="37"/>
      <c r="K2" s="96"/>
      <c r="L2" s="96"/>
      <c r="M2" s="96"/>
    </row>
    <row r="3" spans="2:22" ht="52.5" customHeight="1" x14ac:dyDescent="0.35">
      <c r="B3" s="37"/>
      <c r="C3" s="194" t="str">
        <f>Criteria!E9</f>
        <v>ABC COMPANY (PROPRIETARY) LIMITED</v>
      </c>
      <c r="D3" s="218"/>
      <c r="E3" s="218"/>
      <c r="F3" s="218"/>
      <c r="L3" s="196" t="s">
        <v>101</v>
      </c>
      <c r="M3" s="97"/>
    </row>
    <row r="4" spans="2:22" ht="24" customHeight="1" x14ac:dyDescent="0.35">
      <c r="B4" s="37"/>
      <c r="C4" s="12" t="s">
        <v>100</v>
      </c>
      <c r="D4" s="96"/>
      <c r="E4" s="96" t="str">
        <f>Criteria!E20</f>
        <v>29 FEBRUARY 2024</v>
      </c>
      <c r="K4" s="94"/>
    </row>
    <row r="5" spans="2:22" ht="52.5" customHeight="1" x14ac:dyDescent="0.35">
      <c r="B5" s="37"/>
      <c r="C5" s="195" t="s">
        <v>424</v>
      </c>
      <c r="D5" s="37"/>
      <c r="E5" s="37"/>
      <c r="K5" s="94"/>
      <c r="L5" s="196" t="s">
        <v>102</v>
      </c>
      <c r="M5" s="95"/>
    </row>
    <row r="6" spans="2:22" ht="24" customHeight="1" x14ac:dyDescent="0.35">
      <c r="B6" s="37"/>
      <c r="C6" s="190"/>
      <c r="D6" s="37"/>
      <c r="E6" s="37"/>
      <c r="K6" s="96"/>
      <c r="L6" s="96"/>
      <c r="M6" s="96"/>
    </row>
    <row r="7" spans="2:22" ht="24" customHeight="1" x14ac:dyDescent="0.35">
      <c r="B7" s="37"/>
      <c r="C7" s="98"/>
      <c r="D7" s="98"/>
      <c r="E7" s="98"/>
      <c r="F7" s="98"/>
      <c r="G7" s="98"/>
      <c r="H7" s="98"/>
      <c r="I7" s="98"/>
      <c r="J7" s="98"/>
      <c r="K7" s="98"/>
      <c r="L7" s="98"/>
      <c r="M7" s="98"/>
    </row>
    <row r="8" spans="2:22" ht="24" customHeight="1" x14ac:dyDescent="0.35">
      <c r="B8" s="37"/>
      <c r="C8" s="37"/>
      <c r="D8" s="37"/>
      <c r="E8" s="37"/>
      <c r="O8" s="122"/>
      <c r="P8" s="123"/>
      <c r="Q8" s="123"/>
      <c r="R8" s="175"/>
      <c r="S8" s="123"/>
      <c r="T8" s="125"/>
      <c r="U8" s="125"/>
      <c r="V8" s="126"/>
    </row>
    <row r="9" spans="2:22" ht="24" customHeight="1" x14ac:dyDescent="0.35">
      <c r="B9" s="37"/>
      <c r="C9" s="37"/>
      <c r="D9" s="37"/>
      <c r="E9" s="37"/>
      <c r="O9" s="712" t="s">
        <v>757</v>
      </c>
      <c r="P9" s="713"/>
      <c r="Q9" s="713"/>
      <c r="R9" s="714"/>
      <c r="S9" s="713" t="s">
        <v>424</v>
      </c>
      <c r="T9" s="713"/>
      <c r="U9" s="713"/>
      <c r="V9" s="714"/>
    </row>
    <row r="10" spans="2:22" ht="24" customHeight="1" x14ac:dyDescent="0.35">
      <c r="B10" s="37"/>
      <c r="C10" s="96" t="s">
        <v>425</v>
      </c>
      <c r="D10" s="37"/>
      <c r="E10" s="37" t="s">
        <v>104</v>
      </c>
      <c r="F10" s="99" t="s">
        <v>426</v>
      </c>
      <c r="G10" s="99" t="s">
        <v>70</v>
      </c>
      <c r="H10" s="99" t="s">
        <v>427</v>
      </c>
      <c r="I10" s="99" t="s">
        <v>624</v>
      </c>
      <c r="J10" s="100" t="s">
        <v>428</v>
      </c>
      <c r="K10" s="100" t="s">
        <v>429</v>
      </c>
      <c r="L10" s="100" t="s">
        <v>430</v>
      </c>
      <c r="M10" s="100" t="s">
        <v>431</v>
      </c>
      <c r="O10" s="176" t="s">
        <v>684</v>
      </c>
      <c r="P10" s="96" t="s">
        <v>685</v>
      </c>
      <c r="Q10" s="96" t="s">
        <v>431</v>
      </c>
      <c r="R10" s="177" t="s">
        <v>627</v>
      </c>
      <c r="S10" s="99" t="s">
        <v>601</v>
      </c>
      <c r="T10" s="132" t="s">
        <v>600</v>
      </c>
      <c r="U10" s="133" t="s">
        <v>602</v>
      </c>
      <c r="V10" s="134" t="s">
        <v>277</v>
      </c>
    </row>
    <row r="11" spans="2:22" ht="24" customHeight="1" x14ac:dyDescent="0.35">
      <c r="B11" s="37"/>
      <c r="C11" s="37"/>
      <c r="D11" s="37"/>
      <c r="E11" s="37"/>
      <c r="O11" s="124"/>
      <c r="R11" s="178"/>
      <c r="V11" s="127"/>
    </row>
    <row r="12" spans="2:22" ht="24" customHeight="1" x14ac:dyDescent="0.35">
      <c r="B12" s="338" t="s">
        <v>19</v>
      </c>
      <c r="C12" s="37"/>
      <c r="D12" s="37"/>
      <c r="E12" s="37"/>
      <c r="O12" s="124"/>
      <c r="Q12" s="96"/>
      <c r="R12" s="178"/>
      <c r="U12" s="135"/>
      <c r="V12" s="127"/>
    </row>
    <row r="13" spans="2:22" ht="24" hidden="1" customHeight="1" x14ac:dyDescent="0.35">
      <c r="B13" s="37" t="s">
        <v>18</v>
      </c>
      <c r="C13" s="37" t="s">
        <v>19</v>
      </c>
      <c r="D13" s="37"/>
      <c r="E13" s="37"/>
      <c r="O13" s="124"/>
      <c r="Q13" s="96"/>
      <c r="R13" s="178"/>
      <c r="U13" s="135"/>
      <c r="V13" s="127"/>
    </row>
    <row r="14" spans="2:22" ht="24" customHeight="1" x14ac:dyDescent="0.35">
      <c r="B14" s="37"/>
      <c r="C14" s="37"/>
      <c r="D14" s="37"/>
      <c r="E14" s="37"/>
      <c r="O14" s="124"/>
      <c r="Q14" s="96"/>
      <c r="R14" s="178"/>
      <c r="U14" s="135"/>
      <c r="V14" s="127"/>
    </row>
    <row r="15" spans="2:22" ht="24" customHeight="1" x14ac:dyDescent="0.35">
      <c r="B15" s="37"/>
      <c r="C15" s="109" t="str">
        <f>IF(B12="Odd","March","March and April")</f>
        <v>March and April</v>
      </c>
      <c r="D15" s="108"/>
      <c r="E15" s="108"/>
      <c r="F15" s="108"/>
      <c r="H15" s="108"/>
      <c r="I15" s="108"/>
      <c r="J15" s="108">
        <f>ROUND((F15+H15)*15/115,2)</f>
        <v>0</v>
      </c>
      <c r="K15" s="108"/>
      <c r="L15" s="108"/>
      <c r="M15" s="37">
        <f t="shared" ref="M15:M21" si="0">J15-K15-L15</f>
        <v>0</v>
      </c>
      <c r="O15" s="124"/>
      <c r="Q15" s="96">
        <f>P15-O15</f>
        <v>0</v>
      </c>
      <c r="R15" s="178">
        <f t="shared" ref="R15:R21" si="1">F15-J15-Q15</f>
        <v>0</v>
      </c>
      <c r="T15" s="129"/>
      <c r="U15" s="136">
        <f t="shared" ref="U15:U20" si="2">S15-T15</f>
        <v>0</v>
      </c>
      <c r="V15" s="130">
        <f t="shared" ref="V15:V20" si="3">M15-U15</f>
        <v>0</v>
      </c>
    </row>
    <row r="16" spans="2:22" ht="24" customHeight="1" x14ac:dyDescent="0.35">
      <c r="B16" s="37"/>
      <c r="C16" s="109" t="str">
        <f>IF(B12="Odd","April and May","May and June")</f>
        <v>May and June</v>
      </c>
      <c r="D16" s="108"/>
      <c r="E16" s="108"/>
      <c r="F16" s="108"/>
      <c r="J16" s="108">
        <f t="shared" ref="J16:J21" si="4">ROUND((F16+H16)*15/115,2)</f>
        <v>0</v>
      </c>
      <c r="K16" s="108"/>
      <c r="L16" s="108"/>
      <c r="M16" s="37">
        <f t="shared" si="0"/>
        <v>0</v>
      </c>
      <c r="O16" s="124"/>
      <c r="Q16" s="96">
        <f t="shared" ref="Q16:Q21" si="5">P16-O16</f>
        <v>0</v>
      </c>
      <c r="R16" s="178">
        <f t="shared" si="1"/>
        <v>0</v>
      </c>
      <c r="T16" s="37"/>
      <c r="U16" s="136">
        <f t="shared" si="2"/>
        <v>0</v>
      </c>
      <c r="V16" s="130">
        <f t="shared" si="3"/>
        <v>0</v>
      </c>
    </row>
    <row r="17" spans="2:22" ht="24" customHeight="1" x14ac:dyDescent="0.35">
      <c r="B17" s="37"/>
      <c r="C17" s="109" t="str">
        <f>IF(B$12="Odd","June and July","July and August")</f>
        <v>July and August</v>
      </c>
      <c r="D17" s="108"/>
      <c r="E17" s="108"/>
      <c r="F17" s="108"/>
      <c r="J17" s="108">
        <f t="shared" si="4"/>
        <v>0</v>
      </c>
      <c r="K17" s="108"/>
      <c r="L17" s="108"/>
      <c r="M17" s="37">
        <f t="shared" si="0"/>
        <v>0</v>
      </c>
      <c r="O17" s="124"/>
      <c r="Q17" s="96">
        <f t="shared" si="5"/>
        <v>0</v>
      </c>
      <c r="R17" s="178">
        <f t="shared" si="1"/>
        <v>0</v>
      </c>
      <c r="T17" s="37"/>
      <c r="U17" s="136">
        <f t="shared" si="2"/>
        <v>0</v>
      </c>
      <c r="V17" s="130">
        <f t="shared" si="3"/>
        <v>0</v>
      </c>
    </row>
    <row r="18" spans="2:22" ht="24" customHeight="1" x14ac:dyDescent="0.35">
      <c r="B18" s="37"/>
      <c r="C18" s="109" t="str">
        <f>IF(B$12="Odd","August and September","September and October")</f>
        <v>September and October</v>
      </c>
      <c r="D18" s="108"/>
      <c r="E18" s="108"/>
      <c r="F18" s="108"/>
      <c r="J18" s="108">
        <f t="shared" si="4"/>
        <v>0</v>
      </c>
      <c r="K18" s="108"/>
      <c r="L18" s="108"/>
      <c r="M18" s="37">
        <f>J18-K18-L18</f>
        <v>0</v>
      </c>
      <c r="O18" s="124"/>
      <c r="Q18" s="96">
        <f t="shared" si="5"/>
        <v>0</v>
      </c>
      <c r="R18" s="178">
        <f t="shared" si="1"/>
        <v>0</v>
      </c>
      <c r="T18" s="128"/>
      <c r="U18" s="136">
        <f t="shared" si="2"/>
        <v>0</v>
      </c>
      <c r="V18" s="130">
        <f t="shared" si="3"/>
        <v>0</v>
      </c>
    </row>
    <row r="19" spans="2:22" ht="24" customHeight="1" x14ac:dyDescent="0.35">
      <c r="B19" s="37"/>
      <c r="C19" s="109" t="str">
        <f>IF(B$12="Odd","October and November","November and December")</f>
        <v>November and December</v>
      </c>
      <c r="D19" s="108"/>
      <c r="E19" s="108"/>
      <c r="F19" s="108"/>
      <c r="J19" s="108">
        <f t="shared" si="4"/>
        <v>0</v>
      </c>
      <c r="K19" s="108"/>
      <c r="L19" s="108"/>
      <c r="M19" s="37">
        <f t="shared" si="0"/>
        <v>0</v>
      </c>
      <c r="O19" s="124"/>
      <c r="Q19" s="96">
        <f t="shared" si="5"/>
        <v>0</v>
      </c>
      <c r="R19" s="178">
        <f t="shared" si="1"/>
        <v>0</v>
      </c>
      <c r="T19" s="128"/>
      <c r="U19" s="136">
        <f t="shared" si="2"/>
        <v>0</v>
      </c>
      <c r="V19" s="137">
        <f t="shared" si="3"/>
        <v>0</v>
      </c>
    </row>
    <row r="20" spans="2:22" ht="24" customHeight="1" x14ac:dyDescent="0.35">
      <c r="B20" s="37"/>
      <c r="C20" s="109" t="str">
        <f>IF(B$12="Odd","December and January","January and February")</f>
        <v>January and February</v>
      </c>
      <c r="D20" s="108"/>
      <c r="E20" s="108"/>
      <c r="F20" s="108"/>
      <c r="J20" s="108">
        <f t="shared" si="4"/>
        <v>0</v>
      </c>
      <c r="K20" s="108"/>
      <c r="L20" s="121"/>
      <c r="M20" s="37">
        <f t="shared" si="0"/>
        <v>0</v>
      </c>
      <c r="O20" s="124"/>
      <c r="Q20" s="96">
        <f t="shared" si="5"/>
        <v>0</v>
      </c>
      <c r="R20" s="178">
        <f t="shared" si="1"/>
        <v>0</v>
      </c>
      <c r="T20" s="128"/>
      <c r="U20" s="136">
        <f t="shared" si="2"/>
        <v>0</v>
      </c>
      <c r="V20" s="130">
        <f t="shared" si="3"/>
        <v>0</v>
      </c>
    </row>
    <row r="21" spans="2:22" ht="24" customHeight="1" x14ac:dyDescent="0.35">
      <c r="B21" s="37"/>
      <c r="C21" s="109" t="str">
        <f>IF(B$12="Odd","February"," ")</f>
        <v xml:space="preserve"> </v>
      </c>
      <c r="D21" s="108"/>
      <c r="E21" s="108"/>
      <c r="F21" s="108"/>
      <c r="J21" s="108">
        <f t="shared" si="4"/>
        <v>0</v>
      </c>
      <c r="K21" s="108"/>
      <c r="M21" s="37">
        <f t="shared" si="0"/>
        <v>0</v>
      </c>
      <c r="O21" s="124"/>
      <c r="Q21" s="96">
        <f t="shared" si="5"/>
        <v>0</v>
      </c>
      <c r="R21" s="178">
        <f t="shared" si="1"/>
        <v>0</v>
      </c>
      <c r="T21" s="38"/>
      <c r="U21" s="136">
        <f t="shared" ref="U21" si="6">S21-T21</f>
        <v>0</v>
      </c>
      <c r="V21" s="130">
        <f t="shared" ref="V21" si="7">M21-U21</f>
        <v>0</v>
      </c>
    </row>
    <row r="22" spans="2:22" ht="24" customHeight="1" x14ac:dyDescent="0.35">
      <c r="B22" s="37"/>
      <c r="C22" s="37"/>
      <c r="D22" s="37"/>
      <c r="E22" s="37"/>
      <c r="O22" s="179"/>
      <c r="P22" s="98"/>
      <c r="Q22" s="98"/>
      <c r="R22" s="180"/>
      <c r="U22" s="131"/>
      <c r="V22" s="127"/>
    </row>
    <row r="23" spans="2:22" ht="24" customHeight="1" thickBot="1" x14ac:dyDescent="0.4">
      <c r="B23" s="37"/>
      <c r="C23" s="37"/>
      <c r="D23" s="37"/>
      <c r="E23" s="37"/>
      <c r="F23" s="101">
        <f>SUM(F11:F22)</f>
        <v>0</v>
      </c>
      <c r="G23" s="101">
        <f t="shared" ref="G23:L23" si="8">SUM(G11:G22)</f>
        <v>0</v>
      </c>
      <c r="H23" s="101">
        <f t="shared" si="8"/>
        <v>0</v>
      </c>
      <c r="I23" s="101">
        <f t="shared" si="8"/>
        <v>0</v>
      </c>
      <c r="J23" s="101">
        <f t="shared" si="8"/>
        <v>0</v>
      </c>
      <c r="K23" s="101">
        <f t="shared" si="8"/>
        <v>0</v>
      </c>
      <c r="L23" s="101">
        <f t="shared" si="8"/>
        <v>0</v>
      </c>
      <c r="M23" s="101">
        <f>SUM(M11:M22)</f>
        <v>0</v>
      </c>
      <c r="O23" s="103">
        <f t="shared" ref="O23:R23" si="9">SUM(O11:O22)</f>
        <v>0</v>
      </c>
      <c r="P23" s="103">
        <f t="shared" si="9"/>
        <v>0</v>
      </c>
      <c r="Q23" s="103">
        <f t="shared" si="9"/>
        <v>0</v>
      </c>
      <c r="R23" s="103">
        <f t="shared" si="9"/>
        <v>0</v>
      </c>
      <c r="S23" s="101">
        <f t="shared" ref="S23" si="10">SUM(S11:S22)</f>
        <v>0</v>
      </c>
      <c r="T23" s="101">
        <f t="shared" ref="T23" si="11">SUM(T11:T22)</f>
        <v>0</v>
      </c>
      <c r="U23" s="101">
        <f t="shared" ref="U23" si="12">SUM(U11:U22)</f>
        <v>0</v>
      </c>
      <c r="V23" s="101">
        <f t="shared" ref="V23" si="13">SUM(V11:V22)</f>
        <v>0</v>
      </c>
    </row>
    <row r="24" spans="2:22" ht="24" customHeight="1" thickTop="1" x14ac:dyDescent="0.35">
      <c r="B24" s="37"/>
      <c r="C24" s="37"/>
      <c r="D24" s="37"/>
      <c r="E24" s="37"/>
      <c r="T24" s="107"/>
    </row>
    <row r="25" spans="2:22" ht="24" customHeight="1" x14ac:dyDescent="0.35">
      <c r="B25" s="37"/>
      <c r="C25" s="37"/>
      <c r="D25" s="37"/>
      <c r="E25" s="37"/>
      <c r="F25" s="37">
        <f>F23*15/115</f>
        <v>0</v>
      </c>
      <c r="T25" s="106"/>
      <c r="U25" s="106"/>
    </row>
    <row r="26" spans="2:22" ht="24" customHeight="1" x14ac:dyDescent="0.35">
      <c r="B26" s="37"/>
      <c r="C26" s="37" t="s">
        <v>71</v>
      </c>
      <c r="D26" s="37"/>
      <c r="E26" s="37"/>
      <c r="F26" s="37">
        <f>F23-F25+G23</f>
        <v>0</v>
      </c>
      <c r="T26" s="106"/>
    </row>
    <row r="27" spans="2:22" ht="24" customHeight="1" x14ac:dyDescent="0.35">
      <c r="B27" s="37"/>
      <c r="C27" s="37" t="s">
        <v>72</v>
      </c>
      <c r="D27" s="37"/>
      <c r="E27" s="37"/>
      <c r="F27" s="37">
        <f>SUM(TrialBalance!L5:L11)+SUM(TrialBalanceA!I5:I11)+SUM(TrialBalanceB!I5:I11)+SUM(TrialBalanceC!I5:I11)</f>
        <v>0</v>
      </c>
      <c r="T27" s="106"/>
    </row>
    <row r="28" spans="2:22" ht="24" customHeight="1" x14ac:dyDescent="0.35">
      <c r="B28" s="37"/>
      <c r="C28" s="37"/>
      <c r="D28" s="37"/>
      <c r="E28" s="37"/>
    </row>
    <row r="29" spans="2:22" ht="24" customHeight="1" x14ac:dyDescent="0.35">
      <c r="B29" s="37"/>
      <c r="C29" s="37"/>
      <c r="D29" s="37"/>
      <c r="E29" s="37"/>
    </row>
    <row r="30" spans="2:22" ht="24" customHeight="1" x14ac:dyDescent="0.35">
      <c r="B30" s="37"/>
      <c r="C30" s="37" t="s">
        <v>1665</v>
      </c>
      <c r="D30" s="37"/>
      <c r="E30" s="37"/>
    </row>
    <row r="31" spans="2:22" ht="24" customHeight="1" x14ac:dyDescent="0.35">
      <c r="B31" s="37"/>
      <c r="C31" s="37"/>
      <c r="D31" s="37"/>
      <c r="E31" s="37"/>
    </row>
    <row r="32" spans="2:22" ht="24" customHeight="1" x14ac:dyDescent="0.35">
      <c r="B32" s="37"/>
      <c r="C32" s="37"/>
      <c r="D32" s="37"/>
      <c r="E32" s="37"/>
    </row>
    <row r="33" spans="2:9" ht="24" customHeight="1" thickBot="1" x14ac:dyDescent="0.4">
      <c r="B33" s="37"/>
      <c r="C33" s="37" t="s">
        <v>277</v>
      </c>
      <c r="D33" s="37"/>
      <c r="E33" s="37"/>
      <c r="F33" s="101">
        <f>SUM(F26:F32)</f>
        <v>0</v>
      </c>
    </row>
    <row r="34" spans="2:9" ht="24" customHeight="1" thickTop="1" x14ac:dyDescent="0.35">
      <c r="B34" s="37"/>
      <c r="C34" s="37"/>
      <c r="D34" s="37"/>
      <c r="E34" s="37"/>
    </row>
    <row r="35" spans="2:9" ht="24" customHeight="1" x14ac:dyDescent="0.35">
      <c r="B35" s="37"/>
      <c r="C35" s="37"/>
      <c r="D35" s="37"/>
      <c r="E35" s="37"/>
    </row>
    <row r="36" spans="2:9" ht="24" customHeight="1" x14ac:dyDescent="0.6">
      <c r="B36" s="37"/>
      <c r="C36" s="117" t="s">
        <v>521</v>
      </c>
      <c r="D36" s="117"/>
      <c r="E36" s="117"/>
      <c r="F36" s="117"/>
      <c r="G36" s="118" t="s">
        <v>626</v>
      </c>
      <c r="H36" s="118" t="s">
        <v>627</v>
      </c>
      <c r="I36" s="94"/>
    </row>
    <row r="37" spans="2:9" ht="24" customHeight="1" x14ac:dyDescent="0.35">
      <c r="B37" s="37"/>
      <c r="C37" s="37"/>
      <c r="D37" s="37"/>
      <c r="E37" s="37"/>
      <c r="I37" s="94"/>
    </row>
    <row r="38" spans="2:9" ht="24" customHeight="1" x14ac:dyDescent="0.35">
      <c r="B38" s="37"/>
      <c r="C38" s="37" t="s">
        <v>625</v>
      </c>
      <c r="D38" s="37"/>
      <c r="E38" s="37"/>
      <c r="F38" s="37">
        <f>IF(B12="Even",M20,M21)</f>
        <v>0</v>
      </c>
      <c r="G38" s="37">
        <f>-TrialBalance!L398</f>
        <v>0</v>
      </c>
      <c r="I38" s="94"/>
    </row>
    <row r="39" spans="2:9" ht="24" customHeight="1" x14ac:dyDescent="0.35">
      <c r="B39" s="37"/>
      <c r="C39" s="37"/>
      <c r="D39" s="37"/>
      <c r="E39" s="37"/>
      <c r="I39" s="94"/>
    </row>
    <row r="40" spans="2:9" ht="24" customHeight="1" x14ac:dyDescent="0.35">
      <c r="B40" s="37"/>
      <c r="C40" s="37" t="s">
        <v>801</v>
      </c>
      <c r="D40" s="37"/>
      <c r="E40" s="37"/>
      <c r="F40" s="37">
        <f>SUM(F41:F47)</f>
        <v>0</v>
      </c>
      <c r="I40" s="94"/>
    </row>
    <row r="41" spans="2:9" ht="24" customHeight="1" x14ac:dyDescent="0.35">
      <c r="B41" s="37"/>
      <c r="C41" s="122"/>
      <c r="D41" s="123"/>
      <c r="E41" s="123"/>
      <c r="F41" s="175"/>
      <c r="I41" s="94"/>
    </row>
    <row r="42" spans="2:9" ht="24" customHeight="1" x14ac:dyDescent="0.35">
      <c r="B42" s="37"/>
      <c r="C42" s="124"/>
      <c r="D42" s="215"/>
      <c r="E42" s="215"/>
      <c r="F42" s="178"/>
      <c r="I42" s="94"/>
    </row>
    <row r="43" spans="2:9" ht="24" customHeight="1" x14ac:dyDescent="0.35">
      <c r="B43" s="37"/>
      <c r="C43" s="124"/>
      <c r="D43" s="215"/>
      <c r="E43" s="215"/>
      <c r="F43" s="178"/>
      <c r="I43" s="94"/>
    </row>
    <row r="44" spans="2:9" ht="24" customHeight="1" x14ac:dyDescent="0.35">
      <c r="B44" s="37"/>
      <c r="C44" s="124"/>
      <c r="D44" s="215"/>
      <c r="E44" s="215"/>
      <c r="F44" s="178"/>
      <c r="I44" s="94"/>
    </row>
    <row r="45" spans="2:9" ht="24" customHeight="1" x14ac:dyDescent="0.35">
      <c r="B45" s="37"/>
      <c r="C45" s="124"/>
      <c r="D45" s="215"/>
      <c r="E45" s="215"/>
      <c r="F45" s="178"/>
      <c r="I45" s="94"/>
    </row>
    <row r="46" spans="2:9" ht="24" customHeight="1" x14ac:dyDescent="0.35">
      <c r="B46" s="37"/>
      <c r="C46" s="124"/>
      <c r="D46" s="215"/>
      <c r="E46" s="215"/>
      <c r="F46" s="178"/>
      <c r="I46" s="94"/>
    </row>
    <row r="47" spans="2:9" ht="24" customHeight="1" x14ac:dyDescent="0.35">
      <c r="B47" s="37"/>
      <c r="C47" s="179"/>
      <c r="D47" s="98"/>
      <c r="E47" s="98"/>
      <c r="F47" s="180"/>
      <c r="I47" s="94"/>
    </row>
    <row r="48" spans="2:9" ht="24" customHeight="1" x14ac:dyDescent="0.35">
      <c r="B48" s="37"/>
      <c r="C48" s="37"/>
      <c r="D48" s="37"/>
      <c r="E48" s="37"/>
      <c r="I48" s="94"/>
    </row>
    <row r="49" spans="2:13" ht="24" customHeight="1" x14ac:dyDescent="0.35">
      <c r="B49" s="37"/>
      <c r="C49" s="37" t="s">
        <v>802</v>
      </c>
      <c r="D49" s="37"/>
      <c r="E49" s="37"/>
      <c r="F49" s="37">
        <f>SUM(F50:F55)</f>
        <v>0</v>
      </c>
      <c r="I49" s="94"/>
    </row>
    <row r="50" spans="2:13" ht="24" customHeight="1" x14ac:dyDescent="0.35">
      <c r="B50" s="37"/>
      <c r="C50" s="122"/>
      <c r="D50" s="123"/>
      <c r="E50" s="123"/>
      <c r="F50" s="175"/>
      <c r="I50" s="94"/>
    </row>
    <row r="51" spans="2:13" ht="24" customHeight="1" x14ac:dyDescent="0.35">
      <c r="B51" s="37"/>
      <c r="C51" s="124"/>
      <c r="D51" s="215"/>
      <c r="E51" s="215"/>
      <c r="F51" s="178"/>
      <c r="I51" s="94"/>
    </row>
    <row r="52" spans="2:13" ht="24" customHeight="1" x14ac:dyDescent="0.35">
      <c r="B52" s="37"/>
      <c r="C52" s="124"/>
      <c r="D52" s="215"/>
      <c r="E52" s="215"/>
      <c r="F52" s="178"/>
      <c r="I52" s="94"/>
    </row>
    <row r="53" spans="2:13" ht="24" customHeight="1" x14ac:dyDescent="0.35">
      <c r="B53" s="37"/>
      <c r="C53" s="124"/>
      <c r="D53" s="215"/>
      <c r="E53" s="215"/>
      <c r="F53" s="178"/>
      <c r="I53" s="94"/>
    </row>
    <row r="54" spans="2:13" ht="24" customHeight="1" x14ac:dyDescent="0.35">
      <c r="B54" s="37"/>
      <c r="C54" s="124"/>
      <c r="D54" s="215"/>
      <c r="E54" s="215"/>
      <c r="F54" s="178"/>
      <c r="I54" s="94"/>
    </row>
    <row r="55" spans="2:13" ht="24" customHeight="1" x14ac:dyDescent="0.35">
      <c r="B55" s="37"/>
      <c r="C55" s="227"/>
      <c r="D55" s="99"/>
      <c r="E55" s="99"/>
      <c r="F55" s="228"/>
      <c r="I55" s="94"/>
    </row>
    <row r="56" spans="2:13" ht="24" customHeight="1" x14ac:dyDescent="0.35">
      <c r="B56" s="37"/>
      <c r="C56" s="37"/>
      <c r="D56" s="37"/>
      <c r="E56" s="37"/>
      <c r="I56" s="94"/>
    </row>
    <row r="57" spans="2:13" ht="24" customHeight="1" thickBot="1" x14ac:dyDescent="0.4">
      <c r="B57" s="37"/>
      <c r="C57" s="37"/>
      <c r="D57" s="37"/>
      <c r="E57" s="37"/>
      <c r="F57" s="101">
        <f>F38+F40+F49</f>
        <v>0</v>
      </c>
      <c r="G57" s="101">
        <f>SUM(G38:G56)</f>
        <v>0</v>
      </c>
      <c r="H57" s="101">
        <f>F57-G57</f>
        <v>0</v>
      </c>
      <c r="I57" s="94"/>
    </row>
    <row r="58" spans="2:13" ht="24" customHeight="1" thickTop="1" x14ac:dyDescent="0.35">
      <c r="B58" s="37"/>
      <c r="C58" s="37"/>
      <c r="D58" s="37"/>
      <c r="E58" s="37"/>
      <c r="I58" s="94"/>
    </row>
    <row r="59" spans="2:13" ht="24" customHeight="1" x14ac:dyDescent="0.35">
      <c r="B59" s="37"/>
      <c r="C59" s="37"/>
      <c r="D59" s="37"/>
      <c r="E59" s="37"/>
    </row>
    <row r="60" spans="2:13" ht="24" customHeight="1" x14ac:dyDescent="0.35">
      <c r="B60" s="37"/>
      <c r="C60" s="37"/>
      <c r="D60" s="37"/>
      <c r="E60" s="37"/>
      <c r="K60" s="219"/>
      <c r="L60" s="219"/>
      <c r="M60" s="219"/>
    </row>
    <row r="61" spans="2:13" ht="57" customHeight="1" x14ac:dyDescent="0.35">
      <c r="B61" s="37"/>
      <c r="C61" s="194" t="str">
        <f>Criteria!E9</f>
        <v>ABC COMPANY (PROPRIETARY) LIMITED</v>
      </c>
      <c r="D61" s="218"/>
      <c r="E61" s="218"/>
      <c r="F61" s="218"/>
      <c r="L61" s="196" t="s">
        <v>101</v>
      </c>
      <c r="M61" s="97"/>
    </row>
    <row r="62" spans="2:13" ht="24" customHeight="1" x14ac:dyDescent="0.35">
      <c r="B62" s="37"/>
      <c r="C62" s="12" t="s">
        <v>100</v>
      </c>
      <c r="D62" s="96"/>
      <c r="E62" s="96" t="str">
        <f>Criteria!E20</f>
        <v>29 FEBRUARY 2024</v>
      </c>
      <c r="K62" s="94"/>
    </row>
    <row r="63" spans="2:13" ht="58.5" customHeight="1" x14ac:dyDescent="0.35">
      <c r="B63" s="37"/>
      <c r="C63" s="195" t="s">
        <v>797</v>
      </c>
      <c r="D63" s="37"/>
      <c r="E63" s="37"/>
      <c r="K63" s="94"/>
      <c r="L63" s="196" t="s">
        <v>102</v>
      </c>
      <c r="M63" s="95"/>
    </row>
    <row r="64" spans="2:13" ht="24" customHeight="1" x14ac:dyDescent="0.35">
      <c r="B64" s="37"/>
      <c r="C64" s="37"/>
      <c r="D64" s="37"/>
      <c r="E64" s="37"/>
      <c r="K64" s="219"/>
      <c r="L64" s="219"/>
      <c r="M64" s="219"/>
    </row>
    <row r="65" spans="2:13" ht="24" customHeight="1" x14ac:dyDescent="0.35">
      <c r="B65" s="37"/>
      <c r="C65" s="96"/>
      <c r="D65" s="37"/>
      <c r="E65" s="37"/>
      <c r="K65" s="96"/>
      <c r="L65" s="96"/>
      <c r="M65" s="96"/>
    </row>
    <row r="66" spans="2:13" ht="24" customHeight="1" x14ac:dyDescent="0.35">
      <c r="B66" s="37"/>
      <c r="C66" s="98"/>
      <c r="D66" s="98"/>
      <c r="E66" s="98"/>
      <c r="F66" s="98"/>
      <c r="G66" s="98"/>
      <c r="H66" s="98"/>
      <c r="I66" s="98"/>
      <c r="J66" s="98"/>
      <c r="K66" s="98"/>
      <c r="L66" s="98"/>
      <c r="M66" s="98"/>
    </row>
    <row r="67" spans="2:13" ht="24" customHeight="1" x14ac:dyDescent="0.35">
      <c r="B67" s="37"/>
      <c r="C67" s="37"/>
      <c r="D67" s="37"/>
      <c r="E67" s="37"/>
    </row>
    <row r="68" spans="2:13" ht="24" customHeight="1" x14ac:dyDescent="0.35">
      <c r="C68" s="41" t="s">
        <v>48</v>
      </c>
      <c r="E68" s="41"/>
    </row>
    <row r="69" spans="2:13" ht="24" customHeight="1" x14ac:dyDescent="0.35">
      <c r="E69" s="216"/>
    </row>
    <row r="70" spans="2:13" ht="24" customHeight="1" x14ac:dyDescent="0.35">
      <c r="C70" s="36" t="s">
        <v>334</v>
      </c>
      <c r="E70" s="216"/>
      <c r="F70" s="37">
        <f>SUM(TrialBalance!L17:L22)+SUM(TrialBalanceA!I17:I22)+SUM(TrialBalanceB!I17:I22)+SUM(TrialBalanceC!I17:I22)</f>
        <v>0</v>
      </c>
    </row>
    <row r="71" spans="2:13" ht="24" customHeight="1" x14ac:dyDescent="0.35">
      <c r="C71" s="36" t="s">
        <v>49</v>
      </c>
      <c r="E71" s="216"/>
      <c r="F71" s="37">
        <f>SUM(TrialBalance!L40:L81)+SUM(TrialBalanceA!I40:I81)+SUM(TrialBalanceB!I40:I81)+SUM(TrialBalanceC!I40:I81)</f>
        <v>0</v>
      </c>
    </row>
    <row r="72" spans="2:13" ht="24" customHeight="1" x14ac:dyDescent="0.35">
      <c r="C72" s="36" t="s">
        <v>50</v>
      </c>
      <c r="E72" s="216"/>
      <c r="F72" s="37">
        <f>SUM(TrialBalance!L98:L139)+SUM(TrialBalanceA!I98:I139)+SUM(TrialBalanceB!I98:I139)+SUM(TrialBalanceC!I98:I139)</f>
        <v>0</v>
      </c>
    </row>
    <row r="73" spans="2:13" ht="24" customHeight="1" x14ac:dyDescent="0.35">
      <c r="C73" s="36" t="s">
        <v>51</v>
      </c>
      <c r="E73" s="216"/>
      <c r="F73" s="37">
        <f>TrialBalance!L252</f>
        <v>0</v>
      </c>
    </row>
    <row r="74" spans="2:13" ht="24" customHeight="1" x14ac:dyDescent="0.35">
      <c r="C74" s="36" t="s">
        <v>52</v>
      </c>
      <c r="E74" s="216"/>
      <c r="F74" s="102"/>
      <c r="G74" s="220"/>
      <c r="H74" s="220"/>
      <c r="I74" s="220"/>
    </row>
    <row r="75" spans="2:13" ht="24" customHeight="1" x14ac:dyDescent="0.35">
      <c r="C75" s="36" t="s">
        <v>53</v>
      </c>
      <c r="E75" s="216"/>
      <c r="F75" s="37">
        <f>TrialBalance!L268</f>
        <v>0</v>
      </c>
    </row>
    <row r="76" spans="2:13" ht="24" customHeight="1" x14ac:dyDescent="0.35">
      <c r="C76" s="36" t="s">
        <v>54</v>
      </c>
      <c r="E76" s="216"/>
      <c r="F76" s="37">
        <f>TrialBalance!L276</f>
        <v>0</v>
      </c>
    </row>
    <row r="77" spans="2:13" ht="7.15" customHeight="1" x14ac:dyDescent="0.35">
      <c r="E77" s="216"/>
      <c r="F77" s="98"/>
    </row>
    <row r="78" spans="2:13" ht="7.15" customHeight="1" x14ac:dyDescent="0.35">
      <c r="E78" s="216"/>
    </row>
    <row r="79" spans="2:13" ht="24" customHeight="1" x14ac:dyDescent="0.35">
      <c r="E79" s="216"/>
      <c r="F79" s="37">
        <f>SUM(F70:F76)</f>
        <v>0</v>
      </c>
    </row>
    <row r="80" spans="2:13" ht="24" customHeight="1" x14ac:dyDescent="0.35">
      <c r="E80" s="216"/>
    </row>
    <row r="81" spans="3:6" ht="24" customHeight="1" x14ac:dyDescent="0.35">
      <c r="C81" s="36" t="s">
        <v>55</v>
      </c>
      <c r="E81" s="216"/>
      <c r="F81" s="37">
        <f>SUM(F84:F113)</f>
        <v>0</v>
      </c>
    </row>
    <row r="82" spans="3:6" ht="9" customHeight="1" x14ac:dyDescent="0.35">
      <c r="E82" s="216"/>
    </row>
    <row r="83" spans="3:6" ht="10.5" customHeight="1" x14ac:dyDescent="0.35">
      <c r="E83" s="216"/>
    </row>
    <row r="84" spans="3:6" ht="24" customHeight="1" x14ac:dyDescent="0.35">
      <c r="C84" s="36" t="s">
        <v>337</v>
      </c>
      <c r="E84" s="216"/>
      <c r="F84" s="221">
        <f>SUM(TrialBalance!L44:L46)+SUM(TrialBalance!L108:L109)+SUM(TrialBalanceA!I44:I46)+SUM(TrialBalanceA!I108:I109)+SUM(TrialBalanceB!I44:I46)+SUM(TrialBalanceB!I108:I109)+SUM(TrialBalanceC!I44:I46)+SUM(TrialBalanceC!I108:I109)</f>
        <v>0</v>
      </c>
    </row>
    <row r="85" spans="3:6" ht="24" customHeight="1" x14ac:dyDescent="0.35">
      <c r="C85" s="36" t="s">
        <v>336</v>
      </c>
      <c r="E85" s="216"/>
      <c r="F85" s="222">
        <f>TrialBalance!L42+TrialBalanceA!I42+TrialBalanceB!I42+TrialBalanceC!I42</f>
        <v>0</v>
      </c>
    </row>
    <row r="86" spans="3:6" ht="24" customHeight="1" x14ac:dyDescent="0.35">
      <c r="C86" s="36" t="s">
        <v>210</v>
      </c>
      <c r="E86" s="216"/>
      <c r="F86" s="222">
        <f>TrialBalance!L51+TrialBalanceA!I51+TrialBalanceB!I51+TrialBalanceC!I51</f>
        <v>0</v>
      </c>
    </row>
    <row r="87" spans="3:6" ht="24" customHeight="1" x14ac:dyDescent="0.35">
      <c r="C87" s="36" t="s">
        <v>893</v>
      </c>
      <c r="E87" s="216"/>
      <c r="F87" s="222">
        <f>TrialBalance!L52+TrialBalanceA!I52+TrialBalanceB!I52+TrialBalanceC!I52</f>
        <v>0</v>
      </c>
    </row>
    <row r="88" spans="3:6" ht="24" customHeight="1" x14ac:dyDescent="0.35">
      <c r="C88" s="36" t="s">
        <v>422</v>
      </c>
      <c r="E88" s="216"/>
      <c r="F88" s="222">
        <f>TrialBalance!L53+TrialBalanceA!I53+TrialBalanceB!I53+TrialBalanceC!I53</f>
        <v>0</v>
      </c>
    </row>
    <row r="89" spans="3:6" ht="24" customHeight="1" x14ac:dyDescent="0.35">
      <c r="C89" s="36" t="s">
        <v>217</v>
      </c>
      <c r="E89" s="216"/>
      <c r="F89" s="222">
        <f>TrialBalance!L55+TrialBalanceA!I55+TrialBalanceB!I55+TrialBalanceC!I55</f>
        <v>0</v>
      </c>
    </row>
    <row r="90" spans="3:6" ht="24" customHeight="1" x14ac:dyDescent="0.35">
      <c r="C90" s="36" t="s">
        <v>423</v>
      </c>
      <c r="E90" s="216"/>
      <c r="F90" s="222">
        <f>TrialBalance!L58+TrialBalanceA!I58+TrialBalanceB!I58+TrialBalanceC!I58</f>
        <v>0</v>
      </c>
    </row>
    <row r="91" spans="3:6" ht="24" customHeight="1" x14ac:dyDescent="0.35">
      <c r="C91" s="36" t="s">
        <v>84</v>
      </c>
      <c r="E91" s="216"/>
      <c r="F91" s="222">
        <f>TrialBalance!L65+TrialBalanceA!I65+TrialBalanceB!I65+TrialBalanceC!I65</f>
        <v>0</v>
      </c>
    </row>
    <row r="92" spans="3:6" ht="24" customHeight="1" x14ac:dyDescent="0.35">
      <c r="C92" s="36" t="s">
        <v>894</v>
      </c>
      <c r="E92" s="216"/>
      <c r="F92" s="222">
        <f>TrialBalance!L66+TrialBalanceA!I66+TrialBalanceB!I66+TrialBalanceC!I66</f>
        <v>0</v>
      </c>
    </row>
    <row r="93" spans="3:6" ht="24" customHeight="1" x14ac:dyDescent="0.35">
      <c r="C93" s="36" t="s">
        <v>88</v>
      </c>
      <c r="E93" s="216"/>
      <c r="F93" s="222">
        <f>TrialBalance!L67+TrialBalanceA!I67+TrialBalanceB!I67+TrialBalanceC!I67</f>
        <v>0</v>
      </c>
    </row>
    <row r="94" spans="3:6" ht="24" customHeight="1" x14ac:dyDescent="0.35">
      <c r="C94" s="36" t="s">
        <v>895</v>
      </c>
      <c r="E94" s="216"/>
      <c r="F94" s="222">
        <f>SUM(TrialBalance!L111:L115)+SUM(TrialBalanceA!I111:I115)+SUM(TrialBalanceB!I111:I115)+SUM(TrialBalanceC!I111:I115)</f>
        <v>0</v>
      </c>
    </row>
    <row r="95" spans="3:6" ht="24" customHeight="1" x14ac:dyDescent="0.35">
      <c r="C95" s="36" t="s">
        <v>315</v>
      </c>
      <c r="E95" s="216"/>
      <c r="F95" s="222">
        <f>TrialBalance!L116+TrialBalanceA!I116+TrialBalanceB!I116+TrialBalanceC!I116</f>
        <v>0</v>
      </c>
    </row>
    <row r="96" spans="3:6" ht="24" customHeight="1" x14ac:dyDescent="0.35">
      <c r="C96" s="36" t="s">
        <v>443</v>
      </c>
      <c r="E96" s="216"/>
      <c r="F96" s="222">
        <f>TrialBalance!L117+TrialBalanceA!I117+TrialBalanceB!I117+TrialBalanceC!I117</f>
        <v>0</v>
      </c>
    </row>
    <row r="97" spans="3:6" ht="24" customHeight="1" x14ac:dyDescent="0.35">
      <c r="C97" s="36" t="s">
        <v>392</v>
      </c>
      <c r="E97" s="216"/>
      <c r="F97" s="222">
        <f>TrialBalance!L118+TrialBalanceA!I118+TrialBalanceB!I118+TrialBalanceC!I118</f>
        <v>0</v>
      </c>
    </row>
    <row r="98" spans="3:6" ht="24" customHeight="1" x14ac:dyDescent="0.35">
      <c r="C98" s="36" t="s">
        <v>281</v>
      </c>
      <c r="E98" s="216"/>
      <c r="F98" s="222">
        <f>TrialBalance!L121+TrialBalanceA!I121+TrialBalanceB!I121+TrialBalanceC!I121</f>
        <v>0</v>
      </c>
    </row>
    <row r="99" spans="3:6" ht="24" customHeight="1" x14ac:dyDescent="0.35">
      <c r="C99" s="36" t="s">
        <v>316</v>
      </c>
      <c r="E99" s="216"/>
      <c r="F99" s="222">
        <f>TrialBalance!L123+TrialBalanceA!I123+TrialBalanceB!I123+TrialBalanceC!I123</f>
        <v>0</v>
      </c>
    </row>
    <row r="100" spans="3:6" ht="24" customHeight="1" x14ac:dyDescent="0.35">
      <c r="C100" s="36" t="s">
        <v>896</v>
      </c>
      <c r="E100" s="216"/>
      <c r="F100" s="222">
        <f>TrialBalance!L124+TrialBalanceA!I124+TrialBalanceB!I124+TrialBalanceC!I124</f>
        <v>0</v>
      </c>
    </row>
    <row r="101" spans="3:6" ht="24" customHeight="1" x14ac:dyDescent="0.35">
      <c r="C101" s="36" t="s">
        <v>897</v>
      </c>
      <c r="E101" s="216"/>
      <c r="F101" s="222">
        <f>TrialBalance!L125+TrialBalanceA!I125+TrialBalanceB!I125+TrialBalanceC!I125</f>
        <v>0</v>
      </c>
    </row>
    <row r="102" spans="3:6" ht="24" customHeight="1" x14ac:dyDescent="0.35">
      <c r="C102" s="36" t="s">
        <v>317</v>
      </c>
      <c r="E102" s="216"/>
      <c r="F102" s="222">
        <f>TrialBalance!L126+TrialBalanceA!I126+TrialBalanceB!I126+TrialBalanceC!I126</f>
        <v>0</v>
      </c>
    </row>
    <row r="103" spans="3:6" ht="24" customHeight="1" x14ac:dyDescent="0.35">
      <c r="C103" s="36" t="s">
        <v>149</v>
      </c>
      <c r="E103" s="216"/>
      <c r="F103" s="222">
        <f>TrialBalance!L128+TrialBalanceA!I128+TrialBalanceB!I128+TrialBalanceC!I128</f>
        <v>0</v>
      </c>
    </row>
    <row r="104" spans="3:6" ht="24" customHeight="1" x14ac:dyDescent="0.35">
      <c r="C104" s="36" t="s">
        <v>1484</v>
      </c>
      <c r="E104" s="216"/>
      <c r="F104" s="222">
        <f>TrialBalance!L138+TrialBalanceA!I138+TrialBalanceB!I138+TrialBalanceC!I138</f>
        <v>0</v>
      </c>
    </row>
    <row r="105" spans="3:6" ht="24" customHeight="1" x14ac:dyDescent="0.35">
      <c r="C105" s="36" t="s">
        <v>1488</v>
      </c>
      <c r="E105" s="216"/>
      <c r="F105" s="222">
        <f>TrialBalance!L139+TrialBalanceA!I139+TrialBalanceB!I139+TrialBalanceC!I139</f>
        <v>0</v>
      </c>
    </row>
    <row r="106" spans="3:6" ht="24" customHeight="1" x14ac:dyDescent="0.35">
      <c r="E106" s="216"/>
      <c r="F106" s="222"/>
    </row>
    <row r="107" spans="3:6" ht="24" customHeight="1" x14ac:dyDescent="0.35">
      <c r="E107" s="216"/>
      <c r="F107" s="222"/>
    </row>
    <row r="108" spans="3:6" ht="24" customHeight="1" x14ac:dyDescent="0.35">
      <c r="E108" s="216"/>
      <c r="F108" s="222"/>
    </row>
    <row r="109" spans="3:6" ht="24" customHeight="1" x14ac:dyDescent="0.35">
      <c r="E109" s="216"/>
      <c r="F109" s="222"/>
    </row>
    <row r="110" spans="3:6" ht="24" customHeight="1" x14ac:dyDescent="0.35">
      <c r="E110" s="216"/>
      <c r="F110" s="222"/>
    </row>
    <row r="111" spans="3:6" ht="24" customHeight="1" x14ac:dyDescent="0.35">
      <c r="E111" s="216"/>
      <c r="F111" s="222"/>
    </row>
    <row r="112" spans="3:6" ht="24" customHeight="1" x14ac:dyDescent="0.35">
      <c r="E112" s="216"/>
      <c r="F112" s="222"/>
    </row>
    <row r="113" spans="3:6" ht="24" customHeight="1" x14ac:dyDescent="0.35">
      <c r="E113" s="216"/>
      <c r="F113" s="223"/>
    </row>
    <row r="114" spans="3:6" ht="6" customHeight="1" x14ac:dyDescent="0.35">
      <c r="E114" s="216"/>
      <c r="F114" s="295"/>
    </row>
    <row r="115" spans="3:6" ht="24" customHeight="1" x14ac:dyDescent="0.35">
      <c r="E115" s="216"/>
      <c r="F115" s="37">
        <f>F79-F81</f>
        <v>0</v>
      </c>
    </row>
    <row r="116" spans="3:6" ht="24" customHeight="1" x14ac:dyDescent="0.35">
      <c r="E116" s="216"/>
    </row>
    <row r="117" spans="3:6" ht="24" customHeight="1" x14ac:dyDescent="0.35">
      <c r="C117" s="36" t="s">
        <v>796</v>
      </c>
      <c r="E117" s="216"/>
      <c r="F117" s="37">
        <f>F115*0.15</f>
        <v>0</v>
      </c>
    </row>
    <row r="118" spans="3:6" ht="24" customHeight="1" x14ac:dyDescent="0.35">
      <c r="C118" s="36" t="s">
        <v>798</v>
      </c>
      <c r="E118" s="216"/>
    </row>
    <row r="119" spans="3:6" ht="24" customHeight="1" x14ac:dyDescent="0.35">
      <c r="C119" s="36" t="s">
        <v>799</v>
      </c>
      <c r="E119" s="216"/>
      <c r="F119" s="225"/>
    </row>
    <row r="120" spans="3:6" ht="7.5" customHeight="1" x14ac:dyDescent="0.35">
      <c r="E120" s="216"/>
      <c r="F120" s="98"/>
    </row>
    <row r="121" spans="3:6" ht="9" customHeight="1" x14ac:dyDescent="0.35">
      <c r="E121" s="216"/>
    </row>
    <row r="122" spans="3:6" ht="24" customHeight="1" x14ac:dyDescent="0.35">
      <c r="E122" s="216"/>
      <c r="F122" s="37">
        <f>SUM(F117:F120)</f>
        <v>0</v>
      </c>
    </row>
    <row r="123" spans="3:6" ht="24" customHeight="1" x14ac:dyDescent="0.35">
      <c r="E123" s="216"/>
    </row>
    <row r="124" spans="3:6" ht="24" customHeight="1" x14ac:dyDescent="0.35">
      <c r="C124" s="36" t="s">
        <v>56</v>
      </c>
      <c r="E124" s="216"/>
      <c r="F124" s="37">
        <f>K23+L23</f>
        <v>0</v>
      </c>
    </row>
    <row r="125" spans="3:6" ht="7.15" customHeight="1" x14ac:dyDescent="0.35">
      <c r="E125" s="216"/>
      <c r="F125" s="98"/>
    </row>
    <row r="126" spans="3:6" ht="7.15" customHeight="1" x14ac:dyDescent="0.35">
      <c r="E126" s="216"/>
    </row>
    <row r="127" spans="3:6" ht="24" customHeight="1" x14ac:dyDescent="0.35">
      <c r="C127" s="36" t="s">
        <v>401</v>
      </c>
      <c r="E127" s="216"/>
      <c r="F127" s="37">
        <f>F122-F124</f>
        <v>0</v>
      </c>
    </row>
    <row r="128" spans="3:6" ht="7.15" customHeight="1" thickBot="1" x14ac:dyDescent="0.4">
      <c r="E128" s="216"/>
      <c r="F128" s="103"/>
    </row>
    <row r="129" spans="5:5" ht="24" customHeight="1" thickTop="1" x14ac:dyDescent="0.35">
      <c r="E129" s="216"/>
    </row>
    <row r="130" spans="5:5" ht="24" customHeight="1" x14ac:dyDescent="0.35">
      <c r="E130" s="216"/>
    </row>
    <row r="131" spans="5:5" ht="24" customHeight="1" x14ac:dyDescent="0.35">
      <c r="E131" s="216"/>
    </row>
    <row r="132" spans="5:5" ht="24" customHeight="1" x14ac:dyDescent="0.35">
      <c r="E132" s="216"/>
    </row>
    <row r="133" spans="5:5" ht="24" customHeight="1" x14ac:dyDescent="0.35">
      <c r="E133" s="216"/>
    </row>
    <row r="134" spans="5:5" ht="24" customHeight="1" x14ac:dyDescent="0.35">
      <c r="E134" s="216"/>
    </row>
    <row r="135" spans="5:5" ht="24" customHeight="1" x14ac:dyDescent="0.35">
      <c r="E135" s="216"/>
    </row>
    <row r="136" spans="5:5" ht="24" customHeight="1" x14ac:dyDescent="0.35">
      <c r="E136" s="216"/>
    </row>
    <row r="137" spans="5:5" ht="24" customHeight="1" x14ac:dyDescent="0.35">
      <c r="E137" s="216"/>
    </row>
    <row r="138" spans="5:5" ht="24" customHeight="1" x14ac:dyDescent="0.35">
      <c r="E138" s="216"/>
    </row>
    <row r="139" spans="5:5" ht="24" customHeight="1" x14ac:dyDescent="0.35">
      <c r="E139" s="216"/>
    </row>
    <row r="140" spans="5:5" ht="24" customHeight="1" x14ac:dyDescent="0.35">
      <c r="E140" s="216"/>
    </row>
    <row r="141" spans="5:5" ht="24" customHeight="1" x14ac:dyDescent="0.35">
      <c r="E141" s="216"/>
    </row>
    <row r="142" spans="5:5" ht="24" customHeight="1" x14ac:dyDescent="0.35">
      <c r="E142" s="216"/>
    </row>
    <row r="143" spans="5:5" ht="24" customHeight="1" x14ac:dyDescent="0.35">
      <c r="E143" s="216"/>
    </row>
    <row r="144" spans="5:5" ht="24" customHeight="1" x14ac:dyDescent="0.35">
      <c r="E144" s="216"/>
    </row>
    <row r="145" spans="5:5" ht="24" customHeight="1" x14ac:dyDescent="0.35">
      <c r="E145" s="216"/>
    </row>
    <row r="146" spans="5:5" ht="24" customHeight="1" x14ac:dyDescent="0.35">
      <c r="E146" s="216"/>
    </row>
    <row r="147" spans="5:5" ht="24" customHeight="1" x14ac:dyDescent="0.35">
      <c r="E147" s="216"/>
    </row>
    <row r="148" spans="5:5" ht="24" customHeight="1" x14ac:dyDescent="0.35">
      <c r="E148" s="216"/>
    </row>
    <row r="149" spans="5:5" ht="24" customHeight="1" x14ac:dyDescent="0.35">
      <c r="E149" s="216"/>
    </row>
    <row r="150" spans="5:5" ht="24" customHeight="1" x14ac:dyDescent="0.35">
      <c r="E150" s="216"/>
    </row>
    <row r="151" spans="5:5" ht="24" customHeight="1" x14ac:dyDescent="0.35">
      <c r="E151" s="216"/>
    </row>
    <row r="152" spans="5:5" ht="24" customHeight="1" x14ac:dyDescent="0.35">
      <c r="E152" s="216"/>
    </row>
    <row r="153" spans="5:5" ht="24" customHeight="1" x14ac:dyDescent="0.35">
      <c r="E153" s="216"/>
    </row>
    <row r="154" spans="5:5" ht="24" customHeight="1" x14ac:dyDescent="0.35">
      <c r="E154" s="216"/>
    </row>
    <row r="155" spans="5:5" ht="24" customHeight="1" x14ac:dyDescent="0.35">
      <c r="E155" s="216"/>
    </row>
    <row r="156" spans="5:5" ht="24" customHeight="1" x14ac:dyDescent="0.35">
      <c r="E156" s="216"/>
    </row>
    <row r="157" spans="5:5" ht="24" customHeight="1" x14ac:dyDescent="0.35">
      <c r="E157" s="216"/>
    </row>
    <row r="158" spans="5:5" ht="24" customHeight="1" x14ac:dyDescent="0.35">
      <c r="E158" s="216"/>
    </row>
    <row r="159" spans="5:5" ht="24" customHeight="1" x14ac:dyDescent="0.35">
      <c r="E159" s="224"/>
    </row>
    <row r="160" spans="5:5" ht="24" customHeight="1" x14ac:dyDescent="0.35">
      <c r="E160" s="224"/>
    </row>
    <row r="161" spans="5:5" ht="24" customHeight="1" x14ac:dyDescent="0.35">
      <c r="E161" s="224"/>
    </row>
    <row r="162" spans="5:5" ht="24" customHeight="1" x14ac:dyDescent="0.35">
      <c r="E162" s="224"/>
    </row>
    <row r="163" spans="5:5" ht="24" customHeight="1" x14ac:dyDescent="0.35">
      <c r="E163" s="224"/>
    </row>
    <row r="164" spans="5:5" ht="24" customHeight="1" x14ac:dyDescent="0.35">
      <c r="E164" s="224"/>
    </row>
    <row r="165" spans="5:5" ht="24" customHeight="1" x14ac:dyDescent="0.35">
      <c r="E165" s="224"/>
    </row>
    <row r="166" spans="5:5" ht="24" customHeight="1" x14ac:dyDescent="0.35">
      <c r="E166" s="224"/>
    </row>
    <row r="167" spans="5:5" ht="24" customHeight="1" x14ac:dyDescent="0.35">
      <c r="E167" s="224"/>
    </row>
    <row r="168" spans="5:5" ht="24" customHeight="1" x14ac:dyDescent="0.35">
      <c r="E168" s="224"/>
    </row>
    <row r="169" spans="5:5" ht="24" customHeight="1" x14ac:dyDescent="0.35">
      <c r="E169" s="224"/>
    </row>
    <row r="170" spans="5:5" ht="24" customHeight="1" x14ac:dyDescent="0.35">
      <c r="E170" s="224"/>
    </row>
    <row r="171" spans="5:5" ht="24" customHeight="1" x14ac:dyDescent="0.35">
      <c r="E171" s="224"/>
    </row>
    <row r="172" spans="5:5" ht="24" customHeight="1" x14ac:dyDescent="0.35">
      <c r="E172" s="224"/>
    </row>
    <row r="173" spans="5:5" ht="24" customHeight="1" x14ac:dyDescent="0.35">
      <c r="E173" s="224"/>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91" t="s">
        <v>159</v>
      </c>
      <c r="G4" s="149" t="s">
        <v>102</v>
      </c>
      <c r="H4" s="149"/>
    </row>
    <row r="5" spans="3:8" ht="15.75" customHeight="1" x14ac:dyDescent="0.25">
      <c r="G5" s="28"/>
      <c r="H5" s="28"/>
    </row>
    <row r="6" spans="3:8" s="2" customFormat="1" x14ac:dyDescent="0.25">
      <c r="G6" s="5">
        <f>Criteria!E22</f>
        <v>2024</v>
      </c>
      <c r="H6" s="5">
        <f>Criteria!E27</f>
        <v>2023</v>
      </c>
    </row>
    <row r="8" spans="3:8" s="2" customFormat="1" x14ac:dyDescent="0.25">
      <c r="C8" s="31">
        <f>TrialBalance!C185</f>
        <v>0</v>
      </c>
      <c r="G8" s="145">
        <f>-TrialBalance!L185</f>
        <v>0</v>
      </c>
      <c r="H8" s="145">
        <f>-TrialBalance!N185</f>
        <v>0</v>
      </c>
    </row>
    <row r="9" spans="3:8" s="2" customFormat="1" x14ac:dyDescent="0.25">
      <c r="C9" s="31">
        <f>TrialBalance!C186</f>
        <v>0</v>
      </c>
      <c r="G9" s="145">
        <f>-TrialBalance!L186</f>
        <v>0</v>
      </c>
      <c r="H9" s="145">
        <f>-TrialBalance!N186</f>
        <v>0</v>
      </c>
    </row>
    <row r="10" spans="3:8" s="2" customFormat="1" x14ac:dyDescent="0.25">
      <c r="C10" s="31">
        <f>TrialBalance!C187</f>
        <v>0</v>
      </c>
      <c r="G10" s="145">
        <f>-TrialBalance!L187</f>
        <v>0</v>
      </c>
      <c r="H10" s="145">
        <f>-TrialBalance!N187</f>
        <v>0</v>
      </c>
    </row>
    <row r="11" spans="3:8" s="2" customFormat="1" x14ac:dyDescent="0.25">
      <c r="C11" s="31">
        <f>TrialBalance!C188</f>
        <v>0</v>
      </c>
      <c r="G11" s="145">
        <f>-TrialBalance!L188</f>
        <v>0</v>
      </c>
      <c r="H11" s="145">
        <f>-TrialBalance!N188</f>
        <v>0</v>
      </c>
    </row>
    <row r="12" spans="3:8" s="2" customFormat="1" x14ac:dyDescent="0.25">
      <c r="C12" s="31">
        <f>TrialBalance!C189</f>
        <v>0</v>
      </c>
      <c r="G12" s="145">
        <f>-TrialBalance!L189</f>
        <v>0</v>
      </c>
      <c r="H12" s="145">
        <f>-TrialBalance!N189</f>
        <v>0</v>
      </c>
    </row>
    <row r="13" spans="3:8" s="2" customFormat="1" x14ac:dyDescent="0.25">
      <c r="C13" s="31">
        <f>TrialBalance!C190</f>
        <v>0</v>
      </c>
      <c r="G13" s="145">
        <f>-TrialBalance!L190</f>
        <v>0</v>
      </c>
      <c r="H13" s="145">
        <f>-TrialBalance!N190</f>
        <v>0</v>
      </c>
    </row>
    <row r="14" spans="3:8" s="2" customFormat="1" x14ac:dyDescent="0.25">
      <c r="C14" s="31">
        <f>TrialBalance!C191</f>
        <v>0</v>
      </c>
      <c r="G14" s="145">
        <f>-TrialBalance!L191</f>
        <v>0</v>
      </c>
      <c r="H14" s="145">
        <f>-TrialBalance!N191</f>
        <v>0</v>
      </c>
    </row>
    <row r="15" spans="3:8" s="2" customFormat="1" x14ac:dyDescent="0.25">
      <c r="C15" s="31">
        <f>TrialBalance!C192</f>
        <v>0</v>
      </c>
      <c r="G15" s="145">
        <f>-TrialBalance!L192</f>
        <v>0</v>
      </c>
      <c r="H15" s="145">
        <f>-TrialBalance!N192</f>
        <v>0</v>
      </c>
    </row>
    <row r="16" spans="3:8" s="2" customFormat="1" x14ac:dyDescent="0.25">
      <c r="C16" s="31">
        <f>TrialBalance!C193</f>
        <v>0</v>
      </c>
      <c r="G16" s="145">
        <f>-TrialBalance!L193</f>
        <v>0</v>
      </c>
      <c r="H16" s="145">
        <f>-TrialBalance!N193</f>
        <v>0</v>
      </c>
    </row>
    <row r="17" spans="3:8" s="2" customFormat="1" x14ac:dyDescent="0.25">
      <c r="C17" s="31">
        <f>TrialBalance!C194</f>
        <v>0</v>
      </c>
      <c r="G17" s="145">
        <f>-TrialBalance!L194</f>
        <v>0</v>
      </c>
      <c r="H17" s="145">
        <f>-TrialBalance!N194</f>
        <v>0</v>
      </c>
    </row>
    <row r="18" spans="3:8" s="2" customFormat="1" x14ac:dyDescent="0.25">
      <c r="C18" s="31">
        <f>TrialBalance!C195</f>
        <v>0</v>
      </c>
      <c r="G18" s="145">
        <f>-TrialBalance!L195</f>
        <v>0</v>
      </c>
      <c r="H18" s="145">
        <f>-TrialBalance!N195</f>
        <v>0</v>
      </c>
    </row>
    <row r="19" spans="3:8" s="2" customFormat="1" x14ac:dyDescent="0.25">
      <c r="C19" s="31">
        <f>TrialBalance!C196</f>
        <v>0</v>
      </c>
      <c r="G19" s="145">
        <f>-TrialBalance!L196</f>
        <v>0</v>
      </c>
      <c r="H19" s="145">
        <f>-TrialBalance!N196</f>
        <v>0</v>
      </c>
    </row>
    <row r="20" spans="3:8" s="2" customFormat="1" x14ac:dyDescent="0.25">
      <c r="C20" s="31">
        <f>TrialBalance!C197</f>
        <v>0</v>
      </c>
      <c r="G20" s="145">
        <f>-TrialBalance!L197</f>
        <v>0</v>
      </c>
      <c r="H20" s="145">
        <f>-TrialBalance!N197</f>
        <v>0</v>
      </c>
    </row>
    <row r="21" spans="3:8" s="2" customFormat="1" x14ac:dyDescent="0.25">
      <c r="C21" s="31">
        <f>TrialBalance!C198</f>
        <v>0</v>
      </c>
      <c r="G21" s="145">
        <f>-TrialBalance!L198</f>
        <v>0</v>
      </c>
      <c r="H21" s="145">
        <f>-TrialBalance!N198</f>
        <v>0</v>
      </c>
    </row>
    <row r="22" spans="3:8" s="2" customFormat="1" x14ac:dyDescent="0.25">
      <c r="C22" s="31">
        <f>TrialBalance!C199</f>
        <v>0</v>
      </c>
      <c r="G22" s="145">
        <f>-TrialBalance!L199</f>
        <v>0</v>
      </c>
      <c r="H22" s="145">
        <f>-TrialBalance!N199</f>
        <v>0</v>
      </c>
    </row>
    <row r="23" spans="3:8" s="2" customFormat="1" x14ac:dyDescent="0.25">
      <c r="C23" s="31"/>
      <c r="G23" s="146"/>
      <c r="H23" s="146"/>
    </row>
    <row r="24" spans="3:8" s="2" customFormat="1" x14ac:dyDescent="0.25">
      <c r="C24" s="31"/>
      <c r="G24" s="145">
        <f>SUM(G7:G23)</f>
        <v>0</v>
      </c>
      <c r="H24" s="145">
        <f>SUM(H7:H23)</f>
        <v>0</v>
      </c>
    </row>
    <row r="25" spans="3:8" s="2" customFormat="1" x14ac:dyDescent="0.25">
      <c r="C25" s="31"/>
      <c r="G25" s="145"/>
      <c r="H25" s="145"/>
    </row>
    <row r="26" spans="3:8" s="2" customFormat="1" x14ac:dyDescent="0.25">
      <c r="C26" s="31" t="s">
        <v>311</v>
      </c>
      <c r="G26" s="145">
        <f>-TrialBalance!L200</f>
        <v>0</v>
      </c>
      <c r="H26" s="145">
        <f>-TrialBalance!N200</f>
        <v>0</v>
      </c>
    </row>
    <row r="27" spans="3:8" s="2" customFormat="1" x14ac:dyDescent="0.25">
      <c r="G27" s="145"/>
      <c r="H27" s="145"/>
    </row>
    <row r="28" spans="3:8" s="2" customFormat="1" ht="16.5" thickBot="1" x14ac:dyDescent="0.3">
      <c r="G28" s="147">
        <f>SUM(G24:G27)</f>
        <v>0</v>
      </c>
      <c r="H28" s="147">
        <f>SUM(H24:H27)</f>
        <v>0</v>
      </c>
    </row>
    <row r="29" spans="3:8" s="2" customFormat="1" ht="16.5" thickTop="1" x14ac:dyDescent="0.25">
      <c r="G29" s="145"/>
      <c r="H29" s="145"/>
    </row>
    <row r="30" spans="3:8" s="2" customFormat="1" x14ac:dyDescent="0.25">
      <c r="C30" s="1" t="s">
        <v>694</v>
      </c>
      <c r="D30" s="1"/>
      <c r="E30" s="1"/>
      <c r="F30" s="1"/>
      <c r="G30" s="8">
        <f>G28+SUM(TrialBalance!L185:L200)</f>
        <v>0</v>
      </c>
      <c r="H30" s="8">
        <f>H28+SUM(TrialBalance!N185:N200)</f>
        <v>0</v>
      </c>
    </row>
    <row r="31" spans="3:8" s="2" customFormat="1" x14ac:dyDescent="0.25">
      <c r="G31" s="145"/>
      <c r="H31" s="145"/>
    </row>
    <row r="32" spans="3:8" s="2" customFormat="1" x14ac:dyDescent="0.25">
      <c r="G32" s="145"/>
      <c r="H32" s="145"/>
    </row>
    <row r="33" spans="2:8" s="2" customFormat="1" x14ac:dyDescent="0.25">
      <c r="G33" s="145"/>
      <c r="H33" s="145"/>
    </row>
    <row r="34" spans="2:8" s="2" customFormat="1" x14ac:dyDescent="0.25">
      <c r="B34" s="112"/>
      <c r="C34" s="3"/>
      <c r="G34" s="28"/>
      <c r="H34" s="28"/>
    </row>
    <row r="35" spans="2:8" s="2" customFormat="1" x14ac:dyDescent="0.25">
      <c r="G35" s="5"/>
      <c r="H35" s="5"/>
    </row>
    <row r="36" spans="2:8" s="2" customFormat="1" x14ac:dyDescent="0.25">
      <c r="G36" s="5"/>
      <c r="H36" s="5"/>
    </row>
    <row r="37" spans="2:8" x14ac:dyDescent="0.25">
      <c r="E37" s="293"/>
      <c r="F37" s="293"/>
    </row>
    <row r="38" spans="2:8" x14ac:dyDescent="0.25">
      <c r="E38" s="294"/>
      <c r="F38" s="294"/>
    </row>
    <row r="39" spans="2:8" x14ac:dyDescent="0.25">
      <c r="E39" s="294"/>
      <c r="F39" s="294"/>
    </row>
    <row r="40" spans="2:8" x14ac:dyDescent="0.25">
      <c r="E40" s="294"/>
      <c r="F40" s="294"/>
    </row>
    <row r="41" spans="2:8" x14ac:dyDescent="0.25">
      <c r="E41" s="294"/>
      <c r="F41" s="294"/>
    </row>
    <row r="42" spans="2:8" x14ac:dyDescent="0.25">
      <c r="E42" s="294"/>
      <c r="F42" s="294"/>
    </row>
    <row r="43" spans="2:8" x14ac:dyDescent="0.25">
      <c r="E43" s="294"/>
      <c r="F43" s="294"/>
    </row>
    <row r="44" spans="2:8" x14ac:dyDescent="0.25">
      <c r="E44" s="294"/>
      <c r="F44" s="294"/>
    </row>
    <row r="45" spans="2:8" x14ac:dyDescent="0.25">
      <c r="E45" s="294"/>
      <c r="F45" s="294"/>
    </row>
    <row r="46" spans="2:8" x14ac:dyDescent="0.25">
      <c r="E46" s="294"/>
      <c r="F46" s="294"/>
    </row>
    <row r="47" spans="2:8" x14ac:dyDescent="0.25">
      <c r="E47" s="294"/>
      <c r="F47" s="294"/>
    </row>
    <row r="48" spans="2:8" x14ac:dyDescent="0.25">
      <c r="E48" s="294"/>
      <c r="F48" s="294"/>
    </row>
    <row r="49" spans="5:6" x14ac:dyDescent="0.25">
      <c r="E49" s="294"/>
      <c r="F49" s="294"/>
    </row>
    <row r="50" spans="5:6" x14ac:dyDescent="0.25">
      <c r="E50" s="294"/>
      <c r="F50" s="294"/>
    </row>
    <row r="51" spans="5:6" x14ac:dyDescent="0.25">
      <c r="E51" s="294"/>
      <c r="F51" s="294"/>
    </row>
    <row r="52" spans="5:6" x14ac:dyDescent="0.25">
      <c r="E52" s="294"/>
      <c r="F52" s="294"/>
    </row>
    <row r="53" spans="5:6" x14ac:dyDescent="0.25">
      <c r="E53" s="294"/>
      <c r="F53" s="294"/>
    </row>
    <row r="54" spans="5:6" x14ac:dyDescent="0.25">
      <c r="E54" s="294"/>
      <c r="F54" s="294"/>
    </row>
    <row r="55" spans="5:6" x14ac:dyDescent="0.25">
      <c r="E55" s="294"/>
      <c r="F55" s="294"/>
    </row>
    <row r="56" spans="5:6" x14ac:dyDescent="0.25">
      <c r="E56" s="294"/>
      <c r="F56" s="294"/>
    </row>
    <row r="57" spans="5:6" x14ac:dyDescent="0.25">
      <c r="E57" s="294"/>
      <c r="F57" s="294"/>
    </row>
    <row r="58" spans="5:6" x14ac:dyDescent="0.25">
      <c r="E58" s="294"/>
      <c r="F58" s="294"/>
    </row>
    <row r="59" spans="5:6" x14ac:dyDescent="0.25">
      <c r="E59" s="294"/>
      <c r="F59" s="294"/>
    </row>
    <row r="60" spans="5:6" x14ac:dyDescent="0.25">
      <c r="E60" s="294"/>
      <c r="F60" s="294"/>
    </row>
    <row r="61" spans="5:6" x14ac:dyDescent="0.25">
      <c r="E61" s="294"/>
      <c r="F61" s="294"/>
    </row>
    <row r="62" spans="5:6" x14ac:dyDescent="0.25">
      <c r="E62" s="294"/>
      <c r="F62" s="294"/>
    </row>
    <row r="63" spans="5:6" x14ac:dyDescent="0.25">
      <c r="E63" s="294"/>
      <c r="F63" s="294"/>
    </row>
    <row r="64" spans="5:6" x14ac:dyDescent="0.25">
      <c r="E64" s="294"/>
      <c r="F64" s="294"/>
    </row>
    <row r="65" spans="5:6" x14ac:dyDescent="0.25">
      <c r="E65" s="294"/>
      <c r="F65" s="294"/>
    </row>
    <row r="66" spans="5:6" x14ac:dyDescent="0.25">
      <c r="E66" s="294"/>
      <c r="F66" s="294"/>
    </row>
    <row r="67" spans="5:6" x14ac:dyDescent="0.25">
      <c r="E67" s="294"/>
      <c r="F67" s="294"/>
    </row>
    <row r="68" spans="5:6" x14ac:dyDescent="0.25">
      <c r="E68" s="294"/>
      <c r="F68" s="294"/>
    </row>
    <row r="69" spans="5:6" x14ac:dyDescent="0.25">
      <c r="E69" s="294"/>
      <c r="F69" s="294"/>
    </row>
    <row r="70" spans="5:6" x14ac:dyDescent="0.25">
      <c r="E70" s="294"/>
      <c r="F70" s="294"/>
    </row>
    <row r="71" spans="5:6" x14ac:dyDescent="0.25">
      <c r="E71" s="294"/>
      <c r="F71" s="294"/>
    </row>
    <row r="72" spans="5:6" x14ac:dyDescent="0.25">
      <c r="E72" s="294"/>
      <c r="F72" s="294"/>
    </row>
    <row r="73" spans="5:6" x14ac:dyDescent="0.25">
      <c r="E73" s="294"/>
      <c r="F73" s="294"/>
    </row>
    <row r="74" spans="5:6" x14ac:dyDescent="0.25">
      <c r="E74" s="294"/>
      <c r="F74" s="294"/>
    </row>
    <row r="75" spans="5:6" x14ac:dyDescent="0.25">
      <c r="E75" s="294"/>
      <c r="F75" s="294"/>
    </row>
    <row r="76" spans="5:6" x14ac:dyDescent="0.25">
      <c r="E76" s="294"/>
      <c r="F76" s="294"/>
    </row>
    <row r="77" spans="5:6" x14ac:dyDescent="0.25">
      <c r="E77" s="294"/>
      <c r="F77" s="294"/>
    </row>
    <row r="78" spans="5:6" x14ac:dyDescent="0.25">
      <c r="E78" s="294"/>
      <c r="F78" s="294"/>
    </row>
    <row r="79" spans="5:6" x14ac:dyDescent="0.25">
      <c r="E79" s="294"/>
      <c r="F79" s="294"/>
    </row>
    <row r="80" spans="5:6" x14ac:dyDescent="0.25">
      <c r="E80" s="294"/>
      <c r="F80" s="294"/>
    </row>
    <row r="81" spans="5:6" x14ac:dyDescent="0.25">
      <c r="E81" s="294"/>
      <c r="F81" s="294"/>
    </row>
    <row r="82" spans="5:6" x14ac:dyDescent="0.25">
      <c r="E82" s="294"/>
      <c r="F82" s="294"/>
    </row>
    <row r="83" spans="5:6" x14ac:dyDescent="0.25">
      <c r="E83" s="294"/>
      <c r="F83" s="294"/>
    </row>
    <row r="84" spans="5:6" x14ac:dyDescent="0.25">
      <c r="E84" s="294"/>
      <c r="F84" s="294"/>
    </row>
    <row r="85" spans="5:6" x14ac:dyDescent="0.25">
      <c r="E85" s="294"/>
      <c r="F85" s="294"/>
    </row>
    <row r="86" spans="5:6" x14ac:dyDescent="0.25">
      <c r="E86" s="294"/>
      <c r="F86" s="294"/>
    </row>
    <row r="87" spans="5:6" x14ac:dyDescent="0.25">
      <c r="E87" s="294"/>
      <c r="F87" s="294"/>
    </row>
    <row r="88" spans="5:6" x14ac:dyDescent="0.25">
      <c r="E88" s="294"/>
      <c r="F88" s="294"/>
    </row>
    <row r="89" spans="5:6" x14ac:dyDescent="0.25">
      <c r="E89" s="294"/>
      <c r="F89" s="294"/>
    </row>
    <row r="90" spans="5:6" x14ac:dyDescent="0.25">
      <c r="E90" s="294"/>
      <c r="F90" s="294"/>
    </row>
    <row r="91" spans="5:6" x14ac:dyDescent="0.25">
      <c r="E91" s="294"/>
      <c r="F91" s="294"/>
    </row>
    <row r="92" spans="5:6" x14ac:dyDescent="0.25">
      <c r="E92" s="294"/>
      <c r="F92" s="294"/>
    </row>
    <row r="93" spans="5:6" x14ac:dyDescent="0.25">
      <c r="E93" s="294"/>
      <c r="F93" s="294"/>
    </row>
    <row r="94" spans="5:6" x14ac:dyDescent="0.25">
      <c r="E94" s="294"/>
      <c r="F94" s="294"/>
    </row>
    <row r="95" spans="5:6" x14ac:dyDescent="0.25">
      <c r="E95" s="294"/>
      <c r="F95" s="294"/>
    </row>
    <row r="96" spans="5:6" x14ac:dyDescent="0.25">
      <c r="E96" s="294"/>
      <c r="F96" s="294"/>
    </row>
    <row r="97" spans="5:6" x14ac:dyDescent="0.25">
      <c r="E97" s="294"/>
      <c r="F97" s="294"/>
    </row>
    <row r="98" spans="5:6" x14ac:dyDescent="0.25">
      <c r="E98" s="294"/>
      <c r="F98" s="294"/>
    </row>
    <row r="99" spans="5:6" x14ac:dyDescent="0.25">
      <c r="E99" s="294"/>
      <c r="F99" s="294"/>
    </row>
    <row r="100" spans="5:6" x14ac:dyDescent="0.25">
      <c r="E100" s="294"/>
      <c r="F100" s="294"/>
    </row>
    <row r="101" spans="5:6" x14ac:dyDescent="0.25">
      <c r="E101" s="294"/>
      <c r="F101" s="294"/>
    </row>
    <row r="102" spans="5:6" x14ac:dyDescent="0.25">
      <c r="E102" s="294"/>
      <c r="F102" s="294"/>
    </row>
    <row r="103" spans="5:6" x14ac:dyDescent="0.25">
      <c r="E103" s="294"/>
      <c r="F103" s="294"/>
    </row>
    <row r="104" spans="5:6" x14ac:dyDescent="0.25">
      <c r="E104" s="294"/>
      <c r="F104" s="294"/>
    </row>
    <row r="105" spans="5:6" x14ac:dyDescent="0.25">
      <c r="E105" s="294"/>
      <c r="F105" s="294"/>
    </row>
    <row r="106" spans="5:6" x14ac:dyDescent="0.25">
      <c r="E106" s="294"/>
      <c r="F106" s="294"/>
    </row>
    <row r="107" spans="5:6" x14ac:dyDescent="0.25">
      <c r="E107" s="294"/>
      <c r="F107" s="294"/>
    </row>
    <row r="108" spans="5:6" x14ac:dyDescent="0.25">
      <c r="E108" s="294"/>
      <c r="F108" s="294"/>
    </row>
    <row r="109" spans="5:6" x14ac:dyDescent="0.25">
      <c r="E109" s="294"/>
      <c r="F109" s="294"/>
    </row>
    <row r="110" spans="5:6" x14ac:dyDescent="0.25">
      <c r="E110" s="294"/>
      <c r="F110" s="294"/>
    </row>
    <row r="111" spans="5:6" x14ac:dyDescent="0.25">
      <c r="E111" s="294"/>
      <c r="F111" s="294"/>
    </row>
    <row r="112" spans="5:6" x14ac:dyDescent="0.25">
      <c r="E112" s="294"/>
      <c r="F112" s="294"/>
    </row>
    <row r="113" spans="5:6" x14ac:dyDescent="0.25">
      <c r="E113" s="294"/>
      <c r="F113" s="294"/>
    </row>
    <row r="114" spans="5:6" x14ac:dyDescent="0.25">
      <c r="E114" s="294"/>
      <c r="F114" s="294"/>
    </row>
    <row r="115" spans="5:6" x14ac:dyDescent="0.25">
      <c r="E115" s="294"/>
      <c r="F115" s="294"/>
    </row>
    <row r="116" spans="5:6" x14ac:dyDescent="0.25">
      <c r="E116" s="294"/>
      <c r="F116" s="294"/>
    </row>
    <row r="117" spans="5:6" x14ac:dyDescent="0.25">
      <c r="E117" s="294"/>
      <c r="F117" s="294"/>
    </row>
    <row r="118" spans="5:6" x14ac:dyDescent="0.25">
      <c r="E118" s="294"/>
      <c r="F118" s="294"/>
    </row>
    <row r="2531" spans="7:9" s="2" customFormat="1" x14ac:dyDescent="0.25">
      <c r="G2531" s="5"/>
      <c r="H2531" s="5"/>
      <c r="I2531" s="32"/>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91" t="s">
        <v>168</v>
      </c>
      <c r="G4" s="149" t="s">
        <v>102</v>
      </c>
      <c r="H4" s="149"/>
    </row>
    <row r="5" spans="3:8" ht="15.75" customHeight="1" x14ac:dyDescent="0.25">
      <c r="G5" s="28"/>
      <c r="H5" s="28"/>
    </row>
    <row r="6" spans="3:8" s="2" customFormat="1" x14ac:dyDescent="0.25">
      <c r="G6" s="5">
        <f>Criteria!E22</f>
        <v>2024</v>
      </c>
      <c r="H6" s="5">
        <f>Criteria!E27</f>
        <v>2023</v>
      </c>
    </row>
    <row r="8" spans="3:8" s="2" customFormat="1" x14ac:dyDescent="0.25">
      <c r="C8" s="31">
        <f>TrialBalance!C202</f>
        <v>0</v>
      </c>
      <c r="G8" s="145">
        <f>-TrialBalance!L202</f>
        <v>0</v>
      </c>
      <c r="H8" s="145">
        <f>-TrialBalance!N202</f>
        <v>0</v>
      </c>
    </row>
    <row r="9" spans="3:8" s="2" customFormat="1" x14ac:dyDescent="0.25">
      <c r="C9" s="31">
        <f>TrialBalance!C203</f>
        <v>0</v>
      </c>
      <c r="G9" s="145">
        <f>-TrialBalance!L203</f>
        <v>0</v>
      </c>
      <c r="H9" s="145">
        <f>-TrialBalance!N203</f>
        <v>0</v>
      </c>
    </row>
    <row r="10" spans="3:8" s="2" customFormat="1" x14ac:dyDescent="0.25">
      <c r="C10" s="31">
        <f>TrialBalance!C204</f>
        <v>0</v>
      </c>
      <c r="G10" s="145">
        <f>-TrialBalance!L204</f>
        <v>0</v>
      </c>
      <c r="H10" s="145">
        <f>-TrialBalance!N204</f>
        <v>0</v>
      </c>
    </row>
    <row r="11" spans="3:8" s="2" customFormat="1" x14ac:dyDescent="0.25">
      <c r="C11" s="31">
        <f>TrialBalance!C205</f>
        <v>0</v>
      </c>
      <c r="G11" s="145">
        <f>-TrialBalance!L205</f>
        <v>0</v>
      </c>
      <c r="H11" s="145">
        <f>-TrialBalance!N205</f>
        <v>0</v>
      </c>
    </row>
    <row r="12" spans="3:8" s="2" customFormat="1" x14ac:dyDescent="0.25">
      <c r="C12" s="31">
        <f>TrialBalance!C206</f>
        <v>0</v>
      </c>
      <c r="G12" s="145">
        <f>-TrialBalance!L206</f>
        <v>0</v>
      </c>
      <c r="H12" s="145">
        <f>-TrialBalance!N206</f>
        <v>0</v>
      </c>
    </row>
    <row r="13" spans="3:8" s="2" customFormat="1" x14ac:dyDescent="0.25">
      <c r="C13" s="31">
        <f>TrialBalance!C207</f>
        <v>0</v>
      </c>
      <c r="G13" s="145">
        <f>-TrialBalance!L207</f>
        <v>0</v>
      </c>
      <c r="H13" s="145">
        <f>-TrialBalance!N207</f>
        <v>0</v>
      </c>
    </row>
    <row r="14" spans="3:8" s="2" customFormat="1" x14ac:dyDescent="0.25">
      <c r="C14" s="31">
        <f>TrialBalance!C208</f>
        <v>0</v>
      </c>
      <c r="G14" s="145">
        <f>-TrialBalance!L208</f>
        <v>0</v>
      </c>
      <c r="H14" s="145">
        <f>-TrialBalance!N208</f>
        <v>0</v>
      </c>
    </row>
    <row r="15" spans="3:8" s="2" customFormat="1" x14ac:dyDescent="0.25">
      <c r="C15" s="31">
        <f>TrialBalance!C209</f>
        <v>0</v>
      </c>
      <c r="G15" s="145">
        <f>-TrialBalance!L209</f>
        <v>0</v>
      </c>
      <c r="H15" s="145">
        <f>-TrialBalance!N209</f>
        <v>0</v>
      </c>
    </row>
    <row r="16" spans="3:8" s="2" customFormat="1" x14ac:dyDescent="0.25">
      <c r="C16" s="31">
        <f>TrialBalance!C210</f>
        <v>0</v>
      </c>
      <c r="G16" s="145">
        <f>-TrialBalance!L210</f>
        <v>0</v>
      </c>
      <c r="H16" s="145">
        <f>-TrialBalance!N210</f>
        <v>0</v>
      </c>
    </row>
    <row r="17" spans="3:8" s="2" customFormat="1" x14ac:dyDescent="0.25">
      <c r="C17" s="31">
        <f>TrialBalance!C211</f>
        <v>0</v>
      </c>
      <c r="G17" s="145">
        <f>-TrialBalance!L211</f>
        <v>0</v>
      </c>
      <c r="H17" s="145">
        <f>-TrialBalance!N211</f>
        <v>0</v>
      </c>
    </row>
    <row r="18" spans="3:8" s="2" customFormat="1" x14ac:dyDescent="0.25">
      <c r="C18" s="31">
        <f>TrialBalance!C212</f>
        <v>0</v>
      </c>
      <c r="G18" s="145">
        <f>-TrialBalance!L212</f>
        <v>0</v>
      </c>
      <c r="H18" s="145">
        <f>-TrialBalance!N212</f>
        <v>0</v>
      </c>
    </row>
    <row r="19" spans="3:8" s="2" customFormat="1" x14ac:dyDescent="0.25">
      <c r="C19" s="31">
        <f>TrialBalance!C213</f>
        <v>0</v>
      </c>
      <c r="G19" s="145">
        <f>-TrialBalance!L213</f>
        <v>0</v>
      </c>
      <c r="H19" s="145">
        <f>-TrialBalance!N213</f>
        <v>0</v>
      </c>
    </row>
    <row r="20" spans="3:8" s="2" customFormat="1" x14ac:dyDescent="0.25">
      <c r="C20" s="31">
        <f>TrialBalance!C214</f>
        <v>0</v>
      </c>
      <c r="G20" s="145">
        <f>-TrialBalance!L214</f>
        <v>0</v>
      </c>
      <c r="H20" s="145">
        <f>-TrialBalance!N214</f>
        <v>0</v>
      </c>
    </row>
    <row r="21" spans="3:8" s="2" customFormat="1" x14ac:dyDescent="0.25">
      <c r="C21" s="31">
        <f>TrialBalance!C215</f>
        <v>0</v>
      </c>
      <c r="G21" s="145">
        <f>-TrialBalance!L215</f>
        <v>0</v>
      </c>
      <c r="H21" s="145">
        <f>-TrialBalance!N215</f>
        <v>0</v>
      </c>
    </row>
    <row r="22" spans="3:8" s="2" customFormat="1" x14ac:dyDescent="0.25">
      <c r="C22" s="31">
        <f>TrialBalance!C216</f>
        <v>0</v>
      </c>
      <c r="G22" s="145">
        <f>-TrialBalance!L216</f>
        <v>0</v>
      </c>
      <c r="H22" s="145">
        <f>-TrialBalance!N216</f>
        <v>0</v>
      </c>
    </row>
    <row r="23" spans="3:8" s="2" customFormat="1" x14ac:dyDescent="0.25">
      <c r="C23" s="31">
        <f>TrialBalance!C217</f>
        <v>0</v>
      </c>
      <c r="G23" s="145">
        <f>-TrialBalance!L217</f>
        <v>0</v>
      </c>
      <c r="H23" s="145">
        <f>-TrialBalance!N217</f>
        <v>0</v>
      </c>
    </row>
    <row r="24" spans="3:8" s="2" customFormat="1" x14ac:dyDescent="0.25">
      <c r="C24" s="31">
        <f>TrialBalance!C218</f>
        <v>0</v>
      </c>
      <c r="G24" s="145">
        <f>-TrialBalance!L218</f>
        <v>0</v>
      </c>
      <c r="H24" s="145">
        <f>-TrialBalance!N218</f>
        <v>0</v>
      </c>
    </row>
    <row r="25" spans="3:8" s="2" customFormat="1" x14ac:dyDescent="0.25">
      <c r="G25" s="145"/>
      <c r="H25" s="145"/>
    </row>
    <row r="26" spans="3:8" s="2" customFormat="1" ht="16.5" thickBot="1" x14ac:dyDescent="0.3">
      <c r="G26" s="147">
        <f>SUM(G7:G25)</f>
        <v>0</v>
      </c>
      <c r="H26" s="147">
        <f>SUM(H7:H25)</f>
        <v>0</v>
      </c>
    </row>
    <row r="27" spans="3:8" s="2" customFormat="1" ht="16.5" thickTop="1" x14ac:dyDescent="0.25">
      <c r="G27" s="145"/>
      <c r="H27" s="145"/>
    </row>
    <row r="28" spans="3:8" s="2" customFormat="1" x14ac:dyDescent="0.25">
      <c r="C28" s="1" t="s">
        <v>694</v>
      </c>
      <c r="D28" s="1"/>
      <c r="E28" s="1"/>
      <c r="F28" s="1"/>
      <c r="G28" s="8">
        <f>G26+SUM(TrialBalance!L202:L218)</f>
        <v>0</v>
      </c>
      <c r="H28" s="8">
        <f>H26+SUM(TrialBalance!N202:N218)</f>
        <v>0</v>
      </c>
    </row>
    <row r="29" spans="3:8" s="2" customFormat="1" x14ac:dyDescent="0.25">
      <c r="G29" s="145"/>
      <c r="H29" s="145"/>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J33" sqref="J3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6.42578125" style="2" bestFit="1" customWidth="1"/>
    <col min="7" max="8" width="16" style="5" bestFit="1" customWidth="1"/>
    <col min="9" max="9" width="16" style="2" bestFit="1" customWidth="1"/>
    <col min="10" max="10" width="16" style="2" customWidth="1"/>
    <col min="11" max="11" width="13.28515625" style="2" bestFit="1" customWidth="1"/>
    <col min="12" max="12" width="16.28515625" style="151" bestFit="1" customWidth="1"/>
    <col min="13" max="13" width="17.5703125" style="151" bestFit="1" customWidth="1"/>
    <col min="14" max="16384" width="9.140625" style="151"/>
  </cols>
  <sheetData>
    <row r="2" spans="3:12" ht="52.5" customHeight="1" x14ac:dyDescent="0.25">
      <c r="C2" s="150" t="str">
        <f>Criteria!E9</f>
        <v>ABC COMPANY (PROPRIETARY) LIMITED</v>
      </c>
      <c r="D2" s="217"/>
      <c r="E2" s="217"/>
      <c r="K2" s="149" t="s">
        <v>101</v>
      </c>
      <c r="L2" s="149"/>
    </row>
    <row r="3" spans="3:12" x14ac:dyDescent="0.25">
      <c r="C3" s="3" t="s">
        <v>100</v>
      </c>
      <c r="D3" s="3"/>
      <c r="E3" s="3" t="str">
        <f>Criteria!E20</f>
        <v>29 FEBRUARY 2024</v>
      </c>
      <c r="K3" s="5"/>
      <c r="L3" s="5"/>
    </row>
    <row r="4" spans="3:12" ht="52.5" customHeight="1" x14ac:dyDescent="0.25">
      <c r="C4" s="191" t="s">
        <v>232</v>
      </c>
      <c r="K4" s="149" t="s">
        <v>102</v>
      </c>
      <c r="L4" s="149"/>
    </row>
    <row r="5" spans="3:12" ht="15.75" customHeight="1" x14ac:dyDescent="0.25">
      <c r="G5" s="28"/>
      <c r="H5" s="28"/>
    </row>
    <row r="6" spans="3:12" s="2" customFormat="1" x14ac:dyDescent="0.25">
      <c r="G6" s="5">
        <f>Criteria!E22</f>
        <v>2024</v>
      </c>
      <c r="H6" s="5">
        <f>Criteria!E27</f>
        <v>2023</v>
      </c>
    </row>
    <row r="8" spans="3:12" s="2" customFormat="1" x14ac:dyDescent="0.25">
      <c r="C8" s="31" t="str">
        <f>TrialBalance!C220</f>
        <v>Deferred tax balance  depreciation b/fwd</v>
      </c>
      <c r="G8" s="145">
        <f>-TrialBalance!L220</f>
        <v>0</v>
      </c>
      <c r="H8" s="145">
        <f>-TrialBalance!N220</f>
        <v>0</v>
      </c>
    </row>
    <row r="9" spans="3:12" s="2" customFormat="1" x14ac:dyDescent="0.25">
      <c r="C9" s="31" t="str">
        <f>TrialBalance!C221</f>
        <v>Deferred tax balance  tax loss b/fwd</v>
      </c>
      <c r="G9" s="145">
        <f>-TrialBalance!L221</f>
        <v>0</v>
      </c>
      <c r="H9" s="145">
        <f>-TrialBalance!N221</f>
        <v>0</v>
      </c>
    </row>
    <row r="10" spans="3:12" s="2" customFormat="1" x14ac:dyDescent="0.25">
      <c r="C10" s="31" t="str">
        <f>TrialBalance!C222</f>
        <v>Opening balance depreciation tax rate change</v>
      </c>
      <c r="G10" s="145">
        <f>-TrialBalance!L222</f>
        <v>0</v>
      </c>
      <c r="H10" s="145">
        <f>-TrialBalance!N222</f>
        <v>0</v>
      </c>
    </row>
    <row r="11" spans="3:12" s="2" customFormat="1" x14ac:dyDescent="0.25">
      <c r="C11" s="31" t="str">
        <f>TrialBalance!C223</f>
        <v>Opening balance tax loss tax rate change</v>
      </c>
      <c r="G11" s="145">
        <f>-TrialBalance!L223</f>
        <v>0</v>
      </c>
      <c r="H11" s="145">
        <f>-TrialBalance!N223</f>
        <v>0</v>
      </c>
    </row>
    <row r="12" spans="3:12" s="2" customFormat="1" x14ac:dyDescent="0.25">
      <c r="C12" s="31" t="str">
        <f>TrialBalance!C224</f>
        <v>Deferred tax on depreciation for year</v>
      </c>
      <c r="G12" s="145">
        <f>-TrialBalance!L224</f>
        <v>0</v>
      </c>
      <c r="H12" s="145">
        <f>-TrialBalance!N224</f>
        <v>0</v>
      </c>
    </row>
    <row r="13" spans="3:12" s="2" customFormat="1" x14ac:dyDescent="0.25">
      <c r="C13" s="31" t="str">
        <f>TrialBalance!C225</f>
        <v>Deferred tax on tax loss for year</v>
      </c>
      <c r="G13" s="145">
        <f>-TrialBalance!L225</f>
        <v>0</v>
      </c>
      <c r="H13" s="145">
        <f>-TrialBalance!N225</f>
        <v>0</v>
      </c>
    </row>
    <row r="14" spans="3:12" s="2" customFormat="1" x14ac:dyDescent="0.25">
      <c r="C14" s="31" t="str">
        <f>TrialBalance!C226</f>
        <v>Def tax adj  depreciation previous year</v>
      </c>
      <c r="G14" s="145">
        <f>-TrialBalance!L226</f>
        <v>0</v>
      </c>
      <c r="H14" s="145">
        <f>-TrialBalance!N226</f>
        <v>0</v>
      </c>
    </row>
    <row r="15" spans="3:12" s="2" customFormat="1" x14ac:dyDescent="0.25">
      <c r="C15" s="31" t="str">
        <f>TrialBalance!C227</f>
        <v>Def tax adj tax loss previous year</v>
      </c>
      <c r="G15" s="145">
        <f>-TrialBalance!L227</f>
        <v>0</v>
      </c>
      <c r="H15" s="145">
        <f>-TrialBalance!N227</f>
        <v>0</v>
      </c>
    </row>
    <row r="16" spans="3:12" s="2" customFormat="1" x14ac:dyDescent="0.25">
      <c r="G16" s="145"/>
      <c r="H16" s="145"/>
    </row>
    <row r="17" spans="3:13" s="2" customFormat="1" ht="16.5" thickBot="1" x14ac:dyDescent="0.3">
      <c r="G17" s="147">
        <f>SUM(G7:G16)</f>
        <v>0</v>
      </c>
      <c r="H17" s="147">
        <f>SUM(H7:H16)</f>
        <v>0</v>
      </c>
    </row>
    <row r="18" spans="3:13" s="2" customFormat="1" ht="16.5" thickTop="1" x14ac:dyDescent="0.25">
      <c r="G18" s="145"/>
      <c r="H18" s="145"/>
    </row>
    <row r="19" spans="3:13" s="2" customFormat="1" x14ac:dyDescent="0.25">
      <c r="C19" s="1" t="s">
        <v>694</v>
      </c>
      <c r="D19" s="1"/>
      <c r="E19" s="1"/>
      <c r="F19" s="1"/>
      <c r="G19" s="8">
        <f>SUM(TrialBalance!L220:L227)+G17</f>
        <v>0</v>
      </c>
      <c r="H19" s="8">
        <f>SUM(TrialBalance!N220:N227)+H17</f>
        <v>0</v>
      </c>
    </row>
    <row r="20" spans="3:13" s="2" customFormat="1" x14ac:dyDescent="0.25">
      <c r="G20" s="145"/>
      <c r="H20" s="145"/>
    </row>
    <row r="21" spans="3:13" s="2" customFormat="1" x14ac:dyDescent="0.25">
      <c r="G21" s="145"/>
      <c r="H21" s="145"/>
    </row>
    <row r="22" spans="3:13" s="2" customFormat="1" x14ac:dyDescent="0.25">
      <c r="F22" s="28"/>
      <c r="G22" s="301"/>
      <c r="H22" s="301"/>
      <c r="I22" s="28"/>
      <c r="J22" s="28"/>
      <c r="K22" s="28"/>
      <c r="L22" s="28" t="s">
        <v>981</v>
      </c>
    </row>
    <row r="23" spans="3:13" x14ac:dyDescent="0.25">
      <c r="F23" s="35" t="s">
        <v>275</v>
      </c>
      <c r="G23" s="35" t="s">
        <v>276</v>
      </c>
      <c r="H23" s="35" t="s">
        <v>401</v>
      </c>
      <c r="I23" s="35" t="s">
        <v>278</v>
      </c>
      <c r="J23" s="35" t="s">
        <v>1602</v>
      </c>
      <c r="K23" s="35" t="s">
        <v>280</v>
      </c>
      <c r="L23" s="35" t="s">
        <v>982</v>
      </c>
      <c r="M23" s="2"/>
    </row>
    <row r="24" spans="3:13" x14ac:dyDescent="0.25">
      <c r="G24" s="2"/>
      <c r="H24" s="2"/>
      <c r="L24" s="2"/>
      <c r="M24" s="2"/>
    </row>
    <row r="25" spans="3:13" x14ac:dyDescent="0.25">
      <c r="C25" s="171">
        <f>Criteria!G21</f>
        <v>44985</v>
      </c>
      <c r="D25" s="2" t="s">
        <v>279</v>
      </c>
      <c r="F25" s="17">
        <f>FARegister!K17</f>
        <v>0</v>
      </c>
      <c r="G25" s="17">
        <f>TARegister!K15</f>
        <v>0</v>
      </c>
      <c r="H25" s="17">
        <f>F25-G25</f>
        <v>0</v>
      </c>
      <c r="I25" s="17">
        <f>ROUND(H25*Criteria!F471,0)</f>
        <v>0</v>
      </c>
      <c r="J25" s="17">
        <f>ROUND(H25*Criteria!F471,0)-ROUND(H25*Criteria!G471,0)</f>
        <v>0</v>
      </c>
      <c r="L25" s="17">
        <f>I25-G8-J25</f>
        <v>0</v>
      </c>
      <c r="M25" s="2"/>
    </row>
    <row r="26" spans="3:13" x14ac:dyDescent="0.25">
      <c r="G26" s="2"/>
      <c r="H26" s="2"/>
      <c r="L26" s="2"/>
      <c r="M26" s="2"/>
    </row>
    <row r="27" spans="3:13" x14ac:dyDescent="0.25">
      <c r="C27" s="171">
        <f>Criteria!G20</f>
        <v>45351</v>
      </c>
      <c r="D27" s="2" t="s">
        <v>279</v>
      </c>
      <c r="F27" s="17">
        <f>FARegister!AC17</f>
        <v>0</v>
      </c>
      <c r="G27" s="17">
        <f>TARegister!W15</f>
        <v>0</v>
      </c>
      <c r="H27" s="17">
        <f>F27-G27</f>
        <v>0</v>
      </c>
      <c r="I27" s="161">
        <f>ROUND(H27*Criteria!F471,0)</f>
        <v>0</v>
      </c>
      <c r="J27" s="161"/>
      <c r="K27" s="17">
        <f>I27-I25</f>
        <v>0</v>
      </c>
      <c r="M27" s="2"/>
    </row>
    <row r="28" spans="3:13" x14ac:dyDescent="0.25">
      <c r="C28" s="171"/>
      <c r="F28" s="17"/>
      <c r="G28" s="17"/>
      <c r="H28" s="17"/>
      <c r="I28" s="17"/>
      <c r="J28" s="17"/>
      <c r="K28" s="17"/>
      <c r="L28" s="2"/>
      <c r="M28" s="2"/>
    </row>
    <row r="29" spans="3:13" x14ac:dyDescent="0.25">
      <c r="C29" s="171"/>
      <c r="F29" s="17"/>
      <c r="G29" s="17"/>
      <c r="H29" s="17"/>
      <c r="I29" s="17"/>
      <c r="J29" s="17"/>
      <c r="K29" s="17"/>
      <c r="L29" s="2"/>
      <c r="M29" s="2"/>
    </row>
    <row r="30" spans="3:13" x14ac:dyDescent="0.25">
      <c r="G30" s="2"/>
      <c r="H30" s="2"/>
      <c r="L30" s="2"/>
      <c r="M30" s="2"/>
    </row>
    <row r="31" spans="3:13" x14ac:dyDescent="0.25">
      <c r="G31" s="2"/>
      <c r="H31" s="2"/>
      <c r="L31" s="2"/>
      <c r="M31" s="2"/>
    </row>
    <row r="32" spans="3:13" x14ac:dyDescent="0.25">
      <c r="C32" s="171">
        <f>Criteria!G21</f>
        <v>44985</v>
      </c>
      <c r="D32" s="2" t="s">
        <v>979</v>
      </c>
      <c r="G32" s="4">
        <f>-Criteria!G486</f>
        <v>0</v>
      </c>
      <c r="H32" s="17"/>
      <c r="I32" s="17">
        <f>ROUND(G32*Criteria!F471,0)</f>
        <v>0</v>
      </c>
      <c r="J32" s="17">
        <f>ROUND(G32*Criteria!F471,0)-ROUND(G32*Criteria!G471,0)</f>
        <v>0</v>
      </c>
      <c r="K32" s="17"/>
      <c r="L32" s="17">
        <f>I32-G9-J32</f>
        <v>0</v>
      </c>
      <c r="M32" s="17"/>
    </row>
    <row r="33" spans="3:13" x14ac:dyDescent="0.25">
      <c r="G33" s="4"/>
      <c r="H33" s="17"/>
      <c r="I33" s="17"/>
      <c r="J33" s="17"/>
      <c r="K33" s="17"/>
      <c r="L33" s="2"/>
      <c r="M33" s="2"/>
    </row>
    <row r="34" spans="3:13" x14ac:dyDescent="0.25">
      <c r="C34" s="171">
        <f>Criteria!G20</f>
        <v>45351</v>
      </c>
      <c r="D34" s="2" t="s">
        <v>983</v>
      </c>
      <c r="G34" s="4">
        <f>IF(FS!O2803&lt;0,FS!O2803,0)</f>
        <v>0</v>
      </c>
      <c r="H34" s="17"/>
      <c r="I34" s="17">
        <f>ROUND(G34*Criteria!F471,0)</f>
        <v>0</v>
      </c>
      <c r="J34" s="17"/>
      <c r="K34" s="17">
        <f>I34-I32</f>
        <v>0</v>
      </c>
      <c r="L34" s="2"/>
      <c r="M34" s="2"/>
    </row>
    <row r="35" spans="3:13" x14ac:dyDescent="0.25">
      <c r="G35" s="2"/>
      <c r="H35" s="2"/>
      <c r="J35" s="7"/>
      <c r="K35" s="7"/>
      <c r="L35" s="7"/>
      <c r="M35" s="2"/>
    </row>
    <row r="36" spans="3:13" x14ac:dyDescent="0.25">
      <c r="G36" s="2"/>
      <c r="H36" s="2"/>
      <c r="J36" s="17">
        <f>SUM(J24:J35)</f>
        <v>0</v>
      </c>
      <c r="K36" s="17">
        <f>SUM(K24:K35)</f>
        <v>0</v>
      </c>
      <c r="L36" s="17">
        <f>SUM(L24:L35)</f>
        <v>0</v>
      </c>
      <c r="M36" s="2"/>
    </row>
    <row r="37" spans="3:13" ht="16.5" thickBot="1" x14ac:dyDescent="0.3">
      <c r="E37" s="2" t="s">
        <v>1052</v>
      </c>
      <c r="H37" s="2"/>
      <c r="I37" s="324">
        <f>I27+I34</f>
        <v>0</v>
      </c>
      <c r="J37" s="161"/>
      <c r="L37" s="2"/>
      <c r="M37" s="2"/>
    </row>
    <row r="38" spans="3:13" ht="16.5" thickTop="1" x14ac:dyDescent="0.25">
      <c r="L38" s="2"/>
      <c r="M38" s="2"/>
    </row>
    <row r="39" spans="3:13" x14ac:dyDescent="0.25">
      <c r="E39" s="2" t="s">
        <v>694</v>
      </c>
      <c r="I39" s="325">
        <f>G17-I37</f>
        <v>0</v>
      </c>
      <c r="J39" s="325"/>
      <c r="L39" s="2"/>
      <c r="M39" s="2"/>
    </row>
    <row r="40" spans="3:13" x14ac:dyDescent="0.25">
      <c r="L40" s="2"/>
      <c r="M40" s="2"/>
    </row>
    <row r="41" spans="3:13" x14ac:dyDescent="0.25">
      <c r="L41" s="2"/>
      <c r="M41" s="2"/>
    </row>
    <row r="42" spans="3:13" x14ac:dyDescent="0.25">
      <c r="L42" s="2"/>
      <c r="M42" s="2"/>
    </row>
    <row r="43" spans="3:13" x14ac:dyDescent="0.25">
      <c r="L43" s="2"/>
      <c r="M43" s="2"/>
    </row>
    <row r="44" spans="3:13" x14ac:dyDescent="0.25">
      <c r="L44" s="2"/>
      <c r="M44" s="2"/>
    </row>
    <row r="45" spans="3:13" x14ac:dyDescent="0.25">
      <c r="L45" s="2"/>
      <c r="M45" s="2"/>
    </row>
    <row r="46" spans="3:13" x14ac:dyDescent="0.25">
      <c r="L46" s="2"/>
      <c r="M46" s="2"/>
    </row>
    <row r="47" spans="3:13" x14ac:dyDescent="0.25">
      <c r="L47" s="2"/>
      <c r="M47" s="2"/>
    </row>
    <row r="48" spans="3:13" x14ac:dyDescent="0.25">
      <c r="L48" s="2"/>
      <c r="M48" s="2"/>
    </row>
    <row r="49" spans="12:13" x14ac:dyDescent="0.25">
      <c r="L49" s="2"/>
      <c r="M49" s="2"/>
    </row>
    <row r="50" spans="12:13" x14ac:dyDescent="0.25">
      <c r="L50" s="2"/>
      <c r="M50" s="2"/>
    </row>
    <row r="51" spans="12:13" x14ac:dyDescent="0.25">
      <c r="L51" s="2"/>
      <c r="M51" s="2"/>
    </row>
    <row r="52" spans="12:13" x14ac:dyDescent="0.25">
      <c r="L52" s="2"/>
      <c r="M52" s="2"/>
    </row>
    <row r="53" spans="12:13" x14ac:dyDescent="0.25">
      <c r="L53" s="2"/>
      <c r="M53" s="2"/>
    </row>
    <row r="2485" spans="7:10" s="2" customFormat="1" x14ac:dyDescent="0.25">
      <c r="G2485" s="5"/>
      <c r="H2485" s="5"/>
      <c r="I2485" s="32"/>
      <c r="J2485" s="32"/>
    </row>
  </sheetData>
  <hyperlinks>
    <hyperlink ref="C4" location="TrialBalance!A1" display="DEFERRED TAX" xr:uid="{07BC0FAD-3028-4B21-9DEC-1855A6C03A4A}"/>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91" t="s">
        <v>795</v>
      </c>
      <c r="G4" s="149" t="s">
        <v>102</v>
      </c>
      <c r="H4" s="149"/>
    </row>
    <row r="5" spans="3:8" ht="15.75" customHeight="1" x14ac:dyDescent="0.25">
      <c r="G5" s="28"/>
      <c r="H5" s="28"/>
    </row>
    <row r="6" spans="3:8" x14ac:dyDescent="0.25">
      <c r="G6" s="5">
        <f>Criteria!E22</f>
        <v>2024</v>
      </c>
      <c r="H6" s="5">
        <f>Criteria!E27</f>
        <v>2023</v>
      </c>
    </row>
    <row r="7" spans="3:8" x14ac:dyDescent="0.25">
      <c r="G7" s="145"/>
      <c r="H7" s="145"/>
    </row>
    <row r="8" spans="3:8" x14ac:dyDescent="0.25">
      <c r="C8" s="2" t="str">
        <f>TrialBalance!C318</f>
        <v>CONNECTED ENTITIES LOANS</v>
      </c>
      <c r="G8" s="145"/>
      <c r="H8" s="145"/>
    </row>
    <row r="9" spans="3:8" x14ac:dyDescent="0.25">
      <c r="C9" s="2" t="str">
        <f>TrialBalance!C319</f>
        <v>Interest bearing</v>
      </c>
      <c r="G9" s="145"/>
      <c r="H9" s="145"/>
    </row>
    <row r="10" spans="3:8" x14ac:dyDescent="0.25">
      <c r="C10" s="2">
        <f>TrialBalance!C320</f>
        <v>0</v>
      </c>
      <c r="G10" s="145">
        <f>TrialBalance!L320</f>
        <v>0</v>
      </c>
      <c r="H10" s="145">
        <f>TrialBalance!N320</f>
        <v>0</v>
      </c>
    </row>
    <row r="11" spans="3:8" x14ac:dyDescent="0.25">
      <c r="C11" s="2">
        <f>TrialBalance!C321</f>
        <v>0</v>
      </c>
      <c r="G11" s="145">
        <f>TrialBalance!L321</f>
        <v>0</v>
      </c>
      <c r="H11" s="145">
        <f>TrialBalance!N321</f>
        <v>0</v>
      </c>
    </row>
    <row r="12" spans="3:8" x14ac:dyDescent="0.25">
      <c r="C12" s="2">
        <f>TrialBalance!C322</f>
        <v>0</v>
      </c>
      <c r="G12" s="145">
        <f>TrialBalance!L322</f>
        <v>0</v>
      </c>
      <c r="H12" s="145">
        <f>TrialBalance!N322</f>
        <v>0</v>
      </c>
    </row>
    <row r="13" spans="3:8" x14ac:dyDescent="0.25">
      <c r="C13" s="2">
        <f>TrialBalance!C329</f>
        <v>0</v>
      </c>
      <c r="G13" s="145">
        <f>TrialBalance!L329</f>
        <v>0</v>
      </c>
      <c r="H13" s="145">
        <f>TrialBalance!N329</f>
        <v>0</v>
      </c>
    </row>
    <row r="14" spans="3:8" x14ac:dyDescent="0.25">
      <c r="C14" s="2" t="str">
        <f>TrialBalance!C330</f>
        <v>Interest free</v>
      </c>
      <c r="G14" s="145"/>
      <c r="H14" s="145"/>
    </row>
    <row r="15" spans="3:8" x14ac:dyDescent="0.25">
      <c r="C15" s="2">
        <f>TrialBalance!C331</f>
        <v>0</v>
      </c>
      <c r="G15" s="145">
        <f>TrialBalance!L331</f>
        <v>0</v>
      </c>
      <c r="H15" s="145">
        <f>TrialBalance!N331</f>
        <v>0</v>
      </c>
    </row>
    <row r="16" spans="3:8" x14ac:dyDescent="0.25">
      <c r="C16" s="2">
        <f>TrialBalance!C332</f>
        <v>0</v>
      </c>
      <c r="G16" s="145">
        <f>TrialBalance!L332</f>
        <v>0</v>
      </c>
      <c r="H16" s="145">
        <f>TrialBalance!N332</f>
        <v>0</v>
      </c>
    </row>
    <row r="17" spans="3:8" x14ac:dyDescent="0.25">
      <c r="C17" s="2">
        <f>TrialBalance!C333</f>
        <v>0</v>
      </c>
      <c r="G17" s="145">
        <f>TrialBalance!L333</f>
        <v>0</v>
      </c>
      <c r="H17" s="145">
        <f>TrialBalance!N333</f>
        <v>0</v>
      </c>
    </row>
    <row r="18" spans="3:8" x14ac:dyDescent="0.25">
      <c r="C18" s="2">
        <f>TrialBalance!C340</f>
        <v>0</v>
      </c>
      <c r="G18" s="145">
        <f>TrialBalance!L340</f>
        <v>0</v>
      </c>
      <c r="H18" s="145">
        <f>TrialBalance!N340</f>
        <v>0</v>
      </c>
    </row>
    <row r="19" spans="3:8" x14ac:dyDescent="0.25">
      <c r="C19" s="2" t="str">
        <f>TrialBalance!C341</f>
        <v>OTHER NON - CURRENT RECEIVABLES</v>
      </c>
      <c r="G19" s="145"/>
      <c r="H19" s="145"/>
    </row>
    <row r="20" spans="3:8" x14ac:dyDescent="0.25">
      <c r="C20" s="2" t="str">
        <f>TrialBalance!C342</f>
        <v>Interest bearing</v>
      </c>
      <c r="G20" s="145"/>
      <c r="H20" s="145"/>
    </row>
    <row r="21" spans="3:8" x14ac:dyDescent="0.25">
      <c r="C21" s="2">
        <f>TrialBalance!C343</f>
        <v>0</v>
      </c>
      <c r="G21" s="145">
        <f>TrialBalance!L343</f>
        <v>0</v>
      </c>
      <c r="H21" s="145">
        <f>TrialBalance!N343</f>
        <v>0</v>
      </c>
    </row>
    <row r="22" spans="3:8" x14ac:dyDescent="0.25">
      <c r="C22" s="2">
        <f>TrialBalance!C344</f>
        <v>0</v>
      </c>
      <c r="G22" s="145">
        <f>TrialBalance!L344</f>
        <v>0</v>
      </c>
      <c r="H22" s="145">
        <f>TrialBalance!N344</f>
        <v>0</v>
      </c>
    </row>
    <row r="23" spans="3:8" x14ac:dyDescent="0.25">
      <c r="C23" s="2">
        <f>TrialBalance!C345</f>
        <v>0</v>
      </c>
      <c r="G23" s="145">
        <f>TrialBalance!L345</f>
        <v>0</v>
      </c>
      <c r="H23" s="145">
        <f>TrialBalance!N345</f>
        <v>0</v>
      </c>
    </row>
    <row r="24" spans="3:8" x14ac:dyDescent="0.25">
      <c r="C24" s="2">
        <f>TrialBalance!C346</f>
        <v>0</v>
      </c>
      <c r="G24" s="145">
        <f>TrialBalance!L346</f>
        <v>0</v>
      </c>
      <c r="H24" s="145">
        <f>TrialBalance!N346</f>
        <v>0</v>
      </c>
    </row>
    <row r="25" spans="3:8" x14ac:dyDescent="0.25">
      <c r="C25" s="2" t="str">
        <f>TrialBalance!C347</f>
        <v>Interest free</v>
      </c>
      <c r="G25" s="145"/>
      <c r="H25" s="145"/>
    </row>
    <row r="26" spans="3:8" x14ac:dyDescent="0.25">
      <c r="C26" s="2">
        <f>TrialBalance!C348</f>
        <v>0</v>
      </c>
      <c r="G26" s="145">
        <f>TrialBalance!L348</f>
        <v>0</v>
      </c>
      <c r="H26" s="145">
        <f>TrialBalance!N348</f>
        <v>0</v>
      </c>
    </row>
    <row r="27" spans="3:8" x14ac:dyDescent="0.25">
      <c r="C27" s="2">
        <f>TrialBalance!C349</f>
        <v>0</v>
      </c>
      <c r="G27" s="145">
        <f>TrialBalance!L349</f>
        <v>0</v>
      </c>
      <c r="H27" s="145">
        <f>TrialBalance!N349</f>
        <v>0</v>
      </c>
    </row>
    <row r="28" spans="3:8" x14ac:dyDescent="0.25">
      <c r="C28" s="2">
        <f>TrialBalance!C350</f>
        <v>0</v>
      </c>
      <c r="G28" s="145">
        <f>TrialBalance!L350</f>
        <v>0</v>
      </c>
      <c r="H28" s="145">
        <f>TrialBalance!N350</f>
        <v>0</v>
      </c>
    </row>
    <row r="29" spans="3:8" x14ac:dyDescent="0.25">
      <c r="C29" s="2">
        <f>TrialBalance!C351</f>
        <v>0</v>
      </c>
      <c r="G29" s="145">
        <f>TrialBalance!L351</f>
        <v>0</v>
      </c>
      <c r="H29" s="145">
        <f>TrialBalance!N351</f>
        <v>0</v>
      </c>
    </row>
    <row r="30" spans="3:8" x14ac:dyDescent="0.25">
      <c r="C30" s="2">
        <f>TrialBalance!C352</f>
        <v>0</v>
      </c>
      <c r="G30" s="145">
        <f>TrialBalance!L352</f>
        <v>0</v>
      </c>
      <c r="H30" s="145">
        <f>TrialBalance!N352</f>
        <v>0</v>
      </c>
    </row>
    <row r="31" spans="3:8" s="2" customFormat="1" x14ac:dyDescent="0.25">
      <c r="G31" s="145"/>
      <c r="H31" s="145"/>
    </row>
    <row r="32" spans="3:8" s="2" customFormat="1" ht="16.5" thickBot="1" x14ac:dyDescent="0.3">
      <c r="G32" s="147">
        <f>SUM(G7:G31)</f>
        <v>0</v>
      </c>
      <c r="H32" s="147">
        <f>SUM(H7:H31)</f>
        <v>0</v>
      </c>
    </row>
    <row r="33" spans="3:8" s="2" customFormat="1" ht="16.5" thickTop="1" x14ac:dyDescent="0.25">
      <c r="G33" s="145"/>
      <c r="H33" s="145"/>
    </row>
    <row r="34" spans="3:8" x14ac:dyDescent="0.25">
      <c r="C34" s="1" t="s">
        <v>694</v>
      </c>
      <c r="G34" s="145">
        <f>G32-SUM(TrialBalance!L320:L352)</f>
        <v>0</v>
      </c>
      <c r="H34" s="145">
        <f>H32-SUM(TrialBalance!N320:N352)</f>
        <v>0</v>
      </c>
    </row>
    <row r="2498" spans="7:9" s="2" customFormat="1" x14ac:dyDescent="0.25">
      <c r="G2498" s="5"/>
      <c r="H2498" s="5"/>
      <c r="I2498" s="32"/>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91" t="s">
        <v>58</v>
      </c>
      <c r="G4" s="149" t="s">
        <v>102</v>
      </c>
      <c r="H4" s="149"/>
    </row>
    <row r="5" spans="3:8" ht="15.75" customHeight="1" x14ac:dyDescent="0.25">
      <c r="G5" s="28"/>
      <c r="H5" s="28"/>
    </row>
    <row r="6" spans="3:8" x14ac:dyDescent="0.25">
      <c r="G6" s="5">
        <f>Criteria!E22</f>
        <v>2024</v>
      </c>
      <c r="H6" s="5">
        <f>Criteria!E27</f>
        <v>2023</v>
      </c>
    </row>
    <row r="7" spans="3:8" x14ac:dyDescent="0.25">
      <c r="G7" s="145"/>
      <c r="H7" s="145"/>
    </row>
    <row r="8" spans="3:8" x14ac:dyDescent="0.25">
      <c r="G8" s="145"/>
      <c r="H8" s="145"/>
    </row>
    <row r="9" spans="3:8" x14ac:dyDescent="0.25">
      <c r="G9" s="145"/>
      <c r="H9" s="145"/>
    </row>
    <row r="10" spans="3:8" x14ac:dyDescent="0.25">
      <c r="G10" s="145"/>
      <c r="H10" s="145"/>
    </row>
    <row r="11" spans="3:8" x14ac:dyDescent="0.25">
      <c r="G11" s="145"/>
      <c r="H11" s="145"/>
    </row>
    <row r="12" spans="3:8" x14ac:dyDescent="0.25">
      <c r="G12" s="145"/>
      <c r="H12" s="145"/>
    </row>
    <row r="13" spans="3:8" x14ac:dyDescent="0.25">
      <c r="G13" s="145"/>
      <c r="H13" s="145"/>
    </row>
    <row r="14" spans="3:8" x14ac:dyDescent="0.25">
      <c r="G14" s="145"/>
      <c r="H14" s="145"/>
    </row>
    <row r="15" spans="3:8" x14ac:dyDescent="0.25">
      <c r="G15" s="145"/>
      <c r="H15" s="145"/>
    </row>
    <row r="16" spans="3:8" s="2" customFormat="1" x14ac:dyDescent="0.25">
      <c r="G16" s="145"/>
      <c r="H16" s="145"/>
    </row>
    <row r="17" spans="3:8" s="2" customFormat="1" ht="16.5" thickBot="1" x14ac:dyDescent="0.3">
      <c r="G17" s="147">
        <f>SUM(G7:G16)</f>
        <v>0</v>
      </c>
      <c r="H17" s="147">
        <f>SUM(H7:H16)</f>
        <v>0</v>
      </c>
    </row>
    <row r="18" spans="3:8" s="2" customFormat="1" ht="16.5" thickTop="1" x14ac:dyDescent="0.25">
      <c r="G18" s="145"/>
      <c r="H18" s="145"/>
    </row>
    <row r="19" spans="3:8" x14ac:dyDescent="0.25">
      <c r="C19" s="1" t="s">
        <v>694</v>
      </c>
      <c r="G19" s="189">
        <f>G17-SUM(TrialBalance!L354:L357)</f>
        <v>0</v>
      </c>
      <c r="H19" s="189">
        <f>H17-SUM(TrialBalance!N354:N357)</f>
        <v>0</v>
      </c>
    </row>
    <row r="2483" spans="7:9" s="2" customFormat="1" x14ac:dyDescent="0.25">
      <c r="G2483" s="5"/>
      <c r="H2483" s="5"/>
      <c r="I2483" s="32"/>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2:8" ht="52.5" customHeight="1" x14ac:dyDescent="0.25">
      <c r="C2" s="150" t="str">
        <f>Criteria!E9</f>
        <v>ABC COMPANY (PROPRIETARY) LIMITED</v>
      </c>
      <c r="D2" s="217"/>
      <c r="E2" s="217"/>
      <c r="G2" s="149" t="s">
        <v>101</v>
      </c>
      <c r="H2" s="149"/>
    </row>
    <row r="3" spans="2:8" x14ac:dyDescent="0.25">
      <c r="C3" s="3" t="s">
        <v>100</v>
      </c>
      <c r="D3" s="3"/>
      <c r="E3" s="3" t="str">
        <f>Criteria!E20</f>
        <v>29 FEBRUARY 2024</v>
      </c>
    </row>
    <row r="4" spans="2:8" ht="52.5" customHeight="1" x14ac:dyDescent="0.25">
      <c r="C4" s="191" t="s">
        <v>33</v>
      </c>
      <c r="G4" s="149" t="s">
        <v>102</v>
      </c>
      <c r="H4" s="149"/>
    </row>
    <row r="5" spans="2:8" ht="15.75" customHeight="1" x14ac:dyDescent="0.25">
      <c r="G5" s="28"/>
      <c r="H5" s="28"/>
    </row>
    <row r="6" spans="2:8" ht="15.75" customHeight="1" x14ac:dyDescent="0.25">
      <c r="G6" s="28"/>
      <c r="H6" s="28"/>
    </row>
    <row r="7" spans="2:8" x14ac:dyDescent="0.25">
      <c r="B7" s="112" t="s">
        <v>692</v>
      </c>
      <c r="C7" s="3" t="s">
        <v>690</v>
      </c>
      <c r="G7" s="28"/>
      <c r="H7" s="28"/>
    </row>
    <row r="8" spans="2:8" x14ac:dyDescent="0.25">
      <c r="C8" s="7"/>
      <c r="D8" s="7"/>
      <c r="E8" s="7"/>
      <c r="F8" s="7"/>
      <c r="G8" s="144"/>
      <c r="H8" s="144"/>
    </row>
    <row r="10" spans="2:8" x14ac:dyDescent="0.25">
      <c r="G10" s="5">
        <f>Criteria!E22</f>
        <v>2024</v>
      </c>
      <c r="H10" s="5">
        <f>Criteria!E27</f>
        <v>2023</v>
      </c>
    </row>
    <row r="11" spans="2:8" x14ac:dyDescent="0.25">
      <c r="G11" s="145"/>
      <c r="H11" s="145"/>
    </row>
    <row r="12" spans="2:8" x14ac:dyDescent="0.25">
      <c r="C12" s="31"/>
      <c r="G12" s="145"/>
      <c r="H12" s="145"/>
    </row>
    <row r="13" spans="2:8" x14ac:dyDescent="0.25">
      <c r="G13" s="145"/>
      <c r="H13" s="145"/>
    </row>
    <row r="14" spans="2:8" x14ac:dyDescent="0.25">
      <c r="G14" s="145"/>
      <c r="H14" s="145"/>
    </row>
    <row r="15" spans="2:8" x14ac:dyDescent="0.25">
      <c r="G15" s="145"/>
      <c r="H15" s="145"/>
    </row>
    <row r="16" spans="2:8" x14ac:dyDescent="0.25">
      <c r="G16" s="145"/>
      <c r="H16" s="145"/>
    </row>
    <row r="17" spans="2:8" x14ac:dyDescent="0.25">
      <c r="G17" s="145"/>
      <c r="H17" s="145"/>
    </row>
    <row r="18" spans="2:8" s="2" customFormat="1" x14ac:dyDescent="0.25">
      <c r="G18" s="145"/>
      <c r="H18" s="145"/>
    </row>
    <row r="19" spans="2:8" s="2" customFormat="1" x14ac:dyDescent="0.25">
      <c r="G19" s="145"/>
      <c r="H19" s="145"/>
    </row>
    <row r="20" spans="2:8" s="2" customFormat="1" x14ac:dyDescent="0.25">
      <c r="G20" s="145"/>
      <c r="H20" s="145"/>
    </row>
    <row r="21" spans="2:8" s="2" customFormat="1" x14ac:dyDescent="0.25">
      <c r="G21" s="146"/>
      <c r="H21" s="146"/>
    </row>
    <row r="22" spans="2:8" s="2" customFormat="1" x14ac:dyDescent="0.25">
      <c r="G22" s="145">
        <f>SUM(G11:G21)</f>
        <v>0</v>
      </c>
      <c r="H22" s="145">
        <f>SUM(H11:H21)</f>
        <v>0</v>
      </c>
    </row>
    <row r="23" spans="2:8" s="2" customFormat="1" x14ac:dyDescent="0.25">
      <c r="G23" s="145"/>
      <c r="H23" s="145"/>
    </row>
    <row r="24" spans="2:8" s="2" customFormat="1" x14ac:dyDescent="0.25">
      <c r="C24" s="2" t="s">
        <v>689</v>
      </c>
      <c r="G24" s="145">
        <f>TrialBalance!L360</f>
        <v>0</v>
      </c>
      <c r="H24" s="145">
        <f>TrialBalance!N360</f>
        <v>0</v>
      </c>
    </row>
    <row r="25" spans="2:8" s="2" customFormat="1" x14ac:dyDescent="0.25">
      <c r="G25" s="145"/>
      <c r="H25" s="145"/>
    </row>
    <row r="26" spans="2:8" s="2" customFormat="1" ht="16.5" thickBot="1" x14ac:dyDescent="0.3">
      <c r="G26" s="147">
        <f>SUM(G22:G25)</f>
        <v>0</v>
      </c>
      <c r="H26" s="147">
        <f>SUM(H22:H25)</f>
        <v>0</v>
      </c>
    </row>
    <row r="27" spans="2:8" s="2" customFormat="1" ht="16.5" thickTop="1" x14ac:dyDescent="0.25">
      <c r="G27" s="145"/>
      <c r="H27" s="145"/>
    </row>
    <row r="28" spans="2:8" s="2" customFormat="1" x14ac:dyDescent="0.25">
      <c r="C28" s="1" t="s">
        <v>694</v>
      </c>
      <c r="D28" s="1"/>
      <c r="E28" s="1"/>
      <c r="F28" s="1"/>
      <c r="G28" s="8">
        <f>SUM(TrialBalance!L359:L360)-G26</f>
        <v>0</v>
      </c>
      <c r="H28" s="8">
        <f>SUM(TrialBalance!N359:N360)-H26</f>
        <v>0</v>
      </c>
    </row>
    <row r="29" spans="2:8" s="2" customFormat="1" x14ac:dyDescent="0.25">
      <c r="G29" s="145"/>
      <c r="H29" s="145"/>
    </row>
    <row r="30" spans="2:8" s="2" customFormat="1" x14ac:dyDescent="0.25">
      <c r="G30" s="145"/>
      <c r="H30" s="145"/>
    </row>
    <row r="31" spans="2:8" s="2" customFormat="1" x14ac:dyDescent="0.25">
      <c r="G31" s="145"/>
      <c r="H31" s="145"/>
    </row>
    <row r="32" spans="2:8" s="2" customFormat="1" x14ac:dyDescent="0.25">
      <c r="B32" s="112" t="s">
        <v>693</v>
      </c>
      <c r="C32" s="3" t="s">
        <v>599</v>
      </c>
      <c r="G32" s="28"/>
      <c r="H32" s="28"/>
    </row>
    <row r="33" spans="3:8" s="2" customFormat="1" x14ac:dyDescent="0.25">
      <c r="C33" s="7"/>
      <c r="D33" s="7"/>
      <c r="E33" s="7"/>
      <c r="F33" s="7"/>
      <c r="G33" s="144"/>
      <c r="H33" s="144"/>
    </row>
    <row r="34" spans="3:8" s="2" customFormat="1" x14ac:dyDescent="0.25">
      <c r="G34" s="5"/>
      <c r="H34" s="5"/>
    </row>
    <row r="35" spans="3:8" s="2" customFormat="1" x14ac:dyDescent="0.25">
      <c r="G35" s="5">
        <f>Criteria!E22</f>
        <v>2024</v>
      </c>
      <c r="H35" s="5">
        <f>Criteria!E27</f>
        <v>2023</v>
      </c>
    </row>
    <row r="36" spans="3:8" s="2" customFormat="1" x14ac:dyDescent="0.25">
      <c r="G36" s="145"/>
      <c r="H36" s="145"/>
    </row>
    <row r="37" spans="3:8" s="2" customFormat="1" x14ac:dyDescent="0.25">
      <c r="G37" s="4"/>
      <c r="H37" s="4"/>
    </row>
    <row r="38" spans="3:8" s="2" customFormat="1" x14ac:dyDescent="0.25">
      <c r="G38" s="145"/>
      <c r="H38" s="145"/>
    </row>
    <row r="39" spans="3:8" s="2" customFormat="1" x14ac:dyDescent="0.25">
      <c r="G39" s="4"/>
      <c r="H39" s="4"/>
    </row>
    <row r="40" spans="3:8" s="2" customFormat="1" x14ac:dyDescent="0.25">
      <c r="G40" s="4"/>
      <c r="H40" s="4"/>
    </row>
    <row r="41" spans="3:8" s="2" customFormat="1" x14ac:dyDescent="0.25">
      <c r="G41" s="145"/>
      <c r="H41" s="145"/>
    </row>
    <row r="42" spans="3:8" s="2" customFormat="1" x14ac:dyDescent="0.25">
      <c r="G42" s="145"/>
      <c r="H42" s="145"/>
    </row>
    <row r="43" spans="3:8" s="2" customFormat="1" ht="16.5" thickBot="1" x14ac:dyDescent="0.3">
      <c r="G43" s="147">
        <f>SUM(G36:G42)</f>
        <v>0</v>
      </c>
      <c r="H43" s="147">
        <f>SUM(H36:H42)</f>
        <v>0</v>
      </c>
    </row>
    <row r="44" spans="3:8" s="2" customFormat="1" ht="16.5" thickTop="1" x14ac:dyDescent="0.25">
      <c r="G44" s="145"/>
      <c r="H44" s="145"/>
    </row>
    <row r="45" spans="3:8" s="2" customFormat="1" x14ac:dyDescent="0.25">
      <c r="C45" s="1" t="s">
        <v>694</v>
      </c>
      <c r="D45" s="1"/>
      <c r="E45" s="1"/>
      <c r="F45" s="1"/>
      <c r="G45" s="8">
        <f>TrialBalance!D361+TrialBalance!L361-Debtors!G43</f>
        <v>0</v>
      </c>
      <c r="H45" s="8">
        <f>TrialBalance!E361+TrialBalance!N361-Debtors!H43</f>
        <v>0</v>
      </c>
    </row>
    <row r="46" spans="3:8" s="2" customFormat="1" x14ac:dyDescent="0.25">
      <c r="G46" s="145"/>
      <c r="H46" s="145"/>
    </row>
    <row r="47" spans="3:8" s="2" customFormat="1" x14ac:dyDescent="0.25">
      <c r="G47" s="145"/>
      <c r="H47" s="145"/>
    </row>
    <row r="48" spans="3:8" s="2" customFormat="1" x14ac:dyDescent="0.25">
      <c r="G48" s="145"/>
      <c r="H48" s="145"/>
    </row>
    <row r="49" spans="2:8" s="2" customFormat="1" x14ac:dyDescent="0.25">
      <c r="B49" s="112" t="s">
        <v>695</v>
      </c>
      <c r="C49" s="3" t="s">
        <v>696</v>
      </c>
      <c r="G49" s="28"/>
      <c r="H49" s="28"/>
    </row>
    <row r="50" spans="2:8" s="2" customFormat="1" x14ac:dyDescent="0.25">
      <c r="C50" s="7"/>
      <c r="D50" s="7"/>
      <c r="E50" s="7"/>
      <c r="F50" s="7"/>
      <c r="G50" s="144"/>
      <c r="H50" s="144"/>
    </row>
    <row r="51" spans="2:8" s="2" customFormat="1" x14ac:dyDescent="0.25">
      <c r="G51" s="5"/>
      <c r="H51" s="5"/>
    </row>
    <row r="52" spans="2:8" s="2" customFormat="1" x14ac:dyDescent="0.25">
      <c r="G52" s="5">
        <f>Criteria!E22</f>
        <v>2024</v>
      </c>
      <c r="H52" s="5">
        <f>Criteria!E27</f>
        <v>2023</v>
      </c>
    </row>
    <row r="53" spans="2:8" s="2" customFormat="1" x14ac:dyDescent="0.25">
      <c r="G53" s="145"/>
      <c r="H53" s="145"/>
    </row>
    <row r="54" spans="2:8" s="2" customFormat="1" x14ac:dyDescent="0.25">
      <c r="G54" s="4"/>
      <c r="H54" s="4"/>
    </row>
    <row r="55" spans="2:8" x14ac:dyDescent="0.25">
      <c r="G55" s="145"/>
      <c r="H55" s="145"/>
    </row>
    <row r="56" spans="2:8" x14ac:dyDescent="0.25">
      <c r="G56" s="4"/>
      <c r="H56" s="4"/>
    </row>
    <row r="57" spans="2:8" x14ac:dyDescent="0.25">
      <c r="G57" s="4"/>
      <c r="H57" s="4"/>
    </row>
    <row r="58" spans="2:8" x14ac:dyDescent="0.25">
      <c r="G58" s="145"/>
      <c r="H58" s="145"/>
    </row>
    <row r="59" spans="2:8" x14ac:dyDescent="0.25">
      <c r="G59" s="145"/>
      <c r="H59" s="145"/>
    </row>
    <row r="60" spans="2:8" ht="16.5" thickBot="1" x14ac:dyDescent="0.3">
      <c r="G60" s="147">
        <f>SUM(G53:G59)</f>
        <v>0</v>
      </c>
      <c r="H60" s="147">
        <f>SUM(H53:H59)</f>
        <v>0</v>
      </c>
    </row>
    <row r="61" spans="2:8" ht="16.5" thickTop="1" x14ac:dyDescent="0.25">
      <c r="G61" s="145"/>
      <c r="H61" s="145"/>
    </row>
    <row r="62" spans="2:8" x14ac:dyDescent="0.25">
      <c r="C62" s="1" t="s">
        <v>694</v>
      </c>
      <c r="D62" s="1"/>
      <c r="E62" s="1"/>
      <c r="F62" s="1"/>
      <c r="G62" s="8">
        <f>TrialBalance!L362-Debtors!G60</f>
        <v>0</v>
      </c>
      <c r="H62" s="8">
        <f>TrialBalance!N362-Debtors!H60</f>
        <v>0</v>
      </c>
    </row>
    <row r="66" spans="2:8" x14ac:dyDescent="0.25">
      <c r="B66" s="112" t="s">
        <v>697</v>
      </c>
      <c r="C66" s="3" t="s">
        <v>604</v>
      </c>
      <c r="G66" s="28"/>
      <c r="H66" s="28"/>
    </row>
    <row r="67" spans="2:8" x14ac:dyDescent="0.25">
      <c r="C67" s="7"/>
      <c r="D67" s="7"/>
      <c r="E67" s="7"/>
      <c r="F67" s="7"/>
      <c r="G67" s="144"/>
      <c r="H67" s="144"/>
    </row>
    <row r="69" spans="2:8" x14ac:dyDescent="0.25">
      <c r="G69" s="5">
        <f>Criteria!E22</f>
        <v>2024</v>
      </c>
      <c r="H69" s="5">
        <f>Criteria!E27</f>
        <v>2023</v>
      </c>
    </row>
    <row r="70" spans="2:8" x14ac:dyDescent="0.25">
      <c r="G70" s="145"/>
      <c r="H70" s="145"/>
    </row>
    <row r="71" spans="2:8" x14ac:dyDescent="0.25">
      <c r="C71" s="31"/>
      <c r="G71" s="4"/>
      <c r="H71" s="4"/>
    </row>
    <row r="72" spans="2:8" x14ac:dyDescent="0.25">
      <c r="G72" s="4"/>
      <c r="H72" s="4"/>
    </row>
    <row r="73" spans="2:8" x14ac:dyDescent="0.25">
      <c r="G73" s="145"/>
      <c r="H73" s="145"/>
    </row>
    <row r="74" spans="2:8" ht="16.5" thickBot="1" x14ac:dyDescent="0.3">
      <c r="G74" s="147">
        <f>SUM(G70:G73)</f>
        <v>0</v>
      </c>
      <c r="H74" s="147">
        <f>SUM(H70:H73)</f>
        <v>0</v>
      </c>
    </row>
    <row r="75" spans="2:8" ht="16.5" thickTop="1" x14ac:dyDescent="0.25">
      <c r="G75" s="145"/>
      <c r="H75" s="145"/>
    </row>
    <row r="76" spans="2:8" x14ac:dyDescent="0.25">
      <c r="C76" s="1" t="s">
        <v>694</v>
      </c>
      <c r="D76" s="1"/>
      <c r="E76" s="1"/>
      <c r="F76" s="1"/>
      <c r="G76" s="8">
        <f>TrialBalance!L363-Debtors!G74</f>
        <v>0</v>
      </c>
      <c r="H76" s="8">
        <f>TrialBalance!N363-Debtors!H74</f>
        <v>0</v>
      </c>
    </row>
    <row r="80" spans="2:8" x14ac:dyDescent="0.25">
      <c r="B80" s="112" t="s">
        <v>698</v>
      </c>
      <c r="C80" s="3" t="s">
        <v>616</v>
      </c>
      <c r="G80" s="28"/>
      <c r="H80" s="28"/>
    </row>
    <row r="81" spans="3:8" x14ac:dyDescent="0.25">
      <c r="C81" s="7"/>
      <c r="D81" s="7"/>
      <c r="E81" s="7"/>
      <c r="F81" s="7"/>
      <c r="G81" s="144"/>
      <c r="H81" s="144"/>
    </row>
    <row r="83" spans="3:8" x14ac:dyDescent="0.25">
      <c r="G83" s="5">
        <f>Criteria!E22</f>
        <v>2024</v>
      </c>
      <c r="H83" s="5">
        <f>Criteria!E27</f>
        <v>2023</v>
      </c>
    </row>
    <row r="84" spans="3:8" x14ac:dyDescent="0.25">
      <c r="G84" s="145"/>
      <c r="H84" s="145"/>
    </row>
    <row r="85" spans="3:8" x14ac:dyDescent="0.25">
      <c r="C85" s="31"/>
      <c r="G85" s="4"/>
      <c r="H85" s="4"/>
    </row>
    <row r="86" spans="3:8" x14ac:dyDescent="0.25">
      <c r="G86" s="4"/>
      <c r="H86" s="4"/>
    </row>
    <row r="87" spans="3:8" x14ac:dyDescent="0.25">
      <c r="C87" s="31"/>
      <c r="G87" s="4"/>
      <c r="H87" s="4"/>
    </row>
    <row r="88" spans="3:8" x14ac:dyDescent="0.25">
      <c r="C88" s="152"/>
      <c r="G88" s="4"/>
      <c r="H88" s="4"/>
    </row>
    <row r="89" spans="3:8" x14ac:dyDescent="0.25">
      <c r="G89" s="4"/>
      <c r="H89" s="4"/>
    </row>
    <row r="90" spans="3:8" x14ac:dyDescent="0.25">
      <c r="G90" s="145"/>
      <c r="H90" s="145"/>
    </row>
    <row r="91" spans="3:8" ht="16.5" thickBot="1" x14ac:dyDescent="0.3">
      <c r="G91" s="147">
        <f>SUM(G84:G90)</f>
        <v>0</v>
      </c>
      <c r="H91" s="147">
        <f>SUM(H84:H90)</f>
        <v>0</v>
      </c>
    </row>
    <row r="92" spans="3:8" ht="16.5" thickTop="1" x14ac:dyDescent="0.25">
      <c r="G92" s="145"/>
      <c r="H92" s="145"/>
    </row>
    <row r="93" spans="3:8" x14ac:dyDescent="0.25">
      <c r="C93" s="1" t="s">
        <v>694</v>
      </c>
      <c r="D93" s="1"/>
      <c r="E93" s="1"/>
      <c r="F93" s="1"/>
      <c r="G93" s="8">
        <f>G91-TrialBalance!L364</f>
        <v>0</v>
      </c>
      <c r="H93" s="8">
        <f>H91-TrialBalance!N364</f>
        <v>0</v>
      </c>
    </row>
    <row r="2602" spans="7:9" s="2" customFormat="1" x14ac:dyDescent="0.25">
      <c r="G2602" s="5"/>
      <c r="H2602" s="5"/>
      <c r="I2602" s="32"/>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G18" sqref="G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2:8" ht="52.5" customHeight="1" x14ac:dyDescent="0.25">
      <c r="C2" s="150" t="str">
        <f>Criteria!E9</f>
        <v>ABC COMPANY (PROPRIETARY) LIMITED</v>
      </c>
      <c r="D2" s="217"/>
      <c r="E2" s="217"/>
      <c r="G2" s="149" t="s">
        <v>101</v>
      </c>
      <c r="H2" s="149"/>
    </row>
    <row r="3" spans="2:8" x14ac:dyDescent="0.25">
      <c r="C3" s="3" t="s">
        <v>100</v>
      </c>
      <c r="D3" s="3"/>
      <c r="E3" s="3" t="str">
        <f>Criteria!E20</f>
        <v>29 FEBRUARY 2024</v>
      </c>
    </row>
    <row r="4" spans="2:8" ht="52.5" customHeight="1" x14ac:dyDescent="0.25">
      <c r="C4" s="193" t="s">
        <v>699</v>
      </c>
      <c r="G4" s="149" t="s">
        <v>102</v>
      </c>
      <c r="H4" s="149"/>
    </row>
    <row r="5" spans="2:8" ht="15.75" customHeight="1" x14ac:dyDescent="0.25">
      <c r="G5" s="28"/>
      <c r="H5" s="28"/>
    </row>
    <row r="6" spans="2:8" ht="15.75" customHeight="1" x14ac:dyDescent="0.25">
      <c r="G6" s="28"/>
      <c r="H6" s="28"/>
    </row>
    <row r="7" spans="2:8" x14ac:dyDescent="0.25">
      <c r="B7" s="112" t="s">
        <v>692</v>
      </c>
      <c r="C7" s="3" t="s">
        <v>617</v>
      </c>
      <c r="G7" s="28"/>
      <c r="H7" s="28"/>
    </row>
    <row r="8" spans="2:8" x14ac:dyDescent="0.25">
      <c r="C8" s="7"/>
      <c r="D8" s="7"/>
      <c r="E8" s="7"/>
      <c r="F8" s="7"/>
      <c r="G8" s="144"/>
      <c r="H8" s="144"/>
    </row>
    <row r="10" spans="2:8" x14ac:dyDescent="0.25">
      <c r="G10" s="5">
        <f>Criteria!E22</f>
        <v>2024</v>
      </c>
      <c r="H10" s="5">
        <f>Criteria!E27</f>
        <v>2023</v>
      </c>
    </row>
    <row r="11" spans="2:8" x14ac:dyDescent="0.25">
      <c r="G11" s="145"/>
      <c r="H11" s="145"/>
    </row>
    <row r="12" spans="2:8" x14ac:dyDescent="0.25">
      <c r="C12" s="31">
        <f>TrialBalance!C366</f>
        <v>0</v>
      </c>
      <c r="G12" s="145">
        <f>TrialBalance!L366</f>
        <v>0</v>
      </c>
      <c r="H12" s="145">
        <f>TrialBalance!N366</f>
        <v>0</v>
      </c>
    </row>
    <row r="13" spans="2:8" x14ac:dyDescent="0.25">
      <c r="C13" s="31">
        <f>TrialBalance!C367</f>
        <v>0</v>
      </c>
      <c r="G13" s="145">
        <f>TrialBalance!L367</f>
        <v>0</v>
      </c>
      <c r="H13" s="145">
        <f>TrialBalance!N367</f>
        <v>0</v>
      </c>
    </row>
    <row r="14" spans="2:8" x14ac:dyDescent="0.25">
      <c r="C14" s="31">
        <f>TrialBalance!C368</f>
        <v>0</v>
      </c>
      <c r="G14" s="145">
        <f>TrialBalance!L368</f>
        <v>0</v>
      </c>
      <c r="H14" s="145">
        <f>TrialBalance!N368</f>
        <v>0</v>
      </c>
    </row>
    <row r="15" spans="2:8" x14ac:dyDescent="0.25">
      <c r="C15" s="31">
        <f>TrialBalance!C369</f>
        <v>0</v>
      </c>
      <c r="G15" s="145">
        <f>TrialBalance!L369</f>
        <v>0</v>
      </c>
      <c r="H15" s="145">
        <f>TrialBalance!N369</f>
        <v>0</v>
      </c>
    </row>
    <row r="16" spans="2:8" x14ac:dyDescent="0.25">
      <c r="C16" s="31">
        <f>TrialBalance!C370</f>
        <v>0</v>
      </c>
      <c r="G16" s="145">
        <f>TrialBalance!L370</f>
        <v>0</v>
      </c>
      <c r="H16" s="145">
        <f>TrialBalance!N370</f>
        <v>0</v>
      </c>
    </row>
    <row r="17" spans="2:8" x14ac:dyDescent="0.25">
      <c r="C17" s="31">
        <f>TrialBalance!C371</f>
        <v>0</v>
      </c>
      <c r="G17" s="145">
        <f>TrialBalance!L371</f>
        <v>0</v>
      </c>
      <c r="H17" s="145">
        <f>TrialBalance!N371</f>
        <v>0</v>
      </c>
    </row>
    <row r="18" spans="2:8" s="2" customFormat="1" x14ac:dyDescent="0.25">
      <c r="G18" s="145"/>
      <c r="H18" s="145"/>
    </row>
    <row r="19" spans="2:8" s="2" customFormat="1" ht="16.5" thickBot="1" x14ac:dyDescent="0.3">
      <c r="G19" s="147">
        <f>SUM(G11:G18)</f>
        <v>0</v>
      </c>
      <c r="H19" s="147">
        <f>SUM(H11:H18)</f>
        <v>0</v>
      </c>
    </row>
    <row r="20" spans="2:8" s="2" customFormat="1" ht="16.5" thickTop="1" x14ac:dyDescent="0.25">
      <c r="G20" s="145"/>
      <c r="H20" s="145"/>
    </row>
    <row r="21" spans="2:8" s="2" customFormat="1" x14ac:dyDescent="0.25">
      <c r="C21" s="1" t="s">
        <v>694</v>
      </c>
      <c r="D21" s="1"/>
      <c r="E21" s="1"/>
      <c r="F21" s="1"/>
      <c r="G21" s="8">
        <f>SUM(TrialBalance!L366:L371)-G19</f>
        <v>0</v>
      </c>
      <c r="H21" s="8">
        <f>SUM(TrialBalance!N366:N371)-H19</f>
        <v>0</v>
      </c>
    </row>
    <row r="22" spans="2:8" s="2" customFormat="1" x14ac:dyDescent="0.25">
      <c r="G22" s="145"/>
      <c r="H22" s="145"/>
    </row>
    <row r="23" spans="2:8" s="2" customFormat="1" x14ac:dyDescent="0.25">
      <c r="G23" s="145"/>
      <c r="H23" s="145"/>
    </row>
    <row r="24" spans="2:8" s="2" customFormat="1" x14ac:dyDescent="0.25">
      <c r="G24" s="145"/>
      <c r="H24" s="145"/>
    </row>
    <row r="25" spans="2:8" s="2" customFormat="1" x14ac:dyDescent="0.25">
      <c r="B25" s="112" t="s">
        <v>693</v>
      </c>
      <c r="C25" s="3" t="s">
        <v>623</v>
      </c>
      <c r="G25" s="28"/>
      <c r="H25" s="28"/>
    </row>
    <row r="26" spans="2:8" s="2" customFormat="1" x14ac:dyDescent="0.25">
      <c r="C26" s="7"/>
      <c r="D26" s="7"/>
      <c r="E26" s="7"/>
      <c r="F26" s="7"/>
      <c r="G26" s="144"/>
      <c r="H26" s="144"/>
    </row>
    <row r="27" spans="2:8" s="2" customFormat="1" x14ac:dyDescent="0.25">
      <c r="G27" s="5"/>
      <c r="H27" s="5"/>
    </row>
    <row r="28" spans="2:8" s="2" customFormat="1" x14ac:dyDescent="0.25">
      <c r="G28" s="5">
        <f>Criteria!E22</f>
        <v>2024</v>
      </c>
      <c r="H28" s="5">
        <f>Criteria!E27</f>
        <v>2023</v>
      </c>
    </row>
    <row r="29" spans="2:8" s="2" customFormat="1" x14ac:dyDescent="0.25">
      <c r="G29" s="145"/>
      <c r="H29" s="145"/>
    </row>
    <row r="30" spans="2:8" s="2" customFormat="1" x14ac:dyDescent="0.25">
      <c r="C30" s="31"/>
      <c r="G30" s="4"/>
      <c r="H30" s="4"/>
    </row>
    <row r="31" spans="2:8" s="2" customFormat="1" x14ac:dyDescent="0.25">
      <c r="C31" s="31"/>
      <c r="G31" s="145"/>
      <c r="H31" s="145"/>
    </row>
    <row r="32" spans="2:8" s="2" customFormat="1" x14ac:dyDescent="0.25">
      <c r="C32" s="31"/>
      <c r="G32" s="145"/>
      <c r="H32" s="145"/>
    </row>
    <row r="33" spans="3:8" s="2" customFormat="1" x14ac:dyDescent="0.25">
      <c r="C33" s="31"/>
      <c r="G33" s="145"/>
      <c r="H33" s="145"/>
    </row>
    <row r="34" spans="3:8" s="2" customFormat="1" x14ac:dyDescent="0.25">
      <c r="C34" s="31"/>
      <c r="G34" s="145"/>
      <c r="H34" s="145"/>
    </row>
    <row r="35" spans="3:8" s="2" customFormat="1" x14ac:dyDescent="0.25">
      <c r="C35" s="31"/>
      <c r="G35" s="145"/>
      <c r="H35" s="145"/>
    </row>
    <row r="36" spans="3:8" s="2" customFormat="1" x14ac:dyDescent="0.25">
      <c r="G36" s="145"/>
      <c r="H36" s="145"/>
    </row>
    <row r="37" spans="3:8" s="2" customFormat="1" ht="16.5" thickBot="1" x14ac:dyDescent="0.3">
      <c r="G37" s="147">
        <f>SUM(G29:G36)</f>
        <v>0</v>
      </c>
      <c r="H37" s="147">
        <f>SUM(H29:H36)</f>
        <v>0</v>
      </c>
    </row>
    <row r="38" spans="3:8" s="2" customFormat="1" ht="16.5" thickTop="1" x14ac:dyDescent="0.25">
      <c r="G38" s="145"/>
      <c r="H38" s="145"/>
    </row>
    <row r="39" spans="3:8" s="2" customFormat="1" x14ac:dyDescent="0.25">
      <c r="C39" s="1" t="s">
        <v>694</v>
      </c>
      <c r="D39" s="1"/>
      <c r="E39" s="1"/>
      <c r="F39" s="1"/>
      <c r="G39" s="8">
        <f>G37-TrialBalance!L372</f>
        <v>0</v>
      </c>
      <c r="H39" s="8">
        <f>H37-TrialBalance!N372</f>
        <v>0</v>
      </c>
    </row>
    <row r="40" spans="3:8" s="2" customFormat="1" x14ac:dyDescent="0.25">
      <c r="G40" s="5"/>
      <c r="H40" s="5"/>
    </row>
    <row r="41" spans="3:8" s="2" customFormat="1" x14ac:dyDescent="0.25">
      <c r="G41" s="145"/>
      <c r="H41" s="145"/>
    </row>
    <row r="42" spans="3:8" s="2" customFormat="1" x14ac:dyDescent="0.25">
      <c r="G42" s="145"/>
      <c r="H42" s="145"/>
    </row>
    <row r="2540" spans="7:9" s="2" customFormat="1" x14ac:dyDescent="0.25">
      <c r="G2540" s="5"/>
      <c r="H2540" s="5"/>
      <c r="I2540" s="32"/>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3876"/>
  <sheetViews>
    <sheetView view="pageBreakPreview" zoomScale="60" zoomScaleNormal="100" workbookViewId="0">
      <selection activeCell="D12" sqref="D12"/>
    </sheetView>
  </sheetViews>
  <sheetFormatPr defaultRowHeight="31.5" x14ac:dyDescent="0.45"/>
  <cols>
    <col min="1" max="1" width="4.28515625" style="449" customWidth="1"/>
    <col min="2" max="2" width="6.140625" style="449" customWidth="1"/>
    <col min="3" max="3" width="9.7109375" style="449" customWidth="1"/>
    <col min="4" max="4" width="10.28515625" style="449" customWidth="1"/>
    <col min="5" max="5" width="9.7109375" style="449" customWidth="1"/>
    <col min="6" max="6" width="5.140625" style="449" customWidth="1"/>
    <col min="7" max="7" width="17.5703125" style="449" customWidth="1"/>
    <col min="8" max="8" width="21.85546875" style="449" customWidth="1"/>
    <col min="9" max="9" width="4.85546875" style="449" customWidth="1"/>
    <col min="10" max="10" width="22" style="449" customWidth="1"/>
    <col min="11" max="11" width="21.85546875" style="449" customWidth="1"/>
    <col min="12" max="12" width="3.28515625" style="449" customWidth="1"/>
    <col min="13" max="13" width="26.5703125" style="619" customWidth="1"/>
    <col min="14" max="14" width="3.7109375" style="620" customWidth="1"/>
    <col min="15" max="15" width="26.5703125" style="619" customWidth="1"/>
    <col min="16" max="16" width="3.42578125" style="620" customWidth="1"/>
    <col min="17" max="17" width="6.42578125" style="449" customWidth="1"/>
    <col min="18" max="18" width="17.42578125" style="512" customWidth="1"/>
    <col min="19" max="19" width="20.85546875" style="513" bestFit="1" customWidth="1"/>
    <col min="20" max="20" width="4.85546875" style="513" customWidth="1"/>
    <col min="21" max="21" width="20.85546875" style="513" bestFit="1" customWidth="1"/>
    <col min="22" max="22" width="18.7109375" style="513" bestFit="1" customWidth="1"/>
    <col min="23" max="23" width="6.28515625" style="513" customWidth="1"/>
    <col min="24" max="24" width="19.85546875" style="513" customWidth="1"/>
    <col min="25" max="25" width="12" style="513" bestFit="1" customWidth="1"/>
    <col min="26" max="26" width="8.85546875" style="513" customWidth="1"/>
    <col min="27" max="27" width="21.85546875" style="513" bestFit="1" customWidth="1"/>
    <col min="28" max="29" width="8.85546875" style="514" customWidth="1"/>
    <col min="30" max="53" width="9.140625" style="514"/>
    <col min="54" max="16384" width="9.140625" style="452"/>
  </cols>
  <sheetData>
    <row r="1" spans="4:24" ht="31.5" customHeight="1" x14ac:dyDescent="0.45">
      <c r="V1" s="690" t="s">
        <v>841</v>
      </c>
      <c r="W1" s="690"/>
      <c r="X1" s="690"/>
    </row>
    <row r="2" spans="4:24" ht="31.5" customHeight="1" x14ac:dyDescent="0.45">
      <c r="V2" s="523" t="str">
        <f>IF(COUNTIF(V3:V3876,"FALSE")&gt;0,"NO","YES")</f>
        <v>YES</v>
      </c>
      <c r="W2" s="336"/>
      <c r="X2" s="523" t="str">
        <f>IF(COUNTIF(X3:X3876,"FALSE")&gt;0,"NO","YES")</f>
        <v>YES</v>
      </c>
    </row>
    <row r="3" spans="4:24" ht="31.5" customHeight="1" x14ac:dyDescent="0.45"/>
    <row r="4" spans="4:24" ht="31.5" customHeight="1" x14ac:dyDescent="0.45">
      <c r="H4" s="621"/>
      <c r="J4" s="621"/>
      <c r="K4" s="621"/>
    </row>
    <row r="5" spans="4:24" ht="31.5" customHeight="1" x14ac:dyDescent="0.45"/>
    <row r="6" spans="4:24" ht="31.5" customHeight="1" x14ac:dyDescent="0.45"/>
    <row r="7" spans="4:24" ht="31.5" customHeight="1" x14ac:dyDescent="0.45"/>
    <row r="8" spans="4:24" ht="31.5" customHeight="1" x14ac:dyDescent="0.45"/>
    <row r="9" spans="4:24" ht="31.5" customHeight="1" x14ac:dyDescent="0.45"/>
    <row r="10" spans="4:24" ht="31.5" customHeight="1" x14ac:dyDescent="0.45"/>
    <row r="11" spans="4:24" ht="31.5" customHeight="1" x14ac:dyDescent="0.45"/>
    <row r="12" spans="4:24" ht="31.5" customHeight="1" x14ac:dyDescent="0.45"/>
    <row r="13" spans="4:24" ht="31.5" customHeight="1" x14ac:dyDescent="0.45"/>
    <row r="14" spans="4:24" ht="31.5" customHeight="1" thickBot="1" x14ac:dyDescent="0.5"/>
    <row r="15" spans="4:24" ht="31.5" customHeight="1" x14ac:dyDescent="0.45">
      <c r="D15" s="453"/>
      <c r="E15" s="454"/>
      <c r="F15" s="454"/>
      <c r="G15" s="454"/>
      <c r="H15" s="454"/>
      <c r="I15" s="454"/>
      <c r="J15" s="454"/>
      <c r="K15" s="454"/>
      <c r="L15" s="454"/>
      <c r="M15" s="622"/>
      <c r="N15" s="623"/>
    </row>
    <row r="16" spans="4:24" ht="31.5" customHeight="1" x14ac:dyDescent="0.45">
      <c r="D16" s="692" t="str">
        <f>Criteria!E9</f>
        <v>ABC COMPANY (PROPRIETARY) LIMITED</v>
      </c>
      <c r="E16" s="691"/>
      <c r="F16" s="691"/>
      <c r="G16" s="691"/>
      <c r="H16" s="691"/>
      <c r="I16" s="691"/>
      <c r="J16" s="691"/>
      <c r="K16" s="691"/>
      <c r="L16" s="691"/>
      <c r="M16" s="691"/>
      <c r="N16" s="693"/>
    </row>
    <row r="17" spans="4:14" ht="31.5" customHeight="1" x14ac:dyDescent="0.45">
      <c r="D17" s="618"/>
      <c r="F17" s="616"/>
      <c r="G17" s="616"/>
      <c r="H17" s="616"/>
      <c r="I17" s="616"/>
      <c r="J17" s="616"/>
      <c r="K17" s="616"/>
      <c r="L17" s="616"/>
      <c r="M17" s="617"/>
      <c r="N17" s="624"/>
    </row>
    <row r="18" spans="4:14" ht="31.5" customHeight="1" x14ac:dyDescent="0.45">
      <c r="D18" s="692" t="s">
        <v>197</v>
      </c>
      <c r="E18" s="691"/>
      <c r="F18" s="691"/>
      <c r="G18" s="691"/>
      <c r="H18" s="691"/>
      <c r="I18" s="691"/>
      <c r="J18" s="691"/>
      <c r="K18" s="691"/>
      <c r="L18" s="691"/>
      <c r="M18" s="691"/>
      <c r="N18" s="693"/>
    </row>
    <row r="19" spans="4:14" ht="31.5" customHeight="1" x14ac:dyDescent="0.45">
      <c r="D19" s="618"/>
      <c r="F19" s="616"/>
      <c r="G19" s="616"/>
      <c r="H19" s="616"/>
      <c r="I19" s="616"/>
      <c r="J19" s="616"/>
      <c r="K19" s="616"/>
      <c r="L19" s="616"/>
      <c r="M19" s="617"/>
      <c r="N19" s="615"/>
    </row>
    <row r="20" spans="4:14" ht="31.5" customHeight="1" x14ac:dyDescent="0.45">
      <c r="D20" s="692" t="str">
        <f>Criteria!E20</f>
        <v>29 FEBRUARY 2024</v>
      </c>
      <c r="E20" s="691"/>
      <c r="F20" s="691"/>
      <c r="G20" s="691"/>
      <c r="H20" s="691"/>
      <c r="I20" s="691"/>
      <c r="J20" s="691"/>
      <c r="K20" s="691"/>
      <c r="L20" s="691"/>
      <c r="M20" s="691"/>
      <c r="N20" s="693"/>
    </row>
    <row r="21" spans="4:14" ht="31.5" customHeight="1" thickBot="1" x14ac:dyDescent="0.5">
      <c r="D21" s="455"/>
      <c r="E21" s="456"/>
      <c r="F21" s="456"/>
      <c r="G21" s="456"/>
      <c r="H21" s="456"/>
      <c r="I21" s="456"/>
      <c r="J21" s="456"/>
      <c r="K21" s="456"/>
      <c r="L21" s="456"/>
      <c r="M21" s="625"/>
      <c r="N21" s="626"/>
    </row>
    <row r="22" spans="4:14" ht="31.5" customHeight="1" x14ac:dyDescent="0.45"/>
    <row r="23" spans="4:14" ht="31.5" customHeight="1" x14ac:dyDescent="0.45"/>
    <row r="24" spans="4:14" ht="31.5" customHeight="1" x14ac:dyDescent="0.45"/>
    <row r="25" spans="4:14" ht="31.5" customHeight="1" x14ac:dyDescent="0.45"/>
    <row r="26" spans="4:14" ht="31.5" customHeight="1" x14ac:dyDescent="0.45"/>
    <row r="27" spans="4:14" ht="31.5" customHeight="1" x14ac:dyDescent="0.45"/>
    <row r="28" spans="4:14" ht="31.5" customHeight="1" x14ac:dyDescent="0.45"/>
    <row r="29" spans="4:14" ht="31.5" customHeight="1" x14ac:dyDescent="0.45"/>
    <row r="30" spans="4:14" ht="31.5" customHeight="1" x14ac:dyDescent="0.45"/>
    <row r="31" spans="4:14" ht="31.5" customHeight="1" x14ac:dyDescent="0.45"/>
    <row r="32" spans="4:14"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1.5" customHeight="1" x14ac:dyDescent="0.45"/>
    <row r="57" spans="4:18" ht="31.5" customHeight="1" x14ac:dyDescent="0.45"/>
    <row r="58" spans="4:18" ht="31.5" customHeight="1" x14ac:dyDescent="0.45">
      <c r="D58" s="450" t="str">
        <f>Criteria!E9</f>
        <v>ABC COMPANY (PROPRIETARY) LIMITED</v>
      </c>
    </row>
    <row r="59" spans="4:18" ht="31.5" customHeight="1" x14ac:dyDescent="0.45">
      <c r="D59" s="450" t="str">
        <f>Criteria!E10</f>
        <v>T/A SEAFRONT HOTEL, SEAFRONT RESTAURANT AND RENTAL PROPERTIES</v>
      </c>
      <c r="R59" s="512" t="str">
        <f>IF(D59=0,"DELETE"," ")</f>
        <v xml:space="preserve"> </v>
      </c>
    </row>
    <row r="60" spans="4:18" ht="31.5" customHeight="1" x14ac:dyDescent="0.45">
      <c r="D60" s="450" t="str">
        <f>Criteria!E18</f>
        <v>2000/123456/07</v>
      </c>
    </row>
    <row r="61" spans="4:18" ht="31.5" customHeight="1" x14ac:dyDescent="0.45">
      <c r="D61" s="450"/>
    </row>
    <row r="62" spans="4:18" ht="31.5" customHeight="1" x14ac:dyDescent="0.45">
      <c r="D62" s="450" t="s">
        <v>198</v>
      </c>
    </row>
    <row r="63" spans="4:18" ht="31.5" customHeight="1" x14ac:dyDescent="0.45">
      <c r="D63" s="450" t="str">
        <f>Criteria!E20</f>
        <v>29 FEBRUARY 2024</v>
      </c>
    </row>
    <row r="64" spans="4:18" ht="31.5" customHeight="1" x14ac:dyDescent="0.45"/>
    <row r="65" spans="4:15" ht="31.5" customHeight="1" x14ac:dyDescent="0.45"/>
    <row r="66" spans="4:15" ht="31.5" customHeight="1" x14ac:dyDescent="0.5">
      <c r="D66" s="590" t="s">
        <v>1303</v>
      </c>
    </row>
    <row r="67" spans="4:15" ht="31.5" customHeight="1" x14ac:dyDescent="0.5">
      <c r="D67" s="590" t="str">
        <f>IF(MAX(Criteria!H53:H57)=1,"presented to the Shareholder:","presented to the Shareholders:")</f>
        <v>presented to the Shareholders:</v>
      </c>
    </row>
    <row r="68" spans="4:15" ht="31.5" customHeight="1" x14ac:dyDescent="0.45"/>
    <row r="69" spans="4:15" ht="31.5" customHeight="1" x14ac:dyDescent="0.45">
      <c r="D69" s="450" t="s">
        <v>199</v>
      </c>
      <c r="N69" s="457"/>
      <c r="O69" s="524" t="s">
        <v>200</v>
      </c>
    </row>
    <row r="70" spans="4:15" ht="31.5" customHeight="1" x14ac:dyDescent="0.45"/>
    <row r="71" spans="4:15" ht="31.5" customHeight="1" x14ac:dyDescent="0.45">
      <c r="D71" s="449" t="s">
        <v>201</v>
      </c>
      <c r="N71" s="458"/>
      <c r="O71" s="525">
        <f>Q114</f>
        <v>1</v>
      </c>
    </row>
    <row r="72" spans="4:15" ht="31.5" customHeight="1" x14ac:dyDescent="0.45">
      <c r="N72" s="458"/>
      <c r="O72" s="525"/>
    </row>
    <row r="73" spans="4:15" ht="31.5" customHeight="1" x14ac:dyDescent="0.45">
      <c r="D73" s="449" t="str">
        <f>IF(MAX(Criteria!I41:I45)&gt;1,"DIRECTORS' RESPONSIBILITY STATEMENT","DIRECTOR'S RESPONSIBILITY STATEMENT")</f>
        <v>DIRECTORS' RESPONSIBILITY STATEMENT</v>
      </c>
      <c r="N73" s="458"/>
      <c r="O73" s="525">
        <f>Q170</f>
        <v>2</v>
      </c>
    </row>
    <row r="74" spans="4:15" ht="31.5" customHeight="1" x14ac:dyDescent="0.45">
      <c r="N74" s="458"/>
      <c r="O74" s="525"/>
    </row>
    <row r="75" spans="4:15" ht="31.5" customHeight="1" x14ac:dyDescent="0.45">
      <c r="D75" s="449" t="str">
        <f>IF(Criteria!E29="Compilation","ACCOUNTING OFFICER'S COMPILATION REPORT",IF(Criteria!E29="Review","INDEPENDENT REVIEWER'S REPORT","AUDITOR'S REPORT"))</f>
        <v>ACCOUNTING OFFICER'S COMPILATION REPORT</v>
      </c>
      <c r="N75" s="458"/>
      <c r="O75" s="525">
        <f>MAX($Q$114:Q394)</f>
        <v>5</v>
      </c>
    </row>
    <row r="76" spans="4:15" ht="31.5" customHeight="1" x14ac:dyDescent="0.45">
      <c r="N76" s="458"/>
      <c r="O76" s="525"/>
    </row>
    <row r="77" spans="4:15" ht="31.5" customHeight="1" x14ac:dyDescent="0.45">
      <c r="D77" s="449" t="str">
        <f>IF(MAX(Criteria!I41:I45)&gt;1,"DIRECTORS' REPORT","DIRECTOR'S REPORT")</f>
        <v>DIRECTORS' REPORT</v>
      </c>
      <c r="N77" s="458"/>
      <c r="O77" s="525" t="str">
        <f>CONCATENATE(Q395," - ",MAX(Q395:Q515))</f>
        <v>6 - 7</v>
      </c>
    </row>
    <row r="78" spans="4:15" ht="31.5" customHeight="1" x14ac:dyDescent="0.45">
      <c r="N78" s="458"/>
      <c r="O78" s="525"/>
    </row>
    <row r="79" spans="4:15" ht="31.5" customHeight="1" x14ac:dyDescent="0.45">
      <c r="D79" s="449" t="s">
        <v>793</v>
      </c>
      <c r="N79" s="458"/>
      <c r="O79" s="525">
        <f>Q516</f>
        <v>8</v>
      </c>
    </row>
    <row r="80" spans="4:15" ht="31.5" customHeight="1" x14ac:dyDescent="0.45">
      <c r="N80" s="458"/>
      <c r="O80" s="525"/>
    </row>
    <row r="81" spans="4:18" ht="31.5" customHeight="1" x14ac:dyDescent="0.45">
      <c r="D81" s="449" t="s">
        <v>792</v>
      </c>
      <c r="N81" s="458"/>
      <c r="O81" s="525">
        <f>Q577</f>
        <v>9</v>
      </c>
    </row>
    <row r="82" spans="4:18" ht="31.5" customHeight="1" x14ac:dyDescent="0.45">
      <c r="N82" s="458"/>
      <c r="O82" s="525"/>
    </row>
    <row r="83" spans="4:18" ht="31.5" customHeight="1" x14ac:dyDescent="0.45">
      <c r="D83" s="449" t="s">
        <v>569</v>
      </c>
      <c r="N83" s="458"/>
      <c r="O83" s="525">
        <f>Q660</f>
        <v>10</v>
      </c>
    </row>
    <row r="84" spans="4:18" ht="31.5" customHeight="1" x14ac:dyDescent="0.45">
      <c r="N84" s="458"/>
      <c r="O84" s="525"/>
    </row>
    <row r="85" spans="4:18" ht="31.5" customHeight="1" x14ac:dyDescent="0.45">
      <c r="D85" s="449" t="s">
        <v>117</v>
      </c>
      <c r="N85" s="458"/>
      <c r="O85" s="525">
        <f>Q719</f>
        <v>11</v>
      </c>
    </row>
    <row r="86" spans="4:18" ht="31.5" customHeight="1" x14ac:dyDescent="0.45">
      <c r="N86" s="458"/>
      <c r="O86" s="525"/>
    </row>
    <row r="87" spans="4:18" ht="31.5" customHeight="1" x14ac:dyDescent="0.45">
      <c r="D87" s="449" t="s">
        <v>118</v>
      </c>
      <c r="N87" s="458"/>
      <c r="O87" s="525" t="str">
        <f>CONCATENATE(Q795," - ",MAX(Q795:Q2578))</f>
        <v>12 - 64</v>
      </c>
    </row>
    <row r="88" spans="4:18" ht="31.5" customHeight="1" x14ac:dyDescent="0.45">
      <c r="N88" s="458"/>
      <c r="O88" s="525"/>
    </row>
    <row r="89" spans="4:18" ht="31.5" customHeight="1" x14ac:dyDescent="0.45">
      <c r="D89" s="449" t="s">
        <v>593</v>
      </c>
      <c r="N89" s="458"/>
      <c r="O89" s="525" t="str">
        <f>IF(Q2579&lt;MAX(Q2579:Q2753),CONCATENATE(Q2579," - ",MAX(Q2579:Q2753)),Q2579)</f>
        <v>65 - 66</v>
      </c>
    </row>
    <row r="90" spans="4:18" ht="31.5" customHeight="1" x14ac:dyDescent="0.45">
      <c r="N90" s="458"/>
      <c r="O90" s="525"/>
    </row>
    <row r="91" spans="4:18" ht="31.5" customHeight="1" x14ac:dyDescent="0.45">
      <c r="D91" s="449" t="s">
        <v>119</v>
      </c>
      <c r="N91" s="458"/>
      <c r="O91" s="525">
        <f>Q2754</f>
        <v>67</v>
      </c>
    </row>
    <row r="92" spans="4:18" ht="31.5" customHeight="1" x14ac:dyDescent="0.45">
      <c r="N92" s="458"/>
      <c r="O92" s="525"/>
    </row>
    <row r="93" spans="4:18" ht="31.5" customHeight="1" x14ac:dyDescent="0.45">
      <c r="D93" s="449" t="s">
        <v>351</v>
      </c>
      <c r="N93" s="458"/>
      <c r="O93" s="525">
        <f>Q2830</f>
        <v>68</v>
      </c>
      <c r="R93" s="512" t="str">
        <f>R2829</f>
        <v>DELETE</v>
      </c>
    </row>
    <row r="94" spans="4:18" ht="31.5" customHeight="1" x14ac:dyDescent="0.45"/>
    <row r="95" spans="4:18" ht="31.5" customHeight="1" x14ac:dyDescent="0.45">
      <c r="D95" s="449" t="s">
        <v>594</v>
      </c>
      <c r="R95" s="512" t="str">
        <f>IF(Criteria!E14=0,"DELETE"," ")</f>
        <v xml:space="preserve"> </v>
      </c>
    </row>
    <row r="96" spans="4:18" ht="31.5" customHeight="1" x14ac:dyDescent="0.45">
      <c r="E96" s="449" t="s">
        <v>27</v>
      </c>
      <c r="F96" s="449" t="str">
        <f>CONCATENATE("DETAILED INCOME STATEMENT"," - ",Criteria!E14)</f>
        <v>DETAILED INCOME STATEMENT - SEAFRONT RESTAURANT</v>
      </c>
      <c r="R96" s="512" t="str">
        <f>IF(Criteria!E14=0,"DELETE"," ")</f>
        <v xml:space="preserve"> </v>
      </c>
    </row>
    <row r="97" spans="4:18" ht="31.5" customHeight="1" x14ac:dyDescent="0.45">
      <c r="E97" s="449" t="s">
        <v>752</v>
      </c>
      <c r="F97" s="449" t="str">
        <f>CONCATENATE("DETAILED INCOME STATEMENT"," - ",Criteria!E15)</f>
        <v>DETAILED INCOME STATEMENT - RENTAL PROPERTIES</v>
      </c>
      <c r="R97" s="512" t="str">
        <f>IF(Criteria!E15=0,"DELETE"," ")</f>
        <v xml:space="preserve"> </v>
      </c>
    </row>
    <row r="98" spans="4:18" ht="31.5" customHeight="1" x14ac:dyDescent="0.45">
      <c r="E98" s="449" t="s">
        <v>758</v>
      </c>
      <c r="F98" s="449" t="str">
        <f>CONCATENATE("DETAILED INCOME STATEMENT"," - ",Criteria!E16)</f>
        <v xml:space="preserve">DETAILED INCOME STATEMENT - </v>
      </c>
      <c r="R98" s="512" t="str">
        <f>IF(Criteria!E16=0,"DELETE"," ")</f>
        <v>DELETE</v>
      </c>
    </row>
    <row r="99" spans="4:18" ht="31.5" customHeight="1" x14ac:dyDescent="0.45"/>
    <row r="100" spans="4:18" ht="31.5" customHeight="1" x14ac:dyDescent="0.45">
      <c r="D100" s="450"/>
    </row>
    <row r="101" spans="4:18" ht="31.5" customHeight="1" x14ac:dyDescent="0.45"/>
    <row r="102" spans="4:18" ht="31.5" customHeight="1" x14ac:dyDescent="0.45"/>
    <row r="103" spans="4:18" ht="31.5" customHeight="1" x14ac:dyDescent="0.45"/>
    <row r="104" spans="4:18" ht="31.5" customHeight="1" x14ac:dyDescent="0.45"/>
    <row r="105" spans="4:18" ht="31.5" customHeight="1" x14ac:dyDescent="0.45"/>
    <row r="106" spans="4:18" ht="31.5" customHeight="1" x14ac:dyDescent="0.45"/>
    <row r="107" spans="4:18" ht="31.5" customHeight="1" x14ac:dyDescent="0.45">
      <c r="D107" s="452"/>
      <c r="E107" s="452"/>
      <c r="F107" s="452"/>
      <c r="G107" s="452"/>
      <c r="H107" s="452"/>
      <c r="I107" s="452"/>
      <c r="J107" s="452"/>
      <c r="K107" s="452"/>
      <c r="L107" s="452"/>
      <c r="M107" s="40"/>
      <c r="N107" s="452"/>
      <c r="O107" s="40"/>
      <c r="P107" s="452"/>
    </row>
    <row r="108" spans="4:18" ht="31.5" customHeight="1" x14ac:dyDescent="0.45">
      <c r="D108" s="452"/>
      <c r="E108" s="452"/>
      <c r="F108" s="452"/>
      <c r="G108" s="452"/>
      <c r="H108" s="452"/>
      <c r="I108" s="452"/>
      <c r="J108" s="452"/>
      <c r="K108" s="452"/>
      <c r="L108" s="452"/>
      <c r="M108" s="40"/>
      <c r="N108" s="452"/>
      <c r="O108" s="40"/>
      <c r="P108" s="452"/>
    </row>
    <row r="109" spans="4:18" ht="31.5" customHeight="1" x14ac:dyDescent="0.45">
      <c r="D109" s="452"/>
      <c r="E109" s="452"/>
      <c r="F109" s="452"/>
      <c r="G109" s="452"/>
      <c r="H109" s="452"/>
      <c r="I109" s="452"/>
      <c r="J109" s="452"/>
      <c r="K109" s="452"/>
      <c r="L109" s="452"/>
      <c r="M109" s="40"/>
      <c r="N109" s="452"/>
      <c r="O109" s="40"/>
      <c r="P109" s="452"/>
    </row>
    <row r="110" spans="4:18" ht="31.5" customHeight="1" x14ac:dyDescent="0.45">
      <c r="D110" s="452"/>
      <c r="E110" s="452"/>
      <c r="F110" s="452"/>
      <c r="G110" s="452"/>
      <c r="H110" s="452"/>
      <c r="I110" s="452"/>
      <c r="J110" s="452"/>
      <c r="K110" s="452"/>
      <c r="L110" s="452"/>
      <c r="M110" s="40"/>
      <c r="N110" s="452"/>
      <c r="O110" s="40"/>
      <c r="P110" s="452"/>
    </row>
    <row r="111" spans="4:18" ht="31.5" customHeight="1" x14ac:dyDescent="0.45"/>
    <row r="112" spans="4:18" ht="31.5" customHeight="1" x14ac:dyDescent="0.45"/>
    <row r="113" spans="4:18" ht="31.5" customHeight="1" x14ac:dyDescent="0.45"/>
    <row r="114" spans="4:18" ht="31.5" customHeight="1" x14ac:dyDescent="0.45">
      <c r="D114" s="450" t="str">
        <f>Criteria!E9</f>
        <v>ABC COMPANY (PROPRIETARY) LIMITED</v>
      </c>
      <c r="O114" s="529" t="s">
        <v>121</v>
      </c>
      <c r="P114" s="459"/>
      <c r="Q114" s="451">
        <v>1</v>
      </c>
    </row>
    <row r="115" spans="4:18" ht="31.5" customHeight="1" x14ac:dyDescent="0.45">
      <c r="D115" s="450" t="str">
        <f>Criteria!E10</f>
        <v>T/A SEAFRONT HOTEL, SEAFRONT RESTAURANT AND RENTAL PROPERTIES</v>
      </c>
      <c r="R115" s="512" t="str">
        <f>IF(D115=0,"DELETE"," ")</f>
        <v xml:space="preserve"> </v>
      </c>
    </row>
    <row r="116" spans="4:18" ht="31.5" customHeight="1" x14ac:dyDescent="0.45"/>
    <row r="117" spans="4:18" ht="31.5" customHeight="1" x14ac:dyDescent="0.45"/>
    <row r="118" spans="4:18" ht="31.5" customHeight="1" x14ac:dyDescent="0.45">
      <c r="D118" s="450" t="s">
        <v>201</v>
      </c>
    </row>
    <row r="119" spans="4:18" ht="31.5" customHeight="1" x14ac:dyDescent="0.45"/>
    <row r="120" spans="4:18" ht="31.5" customHeight="1" x14ac:dyDescent="0.45"/>
    <row r="121" spans="4:18" ht="31.5" customHeight="1" x14ac:dyDescent="0.45">
      <c r="D121" s="449" t="s">
        <v>1269</v>
      </c>
      <c r="J121" s="452"/>
    </row>
    <row r="122" spans="4:18" ht="31.5" customHeight="1" x14ac:dyDescent="0.45">
      <c r="D122" s="449" t="s">
        <v>1268</v>
      </c>
      <c r="J122" s="449" t="s">
        <v>759</v>
      </c>
    </row>
    <row r="123" spans="4:18" ht="31.5" customHeight="1" x14ac:dyDescent="0.45"/>
    <row r="124" spans="4:18" ht="31.5" customHeight="1" x14ac:dyDescent="0.45">
      <c r="D124" s="449" t="s">
        <v>925</v>
      </c>
      <c r="J124" s="449" t="s">
        <v>926</v>
      </c>
    </row>
    <row r="125" spans="4:18" ht="31.5" customHeight="1" x14ac:dyDescent="0.45"/>
    <row r="126" spans="4:18" ht="31.5" customHeight="1" x14ac:dyDescent="0.45">
      <c r="D126" s="449" t="s">
        <v>122</v>
      </c>
      <c r="J126" s="449" t="str">
        <f>Criteria!E36</f>
        <v>Hotel trade</v>
      </c>
    </row>
    <row r="127" spans="4:18" ht="31.5" customHeight="1" x14ac:dyDescent="0.45">
      <c r="J127" s="449" t="str">
        <f>Criteria!E37</f>
        <v>Restaurant industry</v>
      </c>
      <c r="R127" s="512" t="str">
        <f>IF(J127=0,"DELETE"," ")</f>
        <v xml:space="preserve"> </v>
      </c>
    </row>
    <row r="128" spans="4:18" ht="31.5" customHeight="1" x14ac:dyDescent="0.45">
      <c r="J128" s="449" t="str">
        <f>Criteria!E38</f>
        <v>Investment in immovable property</v>
      </c>
      <c r="R128" s="512" t="str">
        <f>IF(J128=0,"DELETE"," ")</f>
        <v xml:space="preserve"> </v>
      </c>
    </row>
    <row r="129" spans="4:18" ht="31.5" customHeight="1" x14ac:dyDescent="0.45">
      <c r="J129" s="449">
        <f>Criteria!E39</f>
        <v>0</v>
      </c>
      <c r="R129" s="512" t="str">
        <f>IF(J129=0,"DELETE"," ")</f>
        <v>DELETE</v>
      </c>
    </row>
    <row r="130" spans="4:18" ht="31.5" customHeight="1" x14ac:dyDescent="0.45"/>
    <row r="131" spans="4:18" ht="31.5" customHeight="1" x14ac:dyDescent="0.45">
      <c r="D131" s="449" t="str">
        <f>IF(MAX(Criteria!I41:I45)&gt;1,"Directors","Director")</f>
        <v>Directors</v>
      </c>
      <c r="J131" s="449" t="str">
        <f>Criteria!E41</f>
        <v>A Director</v>
      </c>
    </row>
    <row r="132" spans="4:18" ht="31.5" customHeight="1" x14ac:dyDescent="0.45">
      <c r="J132" s="449" t="str">
        <f>Criteria!E42</f>
        <v>C Director</v>
      </c>
      <c r="R132" s="512" t="str">
        <f>IF(J132=0,"DELETE"," ")</f>
        <v xml:space="preserve"> </v>
      </c>
    </row>
    <row r="133" spans="4:18" ht="31.5" customHeight="1" x14ac:dyDescent="0.45">
      <c r="J133" s="449">
        <f>Criteria!E43</f>
        <v>0</v>
      </c>
      <c r="R133" s="512" t="str">
        <f>IF(J133=0,"DELETE"," ")</f>
        <v>DELETE</v>
      </c>
    </row>
    <row r="134" spans="4:18" ht="31.5" customHeight="1" x14ac:dyDescent="0.45">
      <c r="J134" s="449">
        <f>Criteria!E44</f>
        <v>0</v>
      </c>
      <c r="R134" s="512" t="str">
        <f>IF(J134=0,"DELETE"," ")</f>
        <v>DELETE</v>
      </c>
    </row>
    <row r="135" spans="4:18" ht="31.5" customHeight="1" x14ac:dyDescent="0.45">
      <c r="J135" s="449">
        <f>Criteria!E45</f>
        <v>0</v>
      </c>
      <c r="R135" s="512" t="str">
        <f>IF(J135=0,"DELETE"," ")</f>
        <v>DELETE</v>
      </c>
    </row>
    <row r="136" spans="4:18" ht="31.5" customHeight="1" x14ac:dyDescent="0.45"/>
    <row r="137" spans="4:18" ht="31.5" customHeight="1" x14ac:dyDescent="0.45">
      <c r="D137" s="449" t="s">
        <v>123</v>
      </c>
      <c r="J137" s="449">
        <f>Criteria!E59</f>
        <v>0</v>
      </c>
    </row>
    <row r="138" spans="4:18" ht="31.5" customHeight="1" x14ac:dyDescent="0.45">
      <c r="J138" s="449">
        <f>Criteria!E60</f>
        <v>0</v>
      </c>
    </row>
    <row r="139" spans="4:18" ht="31.5" customHeight="1" x14ac:dyDescent="0.45">
      <c r="J139" s="460">
        <f>Criteria!E61</f>
        <v>0</v>
      </c>
      <c r="R139" s="512" t="str">
        <f>IF(J139=0,"DELETE"," ")</f>
        <v>DELETE</v>
      </c>
    </row>
    <row r="140" spans="4:18" ht="31.5" customHeight="1" x14ac:dyDescent="0.45">
      <c r="J140" s="460">
        <f>Criteria!E62</f>
        <v>0</v>
      </c>
      <c r="R140" s="512" t="str">
        <f>IF(J140=0,"DELETE"," ")</f>
        <v>DELETE</v>
      </c>
    </row>
    <row r="141" spans="4:18" ht="31.5" customHeight="1" x14ac:dyDescent="0.45">
      <c r="J141" s="460"/>
      <c r="R141" s="512" t="str">
        <f>R142</f>
        <v>DELETE</v>
      </c>
    </row>
    <row r="142" spans="4:18" ht="31.5" customHeight="1" x14ac:dyDescent="0.45">
      <c r="D142" s="449" t="s">
        <v>1049</v>
      </c>
      <c r="J142" s="460">
        <f>Criteria!E64</f>
        <v>0</v>
      </c>
      <c r="R142" s="512" t="str">
        <f t="shared" ref="R142:R145" si="0">IF(J142=0,"DELETE"," ")</f>
        <v>DELETE</v>
      </c>
    </row>
    <row r="143" spans="4:18" ht="31.5" customHeight="1" x14ac:dyDescent="0.45">
      <c r="J143" s="460">
        <f>Criteria!E65</f>
        <v>0</v>
      </c>
      <c r="R143" s="512" t="str">
        <f t="shared" si="0"/>
        <v>DELETE</v>
      </c>
    </row>
    <row r="144" spans="4:18" ht="31.5" customHeight="1" x14ac:dyDescent="0.45">
      <c r="J144" s="460">
        <f>Criteria!E66</f>
        <v>0</v>
      </c>
      <c r="R144" s="512" t="str">
        <f t="shared" si="0"/>
        <v>DELETE</v>
      </c>
    </row>
    <row r="145" spans="4:18" ht="31.5" customHeight="1" x14ac:dyDescent="0.45">
      <c r="J145" s="460">
        <f>Criteria!E67</f>
        <v>0</v>
      </c>
      <c r="R145" s="512" t="str">
        <f t="shared" si="0"/>
        <v>DELETE</v>
      </c>
    </row>
    <row r="146" spans="4:18" ht="31.5" customHeight="1" x14ac:dyDescent="0.45">
      <c r="J146" s="460"/>
    </row>
    <row r="147" spans="4:18" ht="31.5" customHeight="1" x14ac:dyDescent="0.45">
      <c r="D147" s="449" t="s">
        <v>124</v>
      </c>
      <c r="J147" s="449">
        <f>Criteria!E69</f>
        <v>0</v>
      </c>
      <c r="R147" s="512" t="str">
        <f>IF(J147=0,"DELETE"," ")</f>
        <v>DELETE</v>
      </c>
    </row>
    <row r="148" spans="4:18" ht="31.5" customHeight="1" x14ac:dyDescent="0.45">
      <c r="J148" s="449">
        <f>Criteria!E70</f>
        <v>0</v>
      </c>
      <c r="R148" s="512" t="str">
        <f>IF(J148=0,"DELETE"," ")</f>
        <v>DELETE</v>
      </c>
    </row>
    <row r="149" spans="4:18" ht="31.5" customHeight="1" x14ac:dyDescent="0.45">
      <c r="J149" s="460">
        <f>Criteria!E71</f>
        <v>0</v>
      </c>
      <c r="R149" s="512" t="str">
        <f>IF(J149=0,"DELETE"," ")</f>
        <v>DELETE</v>
      </c>
    </row>
    <row r="150" spans="4:18" ht="31.5" customHeight="1" x14ac:dyDescent="0.45">
      <c r="J150" s="460">
        <f>Criteria!E72</f>
        <v>0</v>
      </c>
      <c r="R150" s="512" t="str">
        <f>IF(J150=0,"DELETE"," ")</f>
        <v>DELETE</v>
      </c>
    </row>
    <row r="151" spans="4:18" ht="31.5" customHeight="1" x14ac:dyDescent="0.45">
      <c r="J151" s="460"/>
    </row>
    <row r="152" spans="4:18" ht="31.5" customHeight="1" x14ac:dyDescent="0.45">
      <c r="D152" s="449" t="s">
        <v>922</v>
      </c>
      <c r="J152" s="449">
        <f>Criteria!E74</f>
        <v>0</v>
      </c>
      <c r="R152" s="512" t="str">
        <f t="shared" ref="R152:R154" si="1">IF(J152=0,"DELETE"," ")</f>
        <v>DELETE</v>
      </c>
    </row>
    <row r="153" spans="4:18" ht="31.5" customHeight="1" x14ac:dyDescent="0.45">
      <c r="J153" s="449">
        <f>Criteria!E75</f>
        <v>0</v>
      </c>
      <c r="R153" s="512" t="str">
        <f t="shared" si="1"/>
        <v>DELETE</v>
      </c>
    </row>
    <row r="154" spans="4:18" ht="31.5" customHeight="1" x14ac:dyDescent="0.45">
      <c r="J154" s="449">
        <f>Criteria!E76</f>
        <v>0</v>
      </c>
      <c r="R154" s="512" t="str">
        <f t="shared" si="1"/>
        <v>DELETE</v>
      </c>
    </row>
    <row r="155" spans="4:18" ht="31.5" customHeight="1" x14ac:dyDescent="0.45"/>
    <row r="156" spans="4:18" ht="31.5" customHeight="1" x14ac:dyDescent="0.45">
      <c r="D156" s="449" t="s">
        <v>950</v>
      </c>
      <c r="J156" s="449" t="str">
        <f>Criteria!E18</f>
        <v>2000/123456/07</v>
      </c>
    </row>
    <row r="157" spans="4:18" ht="31.5" customHeight="1" x14ac:dyDescent="0.45"/>
    <row r="158" spans="4:18" ht="31.5" customHeight="1" x14ac:dyDescent="0.45">
      <c r="D158" s="449" t="s">
        <v>804</v>
      </c>
      <c r="J158" s="627"/>
    </row>
    <row r="159" spans="4:18" ht="31.5" customHeight="1" x14ac:dyDescent="0.45"/>
    <row r="160" spans="4:18" ht="31.5" customHeight="1" x14ac:dyDescent="0.45"/>
    <row r="161" spans="4:18" ht="31.5" customHeight="1" x14ac:dyDescent="0.45">
      <c r="J161" s="460"/>
    </row>
    <row r="162" spans="4:18" ht="31.5" customHeight="1" x14ac:dyDescent="0.45">
      <c r="J162" s="627"/>
    </row>
    <row r="163" spans="4:18" ht="31.5" customHeight="1" x14ac:dyDescent="0.45"/>
    <row r="164" spans="4:18" ht="31.5" customHeight="1" x14ac:dyDescent="0.45"/>
    <row r="165" spans="4:18" ht="31.5" customHeight="1" x14ac:dyDescent="0.45"/>
    <row r="166" spans="4:18" ht="31.5" customHeight="1" x14ac:dyDescent="0.45"/>
    <row r="167" spans="4:18" ht="31.5" customHeight="1" x14ac:dyDescent="0.45"/>
    <row r="168" spans="4:18" ht="31.5" customHeight="1" x14ac:dyDescent="0.45"/>
    <row r="169" spans="4:18" ht="31.5" customHeight="1" x14ac:dyDescent="0.45"/>
    <row r="170" spans="4:18" ht="31.5" customHeight="1" x14ac:dyDescent="0.45">
      <c r="D170" s="450" t="str">
        <f>Criteria!E9</f>
        <v>ABC COMPANY (PROPRIETARY) LIMITED</v>
      </c>
      <c r="O170" s="529" t="s">
        <v>121</v>
      </c>
      <c r="P170" s="459"/>
      <c r="Q170" s="451">
        <f>MAX($Q$114:Q169)+1</f>
        <v>2</v>
      </c>
    </row>
    <row r="171" spans="4:18" ht="31.5" customHeight="1" x14ac:dyDescent="0.45">
      <c r="D171" s="450" t="str">
        <f>Criteria!E10</f>
        <v>T/A SEAFRONT HOTEL, SEAFRONT RESTAURANT AND RENTAL PROPERTIES</v>
      </c>
      <c r="R171" s="512" t="str">
        <f>IF(D171=0,"DELETE"," ")</f>
        <v xml:space="preserve"> </v>
      </c>
    </row>
    <row r="172" spans="4:18" ht="31.5" customHeight="1" x14ac:dyDescent="0.45"/>
    <row r="173" spans="4:18" ht="31.5" customHeight="1" x14ac:dyDescent="0.45">
      <c r="D173" s="450" t="str">
        <f>IF(MAX(Criteria!I41:I45)&gt;1,"DIRECTORS' RESPONSIBILITY STATEMENT AND APPROVAL","DIRECTOR'S RESPONSIBILITY STATEMENT AND APPROVAL")</f>
        <v>DIRECTORS' RESPONSIBILITY STATEMENT AND APPROVAL</v>
      </c>
    </row>
    <row r="174" spans="4:18" ht="31.5" customHeight="1" x14ac:dyDescent="0.45">
      <c r="D174" s="461"/>
      <c r="E174" s="461"/>
      <c r="F174" s="461"/>
      <c r="G174" s="461"/>
      <c r="H174" s="461"/>
      <c r="I174" s="461"/>
      <c r="J174" s="461"/>
      <c r="K174" s="461"/>
      <c r="L174" s="461"/>
      <c r="M174" s="628"/>
      <c r="N174" s="629"/>
      <c r="O174" s="630"/>
      <c r="P174" s="631"/>
      <c r="Q174" s="461"/>
    </row>
    <row r="175" spans="4:18" ht="31.5" customHeight="1" x14ac:dyDescent="0.45"/>
    <row r="176" spans="4:18" ht="31.5" customHeight="1" x14ac:dyDescent="0.45"/>
    <row r="177" spans="4:4" ht="31.5" customHeight="1" x14ac:dyDescent="0.45">
      <c r="D177" s="450" t="str">
        <f>IF(MAX(Criteria!I41:I45)&gt;1,"DIRECTORS' RESPONSIBILITY STATEMENT","DIRECTOR'S RESPONSIBILITY STATEMENT")</f>
        <v>DIRECTORS' RESPONSIBILITY STATEMENT</v>
      </c>
    </row>
    <row r="178" spans="4:4" ht="31.5" customHeight="1" x14ac:dyDescent="0.45"/>
    <row r="179" spans="4:4" ht="31.5" customHeight="1" x14ac:dyDescent="0.45">
      <c r="D179" s="449" t="str">
        <f>CONCATENATE("The ",IF(MAX(Criteria!I41:I45)&gt;1,"directors are ","director is "),"responsible for the preparation and fair presentation of the annual Financial")</f>
        <v>The directors are responsible for the preparation and fair presentation of the annual Financial</v>
      </c>
    </row>
    <row r="180" spans="4:4" ht="31.5" customHeight="1" x14ac:dyDescent="0.45">
      <c r="D180" s="449" t="str">
        <f>CONCATENATE("Statements of ",Criteria!E11,", comprising the statement of")</f>
        <v>Statements of ABC Company (Pty) Ltd, comprising the statement of</v>
      </c>
    </row>
    <row r="181" spans="4:4" ht="31.5" customHeight="1" x14ac:dyDescent="0.45">
      <c r="D181" s="449" t="str">
        <f>CONCATENATE("financial position as at ",Criteria!G24,", statements of comprehensive income, changes in equity")</f>
        <v>financial position as at 29 February 2024, statements of comprehensive income, changes in equity</v>
      </c>
    </row>
    <row r="182" spans="4:4" ht="31.5" customHeight="1" x14ac:dyDescent="0.45">
      <c r="D182" s="449" t="s">
        <v>1270</v>
      </c>
    </row>
    <row r="183" spans="4:4" ht="31.5" customHeight="1" x14ac:dyDescent="0.45">
      <c r="D183" s="449" t="s">
        <v>1271</v>
      </c>
    </row>
    <row r="184" spans="4:4" ht="31.5" customHeight="1" x14ac:dyDescent="0.45">
      <c r="D184" s="449" t="s">
        <v>1480</v>
      </c>
    </row>
    <row r="185" spans="4:4" ht="31.5" customHeight="1" x14ac:dyDescent="0.45">
      <c r="D185" s="449" t="s">
        <v>1277</v>
      </c>
    </row>
    <row r="186" spans="4:4" ht="31.5" customHeight="1" x14ac:dyDescent="0.45"/>
    <row r="187" spans="4:4" ht="31.5" customHeight="1" x14ac:dyDescent="0.45">
      <c r="D187" s="449" t="str">
        <f>CONCATENATE("The ",IF(MAX(Criteria!I41:I45)&gt;1,"directors are ","director is "),"also responsible for such internal control as ",IF(MAX(Criteria!I41:I45)&gt;1,"they determine is ","is determined "),"necessary to")</f>
        <v>The directors are also responsible for such internal control as they determine is necessary to</v>
      </c>
    </row>
    <row r="188" spans="4:4" ht="31.5" customHeight="1" x14ac:dyDescent="0.45">
      <c r="D188" s="449" t="s">
        <v>1272</v>
      </c>
    </row>
    <row r="189" spans="4:4" ht="31.5" customHeight="1" x14ac:dyDescent="0.45">
      <c r="D189" s="449" t="s">
        <v>1273</v>
      </c>
    </row>
    <row r="190" spans="4:4" ht="31.5" customHeight="1" x14ac:dyDescent="0.45">
      <c r="D190" s="449" t="str">
        <f>CONCATENATE("system of risk management. The ",IF(MAX(Criteria!I41:I45)&gt;1,"directors have ","director has "),"made an assessment of the company's ability to")</f>
        <v>system of risk management. The directors have made an assessment of the company's ability to</v>
      </c>
    </row>
    <row r="191" spans="4:4" ht="31.5" customHeight="1" x14ac:dyDescent="0.45">
      <c r="D191" s="449" t="str">
        <f>CONCATENATE("continue as a going concern and ",IF(MAX(Criteria!I42:I46)&gt;1,"have no","has no")," reason to believe that the business will not be a going ")</f>
        <v xml:space="preserve">continue as a going concern and have no reason to believe that the business will not be a going </v>
      </c>
    </row>
    <row r="192" spans="4:4" ht="31.5" customHeight="1" x14ac:dyDescent="0.45">
      <c r="D192" s="449" t="s">
        <v>1274</v>
      </c>
    </row>
    <row r="193" spans="4:13" ht="31.5" customHeight="1" x14ac:dyDescent="0.45"/>
    <row r="194" spans="4:13" ht="31.5" customHeight="1" x14ac:dyDescent="0.45">
      <c r="D194" s="450" t="s">
        <v>890</v>
      </c>
    </row>
    <row r="195" spans="4:13" ht="31.5" customHeight="1" x14ac:dyDescent="0.45"/>
    <row r="196" spans="4:13" ht="31.5" customHeight="1" x14ac:dyDescent="0.45">
      <c r="D196" s="449" t="str">
        <f>CONCATENATE("The annual Financial Statements of ",Criteria!E11,", as identified")</f>
        <v>The annual Financial Statements of ABC Company (Pty) Ltd, as identified</v>
      </c>
    </row>
    <row r="197" spans="4:13" ht="31.5" customHeight="1" x14ac:dyDescent="0.45">
      <c r="D197" s="449" t="str">
        <f>CONCATENATE("in the first paragraph, ",IF(MAX(Criteria!I41:I45)&gt;1,"were approved by the Board of directors and signed on their behalf by:","was approved by the director and signed accordingly:"))</f>
        <v>in the first paragraph, were approved by the Board of directors and signed on their behalf by:</v>
      </c>
    </row>
    <row r="198" spans="4:13" ht="31.5" customHeight="1" x14ac:dyDescent="0.45"/>
    <row r="199" spans="4:13" ht="31.5" customHeight="1" x14ac:dyDescent="0.45"/>
    <row r="200" spans="4:13" ht="31.5" customHeight="1" x14ac:dyDescent="0.45"/>
    <row r="201" spans="4:13" ht="31.5" customHeight="1" x14ac:dyDescent="0.45"/>
    <row r="202" spans="4:13" ht="31.5" customHeight="1" x14ac:dyDescent="0.45"/>
    <row r="203" spans="4:13" ht="31.5" customHeight="1" x14ac:dyDescent="0.45"/>
    <row r="204" spans="4:13" ht="31.5" customHeight="1" x14ac:dyDescent="0.45"/>
    <row r="205" spans="4:13" ht="31.5" customHeight="1" x14ac:dyDescent="0.45"/>
    <row r="206" spans="4:13" ht="31.5" customHeight="1" x14ac:dyDescent="0.45"/>
    <row r="207" spans="4:13" ht="31.5" customHeight="1" x14ac:dyDescent="0.45">
      <c r="D207" s="449" t="s">
        <v>182</v>
      </c>
      <c r="M207" s="619" t="str">
        <f>IF(Criteria!F42="Signature",D207," ")</f>
        <v>. . . . . . . . . . . . . . . . . . . . . . .</v>
      </c>
    </row>
    <row r="208" spans="4:13" ht="31.5" customHeight="1" x14ac:dyDescent="0.45">
      <c r="D208" s="449" t="str">
        <f>Criteria!E41</f>
        <v>A Director</v>
      </c>
      <c r="M208" s="619" t="str">
        <f>IF(Criteria!F42="Signature",Criteria!E42," ")</f>
        <v>C Director</v>
      </c>
    </row>
    <row r="209" spans="4:11" ht="31.5" customHeight="1" x14ac:dyDescent="0.45"/>
    <row r="210" spans="4:11" ht="31.5" customHeight="1" x14ac:dyDescent="0.45"/>
    <row r="211" spans="4:11" ht="31.5" customHeight="1" x14ac:dyDescent="0.45">
      <c r="D211" s="449" t="str">
        <f>Criteria!E32</f>
        <v>Johannesburg</v>
      </c>
      <c r="H211" s="449" t="s">
        <v>126</v>
      </c>
      <c r="J211" s="689"/>
      <c r="K211" s="689"/>
    </row>
    <row r="212" spans="4:11" ht="15" customHeight="1" x14ac:dyDescent="0.45">
      <c r="J212" s="449" t="s">
        <v>1048</v>
      </c>
    </row>
    <row r="213" spans="4:11" ht="31.5" customHeight="1" x14ac:dyDescent="0.45"/>
    <row r="214" spans="4:11" ht="31.5" customHeight="1" x14ac:dyDescent="0.45"/>
    <row r="215" spans="4:11" ht="31.5" customHeight="1" x14ac:dyDescent="0.45"/>
    <row r="216" spans="4:11" ht="31.5" customHeight="1" x14ac:dyDescent="0.45"/>
    <row r="217" spans="4:11" ht="31.5" customHeight="1" x14ac:dyDescent="0.45"/>
    <row r="218" spans="4:11" ht="31.5" customHeight="1" x14ac:dyDescent="0.45"/>
    <row r="219" spans="4:11" ht="31.5" customHeight="1" x14ac:dyDescent="0.45"/>
    <row r="220" spans="4:11" ht="31.5" customHeight="1" x14ac:dyDescent="0.45"/>
    <row r="221" spans="4:11" ht="31.5" customHeight="1" x14ac:dyDescent="0.45"/>
    <row r="222" spans="4:11" ht="31.5" customHeight="1" x14ac:dyDescent="0.45"/>
    <row r="223" spans="4:11" ht="31.5" customHeight="1" x14ac:dyDescent="0.45"/>
    <row r="224" spans="4:11" ht="31.5" customHeight="1" x14ac:dyDescent="0.45"/>
    <row r="225" spans="1:18" ht="31.5" customHeight="1" x14ac:dyDescent="0.45">
      <c r="R225" s="512" t="str">
        <f>IF(Criteria!E$29="Audit"," ","DELETE")</f>
        <v>DELETE</v>
      </c>
    </row>
    <row r="226" spans="1:18" ht="31.5" customHeight="1" x14ac:dyDescent="0.45">
      <c r="O226" s="529" t="s">
        <v>121</v>
      </c>
      <c r="Q226" s="451">
        <f>MAX($Q$114:Q225)+1</f>
        <v>3</v>
      </c>
      <c r="R226" s="512" t="str">
        <f>R$225</f>
        <v>DELETE</v>
      </c>
    </row>
    <row r="227" spans="1:18" ht="31.5" customHeight="1" x14ac:dyDescent="0.45">
      <c r="R227" s="512" t="str">
        <f t="shared" ref="R227:R280" si="2">R$225</f>
        <v>DELETE</v>
      </c>
    </row>
    <row r="228" spans="1:18" ht="31.5" customHeight="1" x14ac:dyDescent="0.45">
      <c r="R228" s="512" t="str">
        <f t="shared" si="2"/>
        <v>DELETE</v>
      </c>
    </row>
    <row r="229" spans="1:18" ht="31.5" customHeight="1" x14ac:dyDescent="0.45">
      <c r="R229" s="512" t="str">
        <f t="shared" si="2"/>
        <v>DELETE</v>
      </c>
    </row>
    <row r="230" spans="1:18" ht="31.5" customHeight="1" x14ac:dyDescent="0.45">
      <c r="R230" s="512" t="str">
        <f t="shared" si="2"/>
        <v>DELETE</v>
      </c>
    </row>
    <row r="231" spans="1:18" ht="31.5" customHeight="1" x14ac:dyDescent="0.45">
      <c r="R231" s="512" t="str">
        <f t="shared" si="2"/>
        <v>DELETE</v>
      </c>
    </row>
    <row r="232" spans="1:18" ht="31.5" customHeight="1" x14ac:dyDescent="0.45">
      <c r="R232" s="512" t="str">
        <f t="shared" si="2"/>
        <v>DELETE</v>
      </c>
    </row>
    <row r="233" spans="1:18" ht="31.5" customHeight="1" x14ac:dyDescent="0.45">
      <c r="R233" s="512" t="str">
        <f t="shared" si="2"/>
        <v>DELETE</v>
      </c>
    </row>
    <row r="234" spans="1:18" ht="31.5" customHeight="1" x14ac:dyDescent="0.45">
      <c r="R234" s="512" t="str">
        <f t="shared" si="2"/>
        <v>DELETE</v>
      </c>
    </row>
    <row r="235" spans="1:18" ht="31.5" customHeight="1" x14ac:dyDescent="0.4">
      <c r="A235" s="691" t="s">
        <v>1439</v>
      </c>
      <c r="B235" s="691"/>
      <c r="C235" s="691"/>
      <c r="D235" s="691"/>
      <c r="E235" s="691"/>
      <c r="F235" s="691"/>
      <c r="G235" s="691"/>
      <c r="H235" s="691"/>
      <c r="I235" s="691"/>
      <c r="J235" s="691"/>
      <c r="K235" s="691"/>
      <c r="L235" s="691"/>
      <c r="M235" s="691"/>
      <c r="N235" s="691"/>
      <c r="O235" s="691"/>
      <c r="P235" s="691"/>
      <c r="Q235" s="691"/>
      <c r="R235" s="512" t="str">
        <f t="shared" si="2"/>
        <v>DELETE</v>
      </c>
    </row>
    <row r="236" spans="1:18" ht="31.5" customHeight="1" x14ac:dyDescent="0.45">
      <c r="R236" s="512" t="str">
        <f t="shared" si="2"/>
        <v>DELETE</v>
      </c>
    </row>
    <row r="237" spans="1:18" ht="31.5" customHeight="1" x14ac:dyDescent="0.45">
      <c r="R237" s="512" t="str">
        <f t="shared" si="2"/>
        <v>DELETE</v>
      </c>
    </row>
    <row r="238" spans="1:18" ht="31.5" customHeight="1" x14ac:dyDescent="0.45">
      <c r="D238" s="450" t="str">
        <f>CONCATENATE("TO THE ",IF(MAX(Criteria!H53:H57)=1,"SHAREHOLDER OF ","SHAREHOLDERS OF "))</f>
        <v xml:space="preserve">TO THE SHAREHOLDERS OF </v>
      </c>
      <c r="R238" s="512" t="str">
        <f t="shared" si="2"/>
        <v>DELETE</v>
      </c>
    </row>
    <row r="239" spans="1:18" ht="31.5" customHeight="1" x14ac:dyDescent="0.45">
      <c r="D239" s="450" t="str">
        <f>Criteria!E9</f>
        <v>ABC COMPANY (PROPRIETARY) LIMITED</v>
      </c>
      <c r="R239" s="512" t="str">
        <f t="shared" si="2"/>
        <v>DELETE</v>
      </c>
    </row>
    <row r="240" spans="1:18" ht="31.5" customHeight="1" x14ac:dyDescent="0.45">
      <c r="R240" s="512" t="str">
        <f t="shared" si="2"/>
        <v>DELETE</v>
      </c>
    </row>
    <row r="241" spans="4:18" ht="31.5" customHeight="1" x14ac:dyDescent="0.45">
      <c r="D241" s="449" t="s">
        <v>1440</v>
      </c>
      <c r="R241" s="512" t="str">
        <f t="shared" si="2"/>
        <v>DELETE</v>
      </c>
    </row>
    <row r="242" spans="4:18" ht="31.5" customHeight="1" x14ac:dyDescent="0.45">
      <c r="R242" s="512" t="str">
        <f t="shared" si="2"/>
        <v>DELETE</v>
      </c>
    </row>
    <row r="243" spans="4:18" ht="31.5" customHeight="1" x14ac:dyDescent="0.45">
      <c r="D243" s="462" t="s">
        <v>1441</v>
      </c>
      <c r="R243" s="512" t="str">
        <f t="shared" si="2"/>
        <v>DELETE</v>
      </c>
    </row>
    <row r="244" spans="4:18" ht="31.5" customHeight="1" x14ac:dyDescent="0.45">
      <c r="R244" s="512" t="str">
        <f t="shared" si="2"/>
        <v>DELETE</v>
      </c>
    </row>
    <row r="245" spans="4:18" ht="31.5" customHeight="1" x14ac:dyDescent="0.45">
      <c r="D245" s="449" t="str">
        <f>CONCATENATE("We have audited the Financial Statements of ",Criteria!E11,",")</f>
        <v>We have audited the Financial Statements of ABC Company (Pty) Ltd,</v>
      </c>
      <c r="R245" s="512" t="str">
        <f t="shared" si="2"/>
        <v>DELETE</v>
      </c>
    </row>
    <row r="246" spans="4:18" ht="31.5" customHeight="1" x14ac:dyDescent="0.45">
      <c r="D246" s="449" t="str">
        <f>CONCATENATE("as set out on pages ",Q516," to ",MAX(Q516:Q2578),", which comprise the statement of financial position as at")</f>
        <v>as set out on pages 8 to 64, which comprise the statement of financial position as at</v>
      </c>
      <c r="R246" s="512" t="str">
        <f t="shared" si="2"/>
        <v>DELETE</v>
      </c>
    </row>
    <row r="247" spans="4:18" ht="31.5" customHeight="1" x14ac:dyDescent="0.45">
      <c r="D247" s="449" t="str">
        <f>CONCATENATE(Criteria!G24," and the statement of comprehensive income, statement of changes in equity and")</f>
        <v>29 February 2024 and the statement of comprehensive income, statement of changes in equity and</v>
      </c>
      <c r="R247" s="512" t="str">
        <f t="shared" si="2"/>
        <v>DELETE</v>
      </c>
    </row>
    <row r="248" spans="4:18" ht="31.5" customHeight="1" x14ac:dyDescent="0.45">
      <c r="D248" s="449" t="s">
        <v>1444</v>
      </c>
      <c r="R248" s="512" t="str">
        <f t="shared" si="2"/>
        <v>DELETE</v>
      </c>
    </row>
    <row r="249" spans="4:18" ht="31.5" customHeight="1" x14ac:dyDescent="0.45">
      <c r="D249" s="449" t="s">
        <v>1443</v>
      </c>
      <c r="R249" s="512" t="str">
        <f t="shared" si="2"/>
        <v>DELETE</v>
      </c>
    </row>
    <row r="250" spans="4:18" ht="31.5" customHeight="1" x14ac:dyDescent="0.45">
      <c r="R250" s="512" t="str">
        <f t="shared" si="2"/>
        <v>DELETE</v>
      </c>
    </row>
    <row r="251" spans="4:18" ht="31.5" customHeight="1" x14ac:dyDescent="0.45">
      <c r="D251" s="449" t="s">
        <v>1445</v>
      </c>
      <c r="R251" s="512" t="str">
        <f t="shared" si="2"/>
        <v>DELETE</v>
      </c>
    </row>
    <row r="252" spans="4:18" ht="31.5" customHeight="1" x14ac:dyDescent="0.45">
      <c r="D252" s="449" t="str">
        <f>CONCATENATE("position of ",Criteria!E11," as at ",Criteria!G24," and its financial")</f>
        <v>position of ABC Company (Pty) Ltd as at 29 February 2024 and its financial</v>
      </c>
      <c r="R252" s="512" t="str">
        <f t="shared" si="2"/>
        <v>DELETE</v>
      </c>
    </row>
    <row r="253" spans="4:18" ht="31.5" customHeight="1" x14ac:dyDescent="0.45">
      <c r="D253" s="449" t="s">
        <v>1447</v>
      </c>
      <c r="R253" s="512" t="str">
        <f t="shared" si="2"/>
        <v>DELETE</v>
      </c>
    </row>
    <row r="254" spans="4:18" ht="31.5" customHeight="1" x14ac:dyDescent="0.45">
      <c r="D254" s="449" t="s">
        <v>1449</v>
      </c>
      <c r="R254" s="512" t="str">
        <f t="shared" si="2"/>
        <v>DELETE</v>
      </c>
    </row>
    <row r="255" spans="4:18" ht="31.5" customHeight="1" x14ac:dyDescent="0.45">
      <c r="D255" s="449" t="s">
        <v>1448</v>
      </c>
      <c r="R255" s="512" t="str">
        <f t="shared" si="2"/>
        <v>DELETE</v>
      </c>
    </row>
    <row r="256" spans="4:18" ht="31.5" customHeight="1" x14ac:dyDescent="0.45">
      <c r="R256" s="512" t="str">
        <f t="shared" si="2"/>
        <v>DELETE</v>
      </c>
    </row>
    <row r="257" spans="4:18" ht="31.5" customHeight="1" x14ac:dyDescent="0.45">
      <c r="R257" s="512" t="str">
        <f t="shared" si="2"/>
        <v>DELETE</v>
      </c>
    </row>
    <row r="258" spans="4:18" ht="31.5" customHeight="1" x14ac:dyDescent="0.45">
      <c r="R258" s="512" t="str">
        <f t="shared" si="2"/>
        <v>DELETE</v>
      </c>
    </row>
    <row r="259" spans="4:18" ht="31.5" customHeight="1" x14ac:dyDescent="0.45">
      <c r="R259" s="512" t="str">
        <f t="shared" si="2"/>
        <v>DELETE</v>
      </c>
    </row>
    <row r="260" spans="4:18" ht="31.5" customHeight="1" x14ac:dyDescent="0.45">
      <c r="R260" s="512" t="str">
        <f t="shared" si="2"/>
        <v>DELETE</v>
      </c>
    </row>
    <row r="261" spans="4:18" ht="31.5" customHeight="1" x14ac:dyDescent="0.45">
      <c r="R261" s="512" t="str">
        <f t="shared" si="2"/>
        <v>DELETE</v>
      </c>
    </row>
    <row r="262" spans="4:18" ht="31.5" customHeight="1" x14ac:dyDescent="0.45">
      <c r="R262" s="512" t="str">
        <f t="shared" si="2"/>
        <v>DELETE</v>
      </c>
    </row>
    <row r="263" spans="4:18" ht="31.5" customHeight="1" x14ac:dyDescent="0.45">
      <c r="R263" s="512" t="str">
        <f t="shared" si="2"/>
        <v>DELETE</v>
      </c>
    </row>
    <row r="264" spans="4:18" ht="31.5" customHeight="1" x14ac:dyDescent="0.45">
      <c r="D264" s="449" t="s">
        <v>156</v>
      </c>
      <c r="R264" s="512" t="str">
        <f t="shared" si="2"/>
        <v>DELETE</v>
      </c>
    </row>
    <row r="265" spans="4:18" ht="31.5" customHeight="1" x14ac:dyDescent="0.45">
      <c r="D265" s="449" t="s">
        <v>1442</v>
      </c>
      <c r="R265" s="512" t="str">
        <f t="shared" si="2"/>
        <v>DELETE</v>
      </c>
    </row>
    <row r="266" spans="4:18" ht="31.5" customHeight="1" x14ac:dyDescent="0.45">
      <c r="R266" s="512" t="str">
        <f t="shared" si="2"/>
        <v>DELETE</v>
      </c>
    </row>
    <row r="267" spans="4:18" ht="31.5" customHeight="1" x14ac:dyDescent="0.45">
      <c r="R267" s="512" t="str">
        <f t="shared" si="2"/>
        <v>DELETE</v>
      </c>
    </row>
    <row r="268" spans="4:18" ht="31.5" customHeight="1" x14ac:dyDescent="0.45">
      <c r="R268" s="512" t="str">
        <f t="shared" si="2"/>
        <v>DELETE</v>
      </c>
    </row>
    <row r="269" spans="4:18" ht="31.5" customHeight="1" x14ac:dyDescent="0.45">
      <c r="D269" s="449" t="s">
        <v>126</v>
      </c>
      <c r="R269" s="512" t="str">
        <f t="shared" si="2"/>
        <v>DELETE</v>
      </c>
    </row>
    <row r="270" spans="4:18" ht="15" customHeight="1" x14ac:dyDescent="0.45">
      <c r="E270" s="449" t="s">
        <v>157</v>
      </c>
      <c r="R270" s="512" t="str">
        <f t="shared" si="2"/>
        <v>DELETE</v>
      </c>
    </row>
    <row r="271" spans="4:18" ht="31.5" customHeight="1" x14ac:dyDescent="0.45">
      <c r="R271" s="512" t="str">
        <f t="shared" si="2"/>
        <v>DELETE</v>
      </c>
    </row>
    <row r="272" spans="4:18" ht="31.5" customHeight="1" x14ac:dyDescent="0.45">
      <c r="D272" s="449" t="str">
        <f>Criteria!E32</f>
        <v>Johannesburg</v>
      </c>
      <c r="R272" s="512" t="str">
        <f t="shared" si="2"/>
        <v>DELETE</v>
      </c>
    </row>
    <row r="273" spans="1:18" ht="31.5" customHeight="1" x14ac:dyDescent="0.45">
      <c r="R273" s="512" t="str">
        <f t="shared" si="2"/>
        <v>DELETE</v>
      </c>
    </row>
    <row r="274" spans="1:18" ht="31.5" customHeight="1" x14ac:dyDescent="0.45">
      <c r="R274" s="512" t="str">
        <f t="shared" si="2"/>
        <v>DELETE</v>
      </c>
    </row>
    <row r="275" spans="1:18" ht="31.5" customHeight="1" x14ac:dyDescent="0.45">
      <c r="R275" s="512" t="str">
        <f t="shared" si="2"/>
        <v>DELETE</v>
      </c>
    </row>
    <row r="276" spans="1:18" ht="31.5" customHeight="1" x14ac:dyDescent="0.45">
      <c r="R276" s="512" t="str">
        <f t="shared" si="2"/>
        <v>DELETE</v>
      </c>
    </row>
    <row r="277" spans="1:18" ht="31.5" customHeight="1" x14ac:dyDescent="0.45">
      <c r="R277" s="512" t="str">
        <f t="shared" si="2"/>
        <v>DELETE</v>
      </c>
    </row>
    <row r="278" spans="1:18" ht="31.5" customHeight="1" x14ac:dyDescent="0.45">
      <c r="R278" s="512" t="str">
        <f t="shared" si="2"/>
        <v>DELETE</v>
      </c>
    </row>
    <row r="279" spans="1:18" ht="31.5" customHeight="1" x14ac:dyDescent="0.45">
      <c r="R279" s="512" t="str">
        <f t="shared" si="2"/>
        <v>DELETE</v>
      </c>
    </row>
    <row r="280" spans="1:18" ht="31.5" customHeight="1" x14ac:dyDescent="0.45">
      <c r="R280" s="512" t="str">
        <f t="shared" si="2"/>
        <v>DELETE</v>
      </c>
    </row>
    <row r="281" spans="1:18" ht="31.5" customHeight="1" x14ac:dyDescent="0.45">
      <c r="R281" s="512" t="str">
        <f>IF(Criteria!E$29="Review"," ","DELETE")</f>
        <v>DELETE</v>
      </c>
    </row>
    <row r="282" spans="1:18" ht="31.5" customHeight="1" x14ac:dyDescent="0.45">
      <c r="O282" s="529" t="s">
        <v>121</v>
      </c>
      <c r="Q282" s="451">
        <f>MAX($Q$114:Q281)+1</f>
        <v>4</v>
      </c>
      <c r="R282" s="512" t="str">
        <f>R$281</f>
        <v>DELETE</v>
      </c>
    </row>
    <row r="283" spans="1:18" ht="31.5" customHeight="1" x14ac:dyDescent="0.45">
      <c r="R283" s="512" t="str">
        <f t="shared" ref="R283:R337" si="3">R$281</f>
        <v>DELETE</v>
      </c>
    </row>
    <row r="284" spans="1:18" ht="31.5" customHeight="1" x14ac:dyDescent="0.45">
      <c r="R284" s="512" t="str">
        <f t="shared" si="3"/>
        <v>DELETE</v>
      </c>
    </row>
    <row r="285" spans="1:18" ht="31.5" customHeight="1" x14ac:dyDescent="0.45">
      <c r="R285" s="512" t="str">
        <f t="shared" si="3"/>
        <v>DELETE</v>
      </c>
    </row>
    <row r="286" spans="1:18" ht="31.5" customHeight="1" x14ac:dyDescent="0.45">
      <c r="R286" s="512" t="str">
        <f t="shared" si="3"/>
        <v>DELETE</v>
      </c>
    </row>
    <row r="287" spans="1:18" ht="31.5" customHeight="1" x14ac:dyDescent="0.45">
      <c r="R287" s="512" t="str">
        <f t="shared" si="3"/>
        <v>DELETE</v>
      </c>
    </row>
    <row r="288" spans="1:18" ht="31.5" customHeight="1" x14ac:dyDescent="0.45">
      <c r="A288" s="691" t="s">
        <v>1450</v>
      </c>
      <c r="B288" s="691"/>
      <c r="C288" s="691"/>
      <c r="D288" s="691"/>
      <c r="E288" s="691"/>
      <c r="F288" s="691"/>
      <c r="G288" s="691"/>
      <c r="H288" s="691"/>
      <c r="I288" s="691"/>
      <c r="J288" s="691"/>
      <c r="K288" s="691"/>
      <c r="L288" s="691"/>
      <c r="M288" s="691"/>
      <c r="N288" s="691"/>
      <c r="O288" s="691"/>
      <c r="P288" s="691"/>
      <c r="R288" s="512" t="str">
        <f t="shared" si="3"/>
        <v>DELETE</v>
      </c>
    </row>
    <row r="289" spans="4:18" ht="31.5" customHeight="1" x14ac:dyDescent="0.45">
      <c r="R289" s="512" t="str">
        <f t="shared" si="3"/>
        <v>DELETE</v>
      </c>
    </row>
    <row r="290" spans="4:18" ht="31.5" customHeight="1" x14ac:dyDescent="0.45">
      <c r="D290" s="450" t="str">
        <f>CONCATENATE("TO THE ",IF(MAX(Criteria!H53:H57)=1,"SHAREHOLDER OF ","SHAREHOLDERS OF "))</f>
        <v xml:space="preserve">TO THE SHAREHOLDERS OF </v>
      </c>
      <c r="R290" s="512" t="str">
        <f t="shared" si="3"/>
        <v>DELETE</v>
      </c>
    </row>
    <row r="291" spans="4:18" ht="31.5" customHeight="1" x14ac:dyDescent="0.45">
      <c r="D291" s="450" t="str">
        <f>Criteria!E9</f>
        <v>ABC COMPANY (PROPRIETARY) LIMITED</v>
      </c>
      <c r="R291" s="512" t="str">
        <f t="shared" si="3"/>
        <v>DELETE</v>
      </c>
    </row>
    <row r="292" spans="4:18" ht="31.5" customHeight="1" x14ac:dyDescent="0.45">
      <c r="R292" s="512" t="str">
        <f t="shared" si="3"/>
        <v>DELETE</v>
      </c>
    </row>
    <row r="293" spans="4:18" ht="31.5" customHeight="1" x14ac:dyDescent="0.45">
      <c r="D293" s="449" t="str">
        <f>CONCATENATE("We have reviewed the Financial Statements of ",Criteria!E11,",")</f>
        <v>We have reviewed the Financial Statements of ABC Company (Pty) Ltd,</v>
      </c>
      <c r="R293" s="512" t="str">
        <f t="shared" si="3"/>
        <v>DELETE</v>
      </c>
    </row>
    <row r="294" spans="4:18" ht="31.5" customHeight="1" x14ac:dyDescent="0.45">
      <c r="D294" s="449" t="str">
        <f>CONCATENATE("set out on pages ",Q516," to ",MAX(Q516:Q2578),", which comprise the statement of financial position as at")</f>
        <v>set out on pages 8 to 64, which comprise the statement of financial position as at</v>
      </c>
      <c r="R294" s="512" t="str">
        <f t="shared" si="3"/>
        <v>DELETE</v>
      </c>
    </row>
    <row r="295" spans="4:18" ht="31.5" customHeight="1" x14ac:dyDescent="0.45">
      <c r="D295" s="449" t="str">
        <f>CONCATENATE(Criteria!G24," and the statement of comprehensive income, statement of changes in equity")</f>
        <v>29 February 2024 and the statement of comprehensive income, statement of changes in equity</v>
      </c>
      <c r="R295" s="512" t="str">
        <f t="shared" si="3"/>
        <v>DELETE</v>
      </c>
    </row>
    <row r="296" spans="4:18" ht="31.5" customHeight="1" x14ac:dyDescent="0.45">
      <c r="D296" s="449" t="s">
        <v>1454</v>
      </c>
      <c r="R296" s="512" t="str">
        <f t="shared" si="3"/>
        <v>DELETE</v>
      </c>
    </row>
    <row r="297" spans="4:18" ht="31.5" customHeight="1" x14ac:dyDescent="0.45">
      <c r="D297" s="449" t="s">
        <v>1453</v>
      </c>
      <c r="R297" s="512" t="str">
        <f t="shared" si="3"/>
        <v>DELETE</v>
      </c>
    </row>
    <row r="298" spans="4:18" ht="31.5" customHeight="1" x14ac:dyDescent="0.45">
      <c r="R298" s="512" t="str">
        <f t="shared" si="3"/>
        <v>DELETE</v>
      </c>
    </row>
    <row r="299" spans="4:18" ht="31.5" customHeight="1" x14ac:dyDescent="0.45">
      <c r="D299" s="462" t="s">
        <v>1451</v>
      </c>
      <c r="R299" s="512" t="str">
        <f t="shared" si="3"/>
        <v>DELETE</v>
      </c>
    </row>
    <row r="300" spans="4:18" ht="31.5" customHeight="1" x14ac:dyDescent="0.45">
      <c r="R300" s="512" t="str">
        <f t="shared" si="3"/>
        <v>DELETE</v>
      </c>
    </row>
    <row r="301" spans="4:18" ht="31.5" customHeight="1" x14ac:dyDescent="0.45">
      <c r="D301" s="449" t="s">
        <v>1455</v>
      </c>
      <c r="R301" s="512" t="str">
        <f t="shared" si="3"/>
        <v>DELETE</v>
      </c>
    </row>
    <row r="302" spans="4:18" ht="31.5" customHeight="1" x14ac:dyDescent="0.45">
      <c r="D302" s="449" t="s">
        <v>1456</v>
      </c>
      <c r="R302" s="512" t="str">
        <f t="shared" si="3"/>
        <v>DELETE</v>
      </c>
    </row>
    <row r="303" spans="4:18" ht="31.5" customHeight="1" x14ac:dyDescent="0.45">
      <c r="D303" s="449" t="s">
        <v>1457</v>
      </c>
      <c r="R303" s="512" t="str">
        <f t="shared" si="3"/>
        <v>DELETE</v>
      </c>
    </row>
    <row r="304" spans="4:18" ht="31.5" customHeight="1" x14ac:dyDescent="0.45">
      <c r="D304" s="449" t="s">
        <v>1458</v>
      </c>
      <c r="R304" s="512" t="str">
        <f t="shared" si="3"/>
        <v>DELETE</v>
      </c>
    </row>
    <row r="305" spans="4:18" ht="31.5" customHeight="1" x14ac:dyDescent="0.45">
      <c r="D305" s="449" t="s">
        <v>1459</v>
      </c>
      <c r="R305" s="512" t="str">
        <f t="shared" si="3"/>
        <v>DELETE</v>
      </c>
    </row>
    <row r="306" spans="4:18" ht="31.5" customHeight="1" x14ac:dyDescent="0.45">
      <c r="D306" s="449" t="s">
        <v>1461</v>
      </c>
      <c r="R306" s="512" t="str">
        <f t="shared" si="3"/>
        <v>DELETE</v>
      </c>
    </row>
    <row r="307" spans="4:18" ht="31.5" customHeight="1" x14ac:dyDescent="0.45">
      <c r="D307" s="449" t="s">
        <v>1460</v>
      </c>
      <c r="R307" s="512" t="str">
        <f t="shared" si="3"/>
        <v>DELETE</v>
      </c>
    </row>
    <row r="308" spans="4:18" ht="31.5" customHeight="1" x14ac:dyDescent="0.45">
      <c r="R308" s="512" t="str">
        <f t="shared" si="3"/>
        <v>DELETE</v>
      </c>
    </row>
    <row r="309" spans="4:18" ht="31.5" customHeight="1" x14ac:dyDescent="0.45">
      <c r="D309" s="449" t="s">
        <v>1462</v>
      </c>
      <c r="R309" s="512" t="str">
        <f t="shared" si="3"/>
        <v>DELETE</v>
      </c>
    </row>
    <row r="310" spans="4:18" ht="31.5" customHeight="1" x14ac:dyDescent="0.45">
      <c r="D310" s="449" t="s">
        <v>1463</v>
      </c>
      <c r="R310" s="512" t="str">
        <f t="shared" si="3"/>
        <v>DELETE</v>
      </c>
    </row>
    <row r="311" spans="4:18" ht="31.5" customHeight="1" x14ac:dyDescent="0.45">
      <c r="D311" s="449" t="s">
        <v>1465</v>
      </c>
      <c r="R311" s="512" t="str">
        <f t="shared" si="3"/>
        <v>DELETE</v>
      </c>
    </row>
    <row r="312" spans="4:18" ht="31.5" customHeight="1" x14ac:dyDescent="0.45">
      <c r="D312" s="449" t="s">
        <v>1464</v>
      </c>
      <c r="R312" s="512" t="str">
        <f t="shared" si="3"/>
        <v>DELETE</v>
      </c>
    </row>
    <row r="313" spans="4:18" ht="31.5" customHeight="1" x14ac:dyDescent="0.45">
      <c r="R313" s="512" t="str">
        <f t="shared" si="3"/>
        <v>DELETE</v>
      </c>
    </row>
    <row r="314" spans="4:18" ht="31.5" customHeight="1" x14ac:dyDescent="0.45">
      <c r="D314" s="449" t="s">
        <v>1466</v>
      </c>
      <c r="R314" s="512" t="str">
        <f t="shared" si="3"/>
        <v>DELETE</v>
      </c>
    </row>
    <row r="315" spans="4:18" ht="31.5" customHeight="1" x14ac:dyDescent="0.45">
      <c r="D315" s="449" t="s">
        <v>1468</v>
      </c>
      <c r="R315" s="512" t="str">
        <f t="shared" si="3"/>
        <v>DELETE</v>
      </c>
    </row>
    <row r="316" spans="4:18" ht="31.5" customHeight="1" x14ac:dyDescent="0.45">
      <c r="D316" s="449" t="s">
        <v>1467</v>
      </c>
      <c r="R316" s="512" t="str">
        <f t="shared" si="3"/>
        <v>DELETE</v>
      </c>
    </row>
    <row r="317" spans="4:18" ht="31.5" customHeight="1" x14ac:dyDescent="0.45">
      <c r="R317" s="512" t="str">
        <f t="shared" si="3"/>
        <v>DELETE</v>
      </c>
    </row>
    <row r="318" spans="4:18" ht="31.5" customHeight="1" x14ac:dyDescent="0.45">
      <c r="D318" s="462" t="s">
        <v>1452</v>
      </c>
      <c r="R318" s="512" t="str">
        <f t="shared" si="3"/>
        <v>DELETE</v>
      </c>
    </row>
    <row r="319" spans="4:18" ht="31.5" customHeight="1" x14ac:dyDescent="0.45">
      <c r="R319" s="512" t="str">
        <f t="shared" si="3"/>
        <v>DELETE</v>
      </c>
    </row>
    <row r="320" spans="4:18" ht="31.5" customHeight="1" x14ac:dyDescent="0.45">
      <c r="D320" s="449" t="s">
        <v>1470</v>
      </c>
      <c r="R320" s="512" t="str">
        <f t="shared" si="3"/>
        <v>DELETE</v>
      </c>
    </row>
    <row r="321" spans="4:18" ht="31.5" customHeight="1" x14ac:dyDescent="0.45">
      <c r="D321" s="449" t="s">
        <v>1469</v>
      </c>
      <c r="R321" s="512" t="str">
        <f t="shared" si="3"/>
        <v>DELETE</v>
      </c>
    </row>
    <row r="322" spans="4:18" ht="31.5" customHeight="1" x14ac:dyDescent="0.45">
      <c r="D322" s="449" t="str">
        <f>CONCATENATE(Criteria!E11," as at ",Criteria!G24," and its financial performance")</f>
        <v>ABC Company (Pty) Ltd as at 29 February 2024 and its financial performance</v>
      </c>
      <c r="R322" s="512" t="str">
        <f t="shared" si="3"/>
        <v>DELETE</v>
      </c>
    </row>
    <row r="323" spans="4:18" ht="31.5" customHeight="1" x14ac:dyDescent="0.45">
      <c r="D323" s="449" t="s">
        <v>1471</v>
      </c>
      <c r="R323" s="512" t="str">
        <f t="shared" si="3"/>
        <v>DELETE</v>
      </c>
    </row>
    <row r="324" spans="4:18" ht="31.5" customHeight="1" x14ac:dyDescent="0.45">
      <c r="D324" s="449" t="s">
        <v>1472</v>
      </c>
      <c r="R324" s="512" t="str">
        <f t="shared" si="3"/>
        <v>DELETE</v>
      </c>
    </row>
    <row r="325" spans="4:18" ht="31.5" customHeight="1" x14ac:dyDescent="0.45">
      <c r="D325" s="449" t="s">
        <v>1446</v>
      </c>
      <c r="R325" s="512" t="str">
        <f t="shared" si="3"/>
        <v>DELETE</v>
      </c>
    </row>
    <row r="326" spans="4:18" ht="31.5" customHeight="1" x14ac:dyDescent="0.45">
      <c r="R326" s="512" t="str">
        <f t="shared" si="3"/>
        <v>DELETE</v>
      </c>
    </row>
    <row r="327" spans="4:18" ht="31.5" customHeight="1" x14ac:dyDescent="0.45">
      <c r="R327" s="512" t="str">
        <f t="shared" si="3"/>
        <v>DELETE</v>
      </c>
    </row>
    <row r="328" spans="4:18" ht="31.5" customHeight="1" x14ac:dyDescent="0.45">
      <c r="D328" s="449" t="s">
        <v>156</v>
      </c>
      <c r="R328" s="512" t="str">
        <f t="shared" si="3"/>
        <v>DELETE</v>
      </c>
    </row>
    <row r="329" spans="4:18" ht="31.5" customHeight="1" x14ac:dyDescent="0.45">
      <c r="D329" s="449" t="s">
        <v>804</v>
      </c>
      <c r="K329" s="449" t="s">
        <v>126</v>
      </c>
      <c r="R329" s="512" t="str">
        <f t="shared" si="3"/>
        <v>DELETE</v>
      </c>
    </row>
    <row r="330" spans="4:18" ht="15" customHeight="1" x14ac:dyDescent="0.45">
      <c r="L330" s="449" t="s">
        <v>157</v>
      </c>
      <c r="R330" s="512" t="str">
        <f t="shared" si="3"/>
        <v>DELETE</v>
      </c>
    </row>
    <row r="331" spans="4:18" ht="31.5" customHeight="1" x14ac:dyDescent="0.45">
      <c r="L331" s="449" t="str">
        <f>Criteria!E32</f>
        <v>Johannesburg</v>
      </c>
      <c r="R331" s="512" t="str">
        <f t="shared" si="3"/>
        <v>DELETE</v>
      </c>
    </row>
    <row r="332" spans="4:18" ht="31.5" customHeight="1" x14ac:dyDescent="0.45">
      <c r="R332" s="512" t="str">
        <f t="shared" si="3"/>
        <v>DELETE</v>
      </c>
    </row>
    <row r="333" spans="4:18" ht="31.5" customHeight="1" x14ac:dyDescent="0.45">
      <c r="R333" s="512" t="str">
        <f t="shared" si="3"/>
        <v>DELETE</v>
      </c>
    </row>
    <row r="334" spans="4:18" ht="31.5" customHeight="1" x14ac:dyDescent="0.45">
      <c r="R334" s="512" t="str">
        <f t="shared" si="3"/>
        <v>DELETE</v>
      </c>
    </row>
    <row r="335" spans="4:18" ht="31.5" customHeight="1" x14ac:dyDescent="0.45">
      <c r="R335" s="512" t="str">
        <f t="shared" si="3"/>
        <v>DELETE</v>
      </c>
    </row>
    <row r="336" spans="4:18" ht="31.5" customHeight="1" x14ac:dyDescent="0.45">
      <c r="R336" s="512" t="str">
        <f t="shared" si="3"/>
        <v>DELETE</v>
      </c>
    </row>
    <row r="337" spans="4:18" ht="31.5" customHeight="1" x14ac:dyDescent="0.45">
      <c r="R337" s="512" t="str">
        <f t="shared" si="3"/>
        <v>DELETE</v>
      </c>
    </row>
    <row r="338" spans="4:18" ht="31.5" customHeight="1" x14ac:dyDescent="0.45">
      <c r="R338" s="512" t="str">
        <f>IF(Criteria!E$29="Compilation"," ","DELETE")</f>
        <v xml:space="preserve"> </v>
      </c>
    </row>
    <row r="339" spans="4:18" ht="31.5" customHeight="1" x14ac:dyDescent="0.45">
      <c r="K339" s="452"/>
      <c r="L339" s="452"/>
      <c r="M339" s="40"/>
      <c r="N339" s="452"/>
      <c r="O339" s="529" t="s">
        <v>121</v>
      </c>
      <c r="Q339" s="451">
        <f>MAX($Q$114:Q338)+1</f>
        <v>5</v>
      </c>
      <c r="R339" s="512" t="str">
        <f t="shared" ref="R339:R370" si="4">R$338</f>
        <v xml:space="preserve"> </v>
      </c>
    </row>
    <row r="340" spans="4:18" ht="31.5" customHeight="1" x14ac:dyDescent="0.45">
      <c r="M340" s="527"/>
      <c r="O340" s="527"/>
      <c r="R340" s="512" t="str">
        <f t="shared" si="4"/>
        <v xml:space="preserve"> </v>
      </c>
    </row>
    <row r="341" spans="4:18" ht="31.5" customHeight="1" x14ac:dyDescent="0.45">
      <c r="L341" s="452"/>
      <c r="M341" s="40"/>
      <c r="O341" s="632"/>
      <c r="R341" s="512" t="str">
        <f t="shared" si="4"/>
        <v xml:space="preserve"> </v>
      </c>
    </row>
    <row r="342" spans="4:18" ht="31.5" customHeight="1" x14ac:dyDescent="0.45">
      <c r="L342" s="452"/>
      <c r="M342" s="40"/>
      <c r="O342" s="632"/>
      <c r="R342" s="512" t="str">
        <f t="shared" si="4"/>
        <v xml:space="preserve"> </v>
      </c>
    </row>
    <row r="343" spans="4:18" ht="31.5" customHeight="1" x14ac:dyDescent="0.45">
      <c r="L343" s="452"/>
      <c r="M343" s="527"/>
      <c r="O343" s="527"/>
      <c r="R343" s="512" t="str">
        <f t="shared" si="4"/>
        <v xml:space="preserve"> </v>
      </c>
    </row>
    <row r="344" spans="4:18" ht="31.5" customHeight="1" x14ac:dyDescent="0.45">
      <c r="R344" s="512" t="str">
        <f t="shared" si="4"/>
        <v xml:space="preserve"> </v>
      </c>
    </row>
    <row r="345" spans="4:18" ht="31.5" customHeight="1" x14ac:dyDescent="0.45">
      <c r="R345" s="512" t="str">
        <f t="shared" si="4"/>
        <v xml:space="preserve"> </v>
      </c>
    </row>
    <row r="346" spans="4:18" ht="31.5" customHeight="1" x14ac:dyDescent="0.45">
      <c r="D346" s="450" t="str">
        <f>IF(MAX(Criteria!I41:I45)&gt;1,"ACCOUNTING OFFICER'S COMPILATION REPORT TO THE DIRECTORS OF","ACCOUNTING OFFICER'S COMPILATION REPORT TO THE DIRECTOR OF")</f>
        <v>ACCOUNTING OFFICER'S COMPILATION REPORT TO THE DIRECTORS OF</v>
      </c>
      <c r="R346" s="512" t="str">
        <f t="shared" si="4"/>
        <v xml:space="preserve"> </v>
      </c>
    </row>
    <row r="347" spans="4:18" ht="31.5" customHeight="1" x14ac:dyDescent="0.45">
      <c r="D347" s="450" t="str">
        <f>Criteria!E9</f>
        <v>ABC COMPANY (PROPRIETARY) LIMITED</v>
      </c>
      <c r="R347" s="512" t="str">
        <f t="shared" si="4"/>
        <v xml:space="preserve"> </v>
      </c>
    </row>
    <row r="348" spans="4:18" ht="31.5" customHeight="1" x14ac:dyDescent="0.45">
      <c r="R348" s="512" t="str">
        <f t="shared" si="4"/>
        <v xml:space="preserve"> </v>
      </c>
    </row>
    <row r="349" spans="4:18" ht="31.5" customHeight="1" x14ac:dyDescent="0.45">
      <c r="D349" s="449" t="s">
        <v>1278</v>
      </c>
      <c r="R349" s="512" t="str">
        <f t="shared" si="4"/>
        <v xml:space="preserve"> </v>
      </c>
    </row>
    <row r="350" spans="4:18" ht="31.5" customHeight="1" x14ac:dyDescent="0.45">
      <c r="D350" s="449" t="str">
        <f>CONCATENATE(Criteria!E11,", as set out on pages ",O79," to ",MAX(Q516:Q2578),", based on information")</f>
        <v>ABC Company (Pty) Ltd, as set out on pages 8 to 64, based on information</v>
      </c>
      <c r="R350" s="512" t="str">
        <f t="shared" si="4"/>
        <v xml:space="preserve"> </v>
      </c>
    </row>
    <row r="351" spans="4:18" ht="31.5" customHeight="1" x14ac:dyDescent="0.45">
      <c r="D351" s="449" t="s">
        <v>1671</v>
      </c>
      <c r="R351" s="512" t="str">
        <f t="shared" si="4"/>
        <v xml:space="preserve"> </v>
      </c>
    </row>
    <row r="352" spans="4:18" ht="31.5" customHeight="1" x14ac:dyDescent="0.45">
      <c r="D352" s="449" t="str">
        <f>CONCATENATE(Criteria!E11," as at ",Criteria!G24,", the statement of")</f>
        <v>ABC Company (Pty) Ltd as at 29 February 2024, the statement of</v>
      </c>
      <c r="R352" s="512" t="str">
        <f t="shared" si="4"/>
        <v xml:space="preserve"> </v>
      </c>
    </row>
    <row r="353" spans="4:18" ht="31.5" customHeight="1" x14ac:dyDescent="0.45">
      <c r="D353" s="449" t="s">
        <v>1279</v>
      </c>
      <c r="R353" s="512" t="str">
        <f t="shared" si="4"/>
        <v xml:space="preserve"> </v>
      </c>
    </row>
    <row r="354" spans="4:18" ht="31.5" customHeight="1" x14ac:dyDescent="0.45">
      <c r="D354" s="449" t="s">
        <v>1280</v>
      </c>
      <c r="R354" s="512" t="str">
        <f t="shared" si="4"/>
        <v xml:space="preserve"> </v>
      </c>
    </row>
    <row r="355" spans="4:18" ht="31.5" customHeight="1" x14ac:dyDescent="0.45">
      <c r="D355" s="449" t="s">
        <v>1175</v>
      </c>
      <c r="R355" s="512" t="str">
        <f t="shared" si="4"/>
        <v xml:space="preserve"> </v>
      </c>
    </row>
    <row r="356" spans="4:18" ht="31.5" customHeight="1" x14ac:dyDescent="0.45">
      <c r="R356" s="512" t="str">
        <f t="shared" si="4"/>
        <v xml:space="preserve"> </v>
      </c>
    </row>
    <row r="357" spans="4:18" ht="31.5" customHeight="1" x14ac:dyDescent="0.45">
      <c r="D357" s="449" t="s">
        <v>1282</v>
      </c>
      <c r="R357" s="512" t="str">
        <f t="shared" si="4"/>
        <v xml:space="preserve"> </v>
      </c>
    </row>
    <row r="358" spans="4:18" ht="31.5" customHeight="1" x14ac:dyDescent="0.45">
      <c r="D358" s="449" t="s">
        <v>1281</v>
      </c>
      <c r="R358" s="512" t="str">
        <f t="shared" si="4"/>
        <v xml:space="preserve"> </v>
      </c>
    </row>
    <row r="359" spans="4:18" ht="31.5" customHeight="1" x14ac:dyDescent="0.45">
      <c r="R359" s="512" t="str">
        <f t="shared" si="4"/>
        <v xml:space="preserve"> </v>
      </c>
    </row>
    <row r="360" spans="4:18" ht="31.5" customHeight="1" x14ac:dyDescent="0.45">
      <c r="D360" s="449" t="s">
        <v>1283</v>
      </c>
      <c r="R360" s="512" t="str">
        <f t="shared" si="4"/>
        <v xml:space="preserve"> </v>
      </c>
    </row>
    <row r="361" spans="4:18" ht="31.5" customHeight="1" x14ac:dyDescent="0.45">
      <c r="D361" s="449" t="s">
        <v>1473</v>
      </c>
      <c r="R361" s="512" t="str">
        <f t="shared" si="4"/>
        <v xml:space="preserve"> </v>
      </c>
    </row>
    <row r="362" spans="4:18" ht="31.5" customHeight="1" x14ac:dyDescent="0.45">
      <c r="D362" s="449" t="s">
        <v>1474</v>
      </c>
      <c r="R362" s="512" t="str">
        <f t="shared" si="4"/>
        <v xml:space="preserve"> </v>
      </c>
    </row>
    <row r="363" spans="4:18" ht="31.5" customHeight="1" x14ac:dyDescent="0.45">
      <c r="D363" s="449" t="s">
        <v>1475</v>
      </c>
      <c r="R363" s="512" t="str">
        <f t="shared" si="4"/>
        <v xml:space="preserve"> </v>
      </c>
    </row>
    <row r="364" spans="4:18" ht="31.5" customHeight="1" x14ac:dyDescent="0.45">
      <c r="D364" s="449" t="s">
        <v>1476</v>
      </c>
      <c r="R364" s="512" t="str">
        <f t="shared" si="4"/>
        <v xml:space="preserve"> </v>
      </c>
    </row>
    <row r="365" spans="4:18" ht="31.5" customHeight="1" x14ac:dyDescent="0.45">
      <c r="R365" s="512" t="str">
        <f t="shared" si="4"/>
        <v xml:space="preserve"> </v>
      </c>
    </row>
    <row r="366" spans="4:18" ht="31.5" customHeight="1" x14ac:dyDescent="0.45">
      <c r="D366" s="449" t="s">
        <v>1288</v>
      </c>
      <c r="R366" s="512" t="str">
        <f t="shared" si="4"/>
        <v xml:space="preserve"> </v>
      </c>
    </row>
    <row r="367" spans="4:18" ht="31.5" customHeight="1" x14ac:dyDescent="0.45">
      <c r="D367" s="449" t="s">
        <v>1284</v>
      </c>
      <c r="R367" s="512" t="str">
        <f t="shared" si="4"/>
        <v xml:space="preserve"> </v>
      </c>
    </row>
    <row r="368" spans="4:18" ht="31.5" customHeight="1" x14ac:dyDescent="0.45">
      <c r="R368" s="512" t="str">
        <f t="shared" si="4"/>
        <v xml:space="preserve"> </v>
      </c>
    </row>
    <row r="369" spans="4:18" ht="31.5" customHeight="1" x14ac:dyDescent="0.45">
      <c r="D369" s="449" t="s">
        <v>1285</v>
      </c>
      <c r="R369" s="512" t="str">
        <f t="shared" si="4"/>
        <v xml:space="preserve"> </v>
      </c>
    </row>
    <row r="370" spans="4:18" ht="31.5" customHeight="1" x14ac:dyDescent="0.45">
      <c r="D370" s="449" t="s">
        <v>1286</v>
      </c>
      <c r="R370" s="512" t="str">
        <f t="shared" si="4"/>
        <v xml:space="preserve"> </v>
      </c>
    </row>
    <row r="371" spans="4:18" ht="31.5" customHeight="1" x14ac:dyDescent="0.45">
      <c r="D371" s="449" t="s">
        <v>1287</v>
      </c>
      <c r="R371" s="512" t="str">
        <f t="shared" ref="R371:R393" si="5">R$338</f>
        <v xml:space="preserve"> </v>
      </c>
    </row>
    <row r="372" spans="4:18" ht="31.5" customHeight="1" x14ac:dyDescent="0.45">
      <c r="D372" s="449" t="s">
        <v>1477</v>
      </c>
      <c r="R372" s="512" t="str">
        <f t="shared" si="5"/>
        <v xml:space="preserve"> </v>
      </c>
    </row>
    <row r="373" spans="4:18" ht="31.5" customHeight="1" x14ac:dyDescent="0.45">
      <c r="D373" s="449" t="s">
        <v>1478</v>
      </c>
      <c r="R373" s="512" t="str">
        <f t="shared" si="5"/>
        <v xml:space="preserve"> </v>
      </c>
    </row>
    <row r="374" spans="4:18" ht="31.5" customHeight="1" x14ac:dyDescent="0.45">
      <c r="R374" s="512" t="str">
        <f t="shared" si="5"/>
        <v xml:space="preserve"> </v>
      </c>
    </row>
    <row r="375" spans="4:18" ht="31.5" customHeight="1" x14ac:dyDescent="0.45">
      <c r="R375" s="512" t="str">
        <f t="shared" si="5"/>
        <v xml:space="preserve"> </v>
      </c>
    </row>
    <row r="376" spans="4:18" ht="31.5" customHeight="1" x14ac:dyDescent="0.45">
      <c r="R376" s="512" t="str">
        <f t="shared" si="5"/>
        <v xml:space="preserve"> </v>
      </c>
    </row>
    <row r="377" spans="4:18" ht="31.5" customHeight="1" x14ac:dyDescent="0.45">
      <c r="R377" s="512" t="str">
        <f t="shared" si="5"/>
        <v xml:space="preserve"> </v>
      </c>
    </row>
    <row r="378" spans="4:18" ht="31.5" customHeight="1" x14ac:dyDescent="0.45">
      <c r="D378" s="449" t="s">
        <v>156</v>
      </c>
      <c r="R378" s="512" t="str">
        <f t="shared" si="5"/>
        <v xml:space="preserve"> </v>
      </c>
    </row>
    <row r="379" spans="4:18" ht="31.5" customHeight="1" x14ac:dyDescent="0.45">
      <c r="D379" s="689" t="s">
        <v>804</v>
      </c>
      <c r="E379" s="689"/>
      <c r="F379" s="689"/>
      <c r="G379" s="689"/>
      <c r="H379" s="689"/>
      <c r="R379" s="512" t="str">
        <f t="shared" si="5"/>
        <v xml:space="preserve"> </v>
      </c>
    </row>
    <row r="380" spans="4:18" ht="31.5" customHeight="1" x14ac:dyDescent="0.45">
      <c r="R380" s="512" t="str">
        <f t="shared" si="5"/>
        <v xml:space="preserve"> </v>
      </c>
    </row>
    <row r="381" spans="4:18" ht="31.5" customHeight="1" x14ac:dyDescent="0.45">
      <c r="R381" s="512" t="str">
        <f t="shared" si="5"/>
        <v xml:space="preserve"> </v>
      </c>
    </row>
    <row r="382" spans="4:18" ht="31.5" customHeight="1" x14ac:dyDescent="0.45">
      <c r="R382" s="512" t="str">
        <f t="shared" si="5"/>
        <v xml:space="preserve"> </v>
      </c>
    </row>
    <row r="383" spans="4:18" ht="31.5" customHeight="1" x14ac:dyDescent="0.45">
      <c r="D383" s="449" t="s">
        <v>126</v>
      </c>
      <c r="E383" s="689"/>
      <c r="F383" s="689"/>
      <c r="G383" s="689"/>
      <c r="H383" s="689"/>
      <c r="R383" s="512" t="str">
        <f t="shared" si="5"/>
        <v xml:space="preserve"> </v>
      </c>
    </row>
    <row r="384" spans="4:18" ht="15" customHeight="1" x14ac:dyDescent="0.45">
      <c r="E384" s="449" t="s">
        <v>157</v>
      </c>
      <c r="R384" s="512" t="str">
        <f t="shared" si="5"/>
        <v xml:space="preserve"> </v>
      </c>
    </row>
    <row r="385" spans="4:18" ht="31.5" customHeight="1" x14ac:dyDescent="0.45">
      <c r="D385" s="449" t="str">
        <f>Criteria!E32</f>
        <v>Johannesburg</v>
      </c>
      <c r="R385" s="512" t="str">
        <f t="shared" si="5"/>
        <v xml:space="preserve"> </v>
      </c>
    </row>
    <row r="386" spans="4:18" ht="31.5" customHeight="1" x14ac:dyDescent="0.45">
      <c r="D386" s="452"/>
      <c r="R386" s="512" t="str">
        <f t="shared" si="5"/>
        <v xml:space="preserve"> </v>
      </c>
    </row>
    <row r="387" spans="4:18" ht="31.5" customHeight="1" x14ac:dyDescent="0.45">
      <c r="R387" s="512" t="str">
        <f t="shared" si="5"/>
        <v xml:space="preserve"> </v>
      </c>
    </row>
    <row r="388" spans="4:18" ht="31.5" customHeight="1" x14ac:dyDescent="0.45">
      <c r="R388" s="512" t="str">
        <f t="shared" si="5"/>
        <v xml:space="preserve"> </v>
      </c>
    </row>
    <row r="389" spans="4:18" ht="31.5" customHeight="1" x14ac:dyDescent="0.45">
      <c r="R389" s="512" t="str">
        <f t="shared" si="5"/>
        <v xml:space="preserve"> </v>
      </c>
    </row>
    <row r="390" spans="4:18" ht="31.5" customHeight="1" x14ac:dyDescent="0.45">
      <c r="R390" s="512" t="str">
        <f t="shared" si="5"/>
        <v xml:space="preserve"> </v>
      </c>
    </row>
    <row r="391" spans="4:18" ht="31.5" customHeight="1" x14ac:dyDescent="0.45">
      <c r="R391" s="512" t="str">
        <f t="shared" si="5"/>
        <v xml:space="preserve"> </v>
      </c>
    </row>
    <row r="392" spans="4:18" ht="31.5" customHeight="1" x14ac:dyDescent="0.45">
      <c r="M392" s="527"/>
      <c r="N392" s="449"/>
      <c r="O392" s="527"/>
      <c r="P392" s="449"/>
      <c r="R392" s="512" t="str">
        <f t="shared" si="5"/>
        <v xml:space="preserve"> </v>
      </c>
    </row>
    <row r="393" spans="4:18" ht="31.5" customHeight="1" x14ac:dyDescent="0.45">
      <c r="M393" s="527"/>
      <c r="N393" s="449"/>
      <c r="O393" s="527"/>
      <c r="P393" s="449"/>
      <c r="R393" s="512" t="str">
        <f t="shared" si="5"/>
        <v xml:space="preserve"> </v>
      </c>
    </row>
    <row r="394" spans="4:18" ht="31.5" customHeight="1" x14ac:dyDescent="0.45"/>
    <row r="395" spans="4:18" ht="31.5" customHeight="1" x14ac:dyDescent="0.45">
      <c r="D395" s="450" t="str">
        <f>Criteria!E9</f>
        <v>ABC COMPANY (PROPRIETARY) LIMITED</v>
      </c>
      <c r="O395" s="529" t="s">
        <v>121</v>
      </c>
      <c r="P395" s="459"/>
      <c r="Q395" s="451">
        <f>MAX($Q$114:Q394)+1</f>
        <v>6</v>
      </c>
    </row>
    <row r="396" spans="4:18" ht="31.5" customHeight="1" x14ac:dyDescent="0.45">
      <c r="D396" s="450" t="str">
        <f>Criteria!E10</f>
        <v>T/A SEAFRONT HOTEL, SEAFRONT RESTAURANT AND RENTAL PROPERTIES</v>
      </c>
      <c r="R396" s="512" t="str">
        <f>IF(D396=0,"DELETE"," ")</f>
        <v xml:space="preserve"> </v>
      </c>
    </row>
    <row r="397" spans="4:18" ht="31.5" customHeight="1" x14ac:dyDescent="0.45"/>
    <row r="398" spans="4:18" ht="31.5" customHeight="1" x14ac:dyDescent="0.45">
      <c r="D398" s="450" t="str">
        <f>IF(SUM(Criteria!I41:I45)&gt;1,"DIRECTORS' REPORT FOR THE YEAR ENDED","DIRECTOR'S REPORT FOR THE YEAR ENDED")</f>
        <v>DIRECTORS' REPORT FOR THE YEAR ENDED</v>
      </c>
      <c r="M398" s="636"/>
      <c r="N398" s="637"/>
    </row>
    <row r="399" spans="4:18" ht="31.5" customHeight="1" x14ac:dyDescent="0.45">
      <c r="D399" s="450" t="str">
        <f>Criteria!E20</f>
        <v>29 FEBRUARY 2024</v>
      </c>
      <c r="M399" s="636"/>
      <c r="N399" s="637"/>
    </row>
    <row r="400" spans="4:18" ht="31.5" customHeight="1" x14ac:dyDescent="0.45">
      <c r="D400" s="461"/>
      <c r="E400" s="461"/>
      <c r="F400" s="461"/>
      <c r="G400" s="461"/>
      <c r="H400" s="461"/>
      <c r="I400" s="461"/>
      <c r="J400" s="461"/>
      <c r="K400" s="461"/>
      <c r="L400" s="461"/>
      <c r="M400" s="628"/>
      <c r="N400" s="629"/>
      <c r="O400" s="630"/>
      <c r="P400" s="631"/>
      <c r="Q400" s="461"/>
    </row>
    <row r="401" spans="2:18" ht="31.5" customHeight="1" x14ac:dyDescent="0.45"/>
    <row r="402" spans="2:18" ht="31.5" customHeight="1" x14ac:dyDescent="0.45">
      <c r="B402" s="452"/>
      <c r="C402" s="451">
        <v>1</v>
      </c>
      <c r="D402" s="449" t="str">
        <f>IF(MAX(Criteria!I41:I45)&gt;1,"The directors have pleasure in presenting the annual Financial Statements and their annual report","The director has pleasure in presenting the annual Financial Statements and the Director's report")</f>
        <v>The directors have pleasure in presenting the annual Financial Statements and their annual report</v>
      </c>
    </row>
    <row r="403" spans="2:18" ht="31.5" customHeight="1" x14ac:dyDescent="0.45">
      <c r="B403" s="452"/>
      <c r="C403" s="451"/>
      <c r="D403" s="449" t="str">
        <f>CONCATENATE("which forms part of the Financial Statements of the company for the year ended ",Criteria!G24,".")</f>
        <v>which forms part of the Financial Statements of the company for the year ended 29 February 2024.</v>
      </c>
    </row>
    <row r="404" spans="2:18" ht="31.5" customHeight="1" x14ac:dyDescent="0.45">
      <c r="B404" s="452"/>
      <c r="C404" s="451"/>
    </row>
    <row r="405" spans="2:18" ht="31.5" customHeight="1" x14ac:dyDescent="0.45">
      <c r="B405" s="452"/>
      <c r="C405" s="451">
        <f>MAX(C$402:C404)+1</f>
        <v>2</v>
      </c>
      <c r="D405" s="450" t="s">
        <v>923</v>
      </c>
    </row>
    <row r="406" spans="2:18" ht="31.5" customHeight="1" x14ac:dyDescent="0.45">
      <c r="B406" s="452"/>
      <c r="C406" s="451"/>
      <c r="D406" s="449" t="str">
        <f>Criteria!C83</f>
        <v>The company's main objective is trading in the restaurant industry.</v>
      </c>
    </row>
    <row r="407" spans="2:18" ht="31.5" customHeight="1" x14ac:dyDescent="0.45">
      <c r="B407" s="452"/>
      <c r="C407" s="451"/>
      <c r="D407" s="449" t="str">
        <f>CONCATENATE(Criteria!E11," is registered, incorporated and operates in the")</f>
        <v>ABC Company (Pty) Ltd is registered, incorporated and operates in the</v>
      </c>
    </row>
    <row r="408" spans="2:18" ht="31.5" customHeight="1" x14ac:dyDescent="0.45">
      <c r="B408" s="452"/>
      <c r="C408" s="451"/>
      <c r="D408" s="449" t="str">
        <f>CONCATENATE("Republic of South Africa and the Company's registration number is ",Criteria!E18,".")</f>
        <v>Republic of South Africa and the Company's registration number is 2000/123456/07.</v>
      </c>
    </row>
    <row r="409" spans="2:18" ht="31.5" customHeight="1" x14ac:dyDescent="0.45">
      <c r="B409" s="452"/>
      <c r="C409" s="451"/>
      <c r="D409" s="449" t="str">
        <f>IF(Criteria!F89="No","There were no changes in the nature of the company's business during the period under review.","The company sold all it's assets in the current financial year and will be deregistered the")</f>
        <v>There were no changes in the nature of the company's business during the period under review.</v>
      </c>
    </row>
    <row r="410" spans="2:18" ht="31.5" customHeight="1" x14ac:dyDescent="0.45">
      <c r="B410" s="452"/>
      <c r="C410" s="451"/>
      <c r="D410" s="449" t="str">
        <f>IF(Criteria!F89="No"," ","following year.")</f>
        <v xml:space="preserve"> </v>
      </c>
      <c r="R410" s="512" t="str">
        <f>IF(D410=" ","DELETE"," ")</f>
        <v>DELETE</v>
      </c>
    </row>
    <row r="411" spans="2:18" ht="31.5" customHeight="1" x14ac:dyDescent="0.45">
      <c r="B411" s="452"/>
      <c r="C411" s="451"/>
    </row>
    <row r="412" spans="2:18" ht="31.5" customHeight="1" x14ac:dyDescent="0.45">
      <c r="B412" s="452"/>
      <c r="C412" s="451">
        <f>MAX(C$402:C411)+1</f>
        <v>3</v>
      </c>
      <c r="D412" s="450" t="s">
        <v>561</v>
      </c>
    </row>
    <row r="413" spans="2:18" ht="31.5" customHeight="1" x14ac:dyDescent="0.45">
      <c r="B413" s="452"/>
      <c r="C413" s="451"/>
      <c r="D413" s="449" t="s">
        <v>1481</v>
      </c>
    </row>
    <row r="414" spans="2:18" ht="31.5" customHeight="1" x14ac:dyDescent="0.45">
      <c r="B414" s="452"/>
      <c r="C414" s="451"/>
      <c r="D414" s="449" t="s">
        <v>1449</v>
      </c>
    </row>
    <row r="415" spans="2:18" ht="31.5" customHeight="1" x14ac:dyDescent="0.45">
      <c r="B415" s="452"/>
      <c r="C415" s="451"/>
      <c r="D415" s="449" t="s">
        <v>1448</v>
      </c>
    </row>
    <row r="416" spans="2:18" ht="31.5" customHeight="1" x14ac:dyDescent="0.45">
      <c r="B416" s="452"/>
      <c r="C416" s="451"/>
      <c r="D416" s="449" t="str">
        <f>IF(Criteria!F87="No"," ","The accounting policies have been applied consistently compared to the prior year.")</f>
        <v>The accounting policies have been applied consistently compared to the prior year.</v>
      </c>
      <c r="R416" s="512" t="str">
        <f>IF(D416=" ","DELETE"," ")</f>
        <v xml:space="preserve"> </v>
      </c>
    </row>
    <row r="417" spans="2:15" ht="31.5" customHeight="1" x14ac:dyDescent="0.45">
      <c r="B417" s="452"/>
      <c r="C417" s="451"/>
      <c r="D417" s="449" t="str">
        <f>CONCATENATE("The ",IF(MAX(Criteria!I41:I45)&gt;1,"directors present","director presents")," the following extracts from the Financial Statements for the current")</f>
        <v>The directors present the following extracts from the Financial Statements for the current</v>
      </c>
    </row>
    <row r="418" spans="2:15" ht="31.5" customHeight="1" x14ac:dyDescent="0.45">
      <c r="B418" s="452"/>
      <c r="C418" s="451"/>
      <c r="D418" s="449" t="s">
        <v>1289</v>
      </c>
    </row>
    <row r="419" spans="2:15" ht="31.5" customHeight="1" x14ac:dyDescent="0.45">
      <c r="B419" s="452"/>
      <c r="C419" s="451"/>
      <c r="K419" s="452"/>
      <c r="M419" s="529" t="s">
        <v>1044</v>
      </c>
    </row>
    <row r="420" spans="2:15" ht="31.5" customHeight="1" x14ac:dyDescent="0.45">
      <c r="B420" s="452"/>
      <c r="C420" s="451"/>
      <c r="K420" s="452"/>
      <c r="M420" s="529" t="s">
        <v>1042</v>
      </c>
    </row>
    <row r="421" spans="2:15" ht="31.5" customHeight="1" x14ac:dyDescent="0.45">
      <c r="B421" s="452"/>
      <c r="C421" s="451"/>
      <c r="E421" s="449" t="s">
        <v>1606</v>
      </c>
      <c r="K421" s="452"/>
      <c r="M421" s="530">
        <f>O421-SUM(TrialBalance!N229:N281)</f>
        <v>0</v>
      </c>
      <c r="N421" s="621"/>
      <c r="O421" s="635">
        <f>SUM(TrialBalance!L229:L281)</f>
        <v>0</v>
      </c>
    </row>
    <row r="422" spans="2:15" ht="9" customHeight="1" thickBot="1" x14ac:dyDescent="0.5">
      <c r="B422" s="452"/>
      <c r="C422" s="451"/>
      <c r="K422" s="452"/>
      <c r="M422" s="638"/>
      <c r="N422" s="621"/>
      <c r="O422" s="638"/>
    </row>
    <row r="423" spans="2:15" ht="9" customHeight="1" thickTop="1" x14ac:dyDescent="0.45">
      <c r="B423" s="452"/>
      <c r="C423" s="451"/>
      <c r="K423" s="452"/>
      <c r="M423" s="530"/>
      <c r="N423" s="621"/>
      <c r="O423" s="635"/>
    </row>
    <row r="424" spans="2:15" ht="31.5" customHeight="1" x14ac:dyDescent="0.45">
      <c r="B424" s="452"/>
      <c r="C424" s="451"/>
      <c r="E424" s="449" t="s">
        <v>1607</v>
      </c>
      <c r="K424" s="452"/>
      <c r="M424" s="635">
        <f>O424-(SUM(TrialBalance!N229:N233)+SUM(TrialBalance!N240:N244)+SUM(TrialBalance!N251:N253)+SUM(TrialBalance!N259:N261)+SUM(TrialBalance!N267:N269)+SUM(TrialBalance!N275:N277))</f>
        <v>0</v>
      </c>
      <c r="N424" s="621"/>
      <c r="O424" s="635">
        <f>SUM(TrialBalance!L229:L233)+SUM(TrialBalance!L240:L244)+SUM(TrialBalance!L251:L253)+SUM(TrialBalance!L259:L261)+SUM(TrialBalance!L267:L269)+SUM(TrialBalance!L275:L277)</f>
        <v>0</v>
      </c>
    </row>
    <row r="425" spans="2:15" ht="9" customHeight="1" thickBot="1" x14ac:dyDescent="0.5">
      <c r="B425" s="452"/>
      <c r="C425" s="451"/>
      <c r="M425" s="638"/>
      <c r="N425" s="621"/>
      <c r="O425" s="638"/>
    </row>
    <row r="426" spans="2:15" ht="9" customHeight="1" thickTop="1" x14ac:dyDescent="0.45">
      <c r="B426" s="452"/>
      <c r="C426" s="451"/>
      <c r="M426" s="635"/>
      <c r="N426" s="621"/>
      <c r="O426" s="635"/>
    </row>
    <row r="427" spans="2:15" ht="31.5" customHeight="1" x14ac:dyDescent="0.45">
      <c r="B427" s="452"/>
      <c r="C427" s="451"/>
      <c r="E427" s="449" t="s">
        <v>921</v>
      </c>
      <c r="M427" s="635">
        <f>O427-O614</f>
        <v>0</v>
      </c>
      <c r="N427" s="621"/>
      <c r="O427" s="635">
        <f>M614</f>
        <v>0</v>
      </c>
    </row>
    <row r="428" spans="2:15" ht="9" customHeight="1" thickBot="1" x14ac:dyDescent="0.5">
      <c r="B428" s="452"/>
      <c r="C428" s="451"/>
      <c r="M428" s="638"/>
      <c r="N428" s="621"/>
      <c r="O428" s="638"/>
    </row>
    <row r="429" spans="2:15" ht="9" customHeight="1" thickTop="1" x14ac:dyDescent="0.45">
      <c r="B429" s="452"/>
      <c r="C429" s="451"/>
      <c r="M429" s="635"/>
      <c r="N429" s="621"/>
      <c r="O429" s="639"/>
    </row>
    <row r="430" spans="2:15" ht="31.5" customHeight="1" x14ac:dyDescent="0.45">
      <c r="B430" s="452"/>
      <c r="C430" s="451"/>
      <c r="M430" s="635"/>
      <c r="N430" s="621"/>
      <c r="O430" s="635"/>
    </row>
    <row r="431" spans="2:15" ht="31.5" customHeight="1" x14ac:dyDescent="0.45">
      <c r="B431" s="452"/>
      <c r="C431" s="451"/>
      <c r="E431" s="449" t="s">
        <v>1305</v>
      </c>
      <c r="M431" s="635">
        <f>O431-SUM(O525:O526)</f>
        <v>0</v>
      </c>
      <c r="N431" s="621"/>
      <c r="O431" s="635">
        <f>SUM(M525:M526)</f>
        <v>0</v>
      </c>
    </row>
    <row r="432" spans="2:15" ht="9" customHeight="1" thickBot="1" x14ac:dyDescent="0.5">
      <c r="B432" s="452"/>
      <c r="C432" s="451"/>
      <c r="M432" s="638"/>
      <c r="N432" s="621"/>
      <c r="O432" s="638"/>
    </row>
    <row r="433" spans="2:22" ht="31.5" customHeight="1" thickTop="1" x14ac:dyDescent="0.45">
      <c r="B433" s="452"/>
      <c r="C433" s="451"/>
      <c r="M433" s="635"/>
      <c r="N433" s="621"/>
      <c r="O433" s="635"/>
    </row>
    <row r="434" spans="2:22" ht="31.5" customHeight="1" x14ac:dyDescent="0.45">
      <c r="B434" s="452"/>
      <c r="C434" s="451"/>
      <c r="M434" s="635"/>
      <c r="N434" s="621"/>
      <c r="O434" s="635"/>
    </row>
    <row r="435" spans="2:22" ht="31.5" customHeight="1" x14ac:dyDescent="0.45">
      <c r="B435" s="452"/>
      <c r="C435" s="451"/>
      <c r="E435" s="449" t="str">
        <f>IF(O435&lt;0,"Net loss before taxation","Net profit before taxation")</f>
        <v>Net profit before taxation</v>
      </c>
      <c r="M435" s="635">
        <f>O435-O548</f>
        <v>0</v>
      </c>
      <c r="N435" s="621"/>
      <c r="O435" s="635">
        <f>M548</f>
        <v>0</v>
      </c>
    </row>
    <row r="436" spans="2:22" ht="31.5" customHeight="1" x14ac:dyDescent="0.45">
      <c r="B436" s="452"/>
      <c r="C436" s="451"/>
      <c r="E436" s="449" t="s">
        <v>1043</v>
      </c>
      <c r="M436" s="635"/>
      <c r="N436" s="621"/>
      <c r="O436" s="635">
        <f>M550</f>
        <v>0</v>
      </c>
    </row>
    <row r="437" spans="2:22" ht="9" customHeight="1" x14ac:dyDescent="0.45">
      <c r="B437" s="452"/>
      <c r="C437" s="451"/>
      <c r="M437" s="635"/>
      <c r="N437" s="621"/>
      <c r="O437" s="640"/>
    </row>
    <row r="438" spans="2:22" ht="9" customHeight="1" x14ac:dyDescent="0.45">
      <c r="B438" s="452"/>
      <c r="C438" s="451"/>
      <c r="M438" s="635"/>
      <c r="N438" s="621"/>
      <c r="O438" s="635"/>
    </row>
    <row r="439" spans="2:22" ht="31.5" customHeight="1" x14ac:dyDescent="0.45">
      <c r="B439" s="452"/>
      <c r="C439" s="451"/>
      <c r="E439" s="449" t="str">
        <f>IF(O439&lt;0,"Net loss after taxation","Net profit after taxation")</f>
        <v>Net profit after taxation</v>
      </c>
      <c r="M439" s="635"/>
      <c r="N439" s="621"/>
      <c r="O439" s="635">
        <f>SUM(O435:O438)</f>
        <v>0</v>
      </c>
      <c r="V439" s="513" t="b">
        <f>O439=M553</f>
        <v>1</v>
      </c>
    </row>
    <row r="440" spans="2:22" ht="31.5" customHeight="1" x14ac:dyDescent="0.45">
      <c r="B440" s="452"/>
      <c r="C440" s="451"/>
      <c r="E440" s="449" t="s">
        <v>838</v>
      </c>
      <c r="M440" s="635"/>
      <c r="N440" s="621"/>
      <c r="O440" s="635">
        <f>-SUM(TrialBalance!L163:L164)</f>
        <v>0</v>
      </c>
    </row>
    <row r="441" spans="2:22" ht="9" customHeight="1" x14ac:dyDescent="0.45">
      <c r="B441" s="452"/>
      <c r="C441" s="451"/>
      <c r="M441" s="635"/>
      <c r="N441" s="621"/>
      <c r="O441" s="640"/>
    </row>
    <row r="442" spans="2:22" ht="9" customHeight="1" x14ac:dyDescent="0.45">
      <c r="B442" s="452"/>
      <c r="C442" s="451"/>
      <c r="M442" s="635"/>
      <c r="N442" s="621"/>
      <c r="O442" s="635"/>
    </row>
    <row r="443" spans="2:22" ht="31.5" customHeight="1" x14ac:dyDescent="0.45">
      <c r="B443" s="452"/>
      <c r="C443" s="451"/>
      <c r="E443" s="449" t="str">
        <f>IF(O443&lt;0,"Net loss for the year","Net profit for the year")</f>
        <v>Net profit for the year</v>
      </c>
      <c r="M443" s="635"/>
      <c r="N443" s="621"/>
      <c r="O443" s="635">
        <f>SUM(O439:O442)</f>
        <v>0</v>
      </c>
    </row>
    <row r="444" spans="2:22" ht="9" customHeight="1" thickBot="1" x14ac:dyDescent="0.5">
      <c r="B444" s="452"/>
      <c r="C444" s="451"/>
      <c r="M444" s="635"/>
      <c r="N444" s="621"/>
      <c r="O444" s="638"/>
    </row>
    <row r="445" spans="2:22" ht="9" customHeight="1" thickTop="1" x14ac:dyDescent="0.45">
      <c r="B445" s="452"/>
      <c r="C445" s="451"/>
      <c r="M445" s="635"/>
      <c r="N445" s="621"/>
      <c r="O445" s="635"/>
    </row>
    <row r="446" spans="2:22" ht="31.5" customHeight="1" x14ac:dyDescent="0.45">
      <c r="B446" s="452"/>
      <c r="C446" s="451"/>
    </row>
    <row r="447" spans="2:22" ht="31.5" customHeight="1" x14ac:dyDescent="0.45">
      <c r="B447" s="452"/>
      <c r="C447" s="451"/>
      <c r="D447" s="449" t="str">
        <f>IF(Criteria!F85="No","The company did not have any operations in the current financial year."," ")</f>
        <v xml:space="preserve"> </v>
      </c>
      <c r="R447" s="512" t="str">
        <f>IF(D447=" ","DELETE"," ")</f>
        <v>DELETE</v>
      </c>
    </row>
    <row r="448" spans="2:22" ht="31.5" customHeight="1" x14ac:dyDescent="0.45">
      <c r="B448" s="452"/>
      <c r="C448" s="451"/>
      <c r="D448" s="449" t="s">
        <v>1290</v>
      </c>
    </row>
    <row r="449" spans="2:18" ht="31.5" customHeight="1" x14ac:dyDescent="0.45">
      <c r="B449" s="452"/>
      <c r="C449" s="451"/>
      <c r="D449" s="449" t="str">
        <f>CONCATENATE(IF(MAX(Criteria!I41:I45)&gt;1,"directors are","director is")," of the opinion that no further comment thereon is necessary.")</f>
        <v>directors are of the opinion that no further comment thereon is necessary.</v>
      </c>
    </row>
    <row r="450" spans="2:18" ht="31.5" customHeight="1" x14ac:dyDescent="0.45">
      <c r="B450" s="452"/>
      <c r="C450" s="451"/>
    </row>
    <row r="451" spans="2:18" ht="31.5" customHeight="1" x14ac:dyDescent="0.45">
      <c r="B451" s="452"/>
      <c r="C451" s="451">
        <f>MAX(C$402:C450)+1</f>
        <v>4</v>
      </c>
      <c r="D451" s="450" t="s">
        <v>570</v>
      </c>
    </row>
    <row r="452" spans="2:18" ht="31.5" customHeight="1" x14ac:dyDescent="0.45">
      <c r="B452" s="452"/>
      <c r="C452" s="451"/>
      <c r="D452" s="449" t="str">
        <f>IF(Criteria!F91="Yes",Criteria!G91,"No dividends have been declared nor are any recommended.")</f>
        <v>No dividends have been declared nor are any recommended.</v>
      </c>
    </row>
    <row r="453" spans="2:18" ht="31.5" customHeight="1" x14ac:dyDescent="0.45">
      <c r="B453" s="452"/>
      <c r="C453" s="451"/>
    </row>
    <row r="454" spans="2:18" ht="31.5" customHeight="1" x14ac:dyDescent="0.45">
      <c r="B454" s="452"/>
      <c r="C454" s="451">
        <f>MAX(C$402:C453)+1</f>
        <v>5</v>
      </c>
      <c r="D454" s="450" t="s">
        <v>571</v>
      </c>
    </row>
    <row r="455" spans="2:18" ht="31.5" customHeight="1" x14ac:dyDescent="0.45">
      <c r="B455" s="452"/>
      <c r="C455" s="451"/>
      <c r="D455" s="449" t="str">
        <f>CONCATENATE("The authorised and issued share capital are presented at Note ",B2102," of the Notes to the Financial")</f>
        <v>The authorised and issued share capital are presented at Note 20 of the Notes to the Financial</v>
      </c>
    </row>
    <row r="456" spans="2:18" ht="31.5" customHeight="1" x14ac:dyDescent="0.45">
      <c r="B456" s="452"/>
      <c r="C456" s="451"/>
      <c r="D456" s="449" t="s">
        <v>1074</v>
      </c>
    </row>
    <row r="457" spans="2:18" ht="31.5" customHeight="1" x14ac:dyDescent="0.45">
      <c r="B457" s="452"/>
      <c r="C457" s="451"/>
      <c r="D457" s="449" t="str">
        <f>IF(Criteria!F93="No","The authorised and issued share capital remained unchanged during the financial year under review.",Criteria!G94)</f>
        <v>The authorised and issued share capital remained unchanged during the financial year under review.</v>
      </c>
    </row>
    <row r="458" spans="2:18" ht="31.5" customHeight="1" x14ac:dyDescent="0.45">
      <c r="B458" s="452"/>
      <c r="C458" s="451"/>
      <c r="D458" s="449" t="str">
        <f>IF(Criteria!F93="Yes",Criteria!G95," ")</f>
        <v xml:space="preserve"> </v>
      </c>
      <c r="R458" s="512" t="str">
        <f>IF(D458=0,"DELETE",IF(D458=" ","DELETE"," "))</f>
        <v>DELETE</v>
      </c>
    </row>
    <row r="459" spans="2:18" ht="31.5" customHeight="1" x14ac:dyDescent="0.45">
      <c r="B459" s="452"/>
      <c r="C459" s="451"/>
    </row>
    <row r="460" spans="2:18" ht="31.5" customHeight="1" x14ac:dyDescent="0.45">
      <c r="D460" s="450" t="str">
        <f>Criteria!E9</f>
        <v>ABC COMPANY (PROPRIETARY) LIMITED</v>
      </c>
      <c r="O460" s="529" t="s">
        <v>121</v>
      </c>
      <c r="P460" s="459"/>
      <c r="Q460" s="451">
        <f>MAX($Q$114:Q459)+1</f>
        <v>7</v>
      </c>
    </row>
    <row r="461" spans="2:18" ht="31.5" customHeight="1" x14ac:dyDescent="0.45">
      <c r="D461" s="450" t="str">
        <f>Criteria!E10</f>
        <v>T/A SEAFRONT HOTEL, SEAFRONT RESTAURANT AND RENTAL PROPERTIES</v>
      </c>
      <c r="R461" s="512" t="str">
        <f>IF(D461=0,"DELETE"," ")</f>
        <v xml:space="preserve"> </v>
      </c>
    </row>
    <row r="462" spans="2:18" ht="31.5" customHeight="1" x14ac:dyDescent="0.45"/>
    <row r="463" spans="2:18" ht="31.5" customHeight="1" x14ac:dyDescent="0.45">
      <c r="D463" s="450" t="str">
        <f>D398</f>
        <v>DIRECTORS' REPORT FOR THE YEAR ENDED</v>
      </c>
      <c r="M463" s="636"/>
      <c r="N463" s="637"/>
    </row>
    <row r="464" spans="2:18" ht="31.5" customHeight="1" x14ac:dyDescent="0.45">
      <c r="D464" s="450" t="str">
        <f>Criteria!E20</f>
        <v>29 FEBRUARY 2024</v>
      </c>
      <c r="J464" s="449" t="s">
        <v>303</v>
      </c>
      <c r="M464" s="636"/>
      <c r="N464" s="637"/>
    </row>
    <row r="465" spans="2:18" ht="31.5" customHeight="1" x14ac:dyDescent="0.45">
      <c r="D465" s="461"/>
      <c r="E465" s="461"/>
      <c r="F465" s="461"/>
      <c r="G465" s="461"/>
      <c r="H465" s="461"/>
      <c r="I465" s="461"/>
      <c r="J465" s="461"/>
      <c r="K465" s="461"/>
      <c r="L465" s="461"/>
      <c r="M465" s="628"/>
      <c r="N465" s="629"/>
      <c r="O465" s="630"/>
      <c r="P465" s="631"/>
      <c r="Q465" s="461"/>
    </row>
    <row r="466" spans="2:18" ht="31.5" customHeight="1" x14ac:dyDescent="0.45">
      <c r="M466" s="665"/>
      <c r="N466" s="666"/>
      <c r="O466" s="633"/>
      <c r="P466" s="634"/>
    </row>
    <row r="467" spans="2:18" ht="31.5" customHeight="1" x14ac:dyDescent="0.45">
      <c r="C467" s="451">
        <f>MAX(C$402:C466)+1</f>
        <v>6</v>
      </c>
      <c r="D467" s="450" t="s">
        <v>128</v>
      </c>
      <c r="M467" s="665"/>
      <c r="N467" s="666"/>
      <c r="O467" s="633"/>
      <c r="P467" s="634"/>
    </row>
    <row r="468" spans="2:18" ht="31.5" customHeight="1" x14ac:dyDescent="0.45">
      <c r="D468" s="449" t="str">
        <f>IF(Criteria!F97="Yes",Criteria!G98,"No fundamental change in the nature or use of fixed assets took place during the financial year.")</f>
        <v>No fundamental change in the nature or use of fixed assets took place during the financial year.</v>
      </c>
      <c r="M468" s="665"/>
      <c r="N468" s="666"/>
      <c r="O468" s="633"/>
      <c r="P468" s="634"/>
    </row>
    <row r="469" spans="2:18" ht="31.5" customHeight="1" x14ac:dyDescent="0.45">
      <c r="M469" s="665"/>
      <c r="N469" s="666"/>
      <c r="O469" s="633"/>
      <c r="P469" s="634"/>
    </row>
    <row r="470" spans="2:18" ht="31.5" customHeight="1" x14ac:dyDescent="0.45">
      <c r="B470" s="452"/>
      <c r="C470" s="451">
        <f>MAX(C$402:C469)+1</f>
        <v>7</v>
      </c>
      <c r="D470" s="450" t="str">
        <f>IF(MAX(Criteria!I41:I45)&gt;1,"DIRECTORS","DIRECTOR")</f>
        <v>DIRECTORS</v>
      </c>
    </row>
    <row r="471" spans="2:18" ht="31.5" customHeight="1" x14ac:dyDescent="0.45">
      <c r="B471" s="452"/>
      <c r="C471" s="451"/>
      <c r="D471" s="449" t="str">
        <f>IF(MAX(Criteria!I41:I45)&gt;1,"The directors in office at the date of the financial year end are as follows:","The director in office at the date of the financial year end is as follows:")</f>
        <v>The directors in office at the date of the financial year end are as follows:</v>
      </c>
    </row>
    <row r="472" spans="2:18" ht="31.5" customHeight="1" x14ac:dyDescent="0.45">
      <c r="B472" s="452"/>
      <c r="C472" s="451"/>
      <c r="D472" s="450"/>
      <c r="M472" s="619" t="s">
        <v>918</v>
      </c>
    </row>
    <row r="473" spans="2:18" ht="31.5" customHeight="1" x14ac:dyDescent="0.45">
      <c r="B473" s="452"/>
      <c r="C473" s="451"/>
      <c r="D473" s="449" t="str">
        <f>Criteria!E41</f>
        <v>A Director</v>
      </c>
      <c r="M473" s="525" t="str">
        <f>Criteria!G41</f>
        <v>RSA</v>
      </c>
    </row>
    <row r="474" spans="2:18" ht="31.5" customHeight="1" x14ac:dyDescent="0.45">
      <c r="C474" s="451"/>
      <c r="D474" s="449" t="str">
        <f>Criteria!E42</f>
        <v>C Director</v>
      </c>
      <c r="M474" s="525" t="str">
        <f>Criteria!G42</f>
        <v>RSA</v>
      </c>
      <c r="R474" s="512" t="str">
        <f>IF(D474=0,"DELETE"," ")</f>
        <v xml:space="preserve"> </v>
      </c>
    </row>
    <row r="475" spans="2:18" ht="31.5" customHeight="1" x14ac:dyDescent="0.45">
      <c r="C475" s="451"/>
      <c r="D475" s="449">
        <f>Criteria!E43</f>
        <v>0</v>
      </c>
      <c r="M475" s="525">
        <f>Criteria!G43</f>
        <v>0</v>
      </c>
      <c r="R475" s="512" t="str">
        <f>IF(D475=0,"DELETE"," ")</f>
        <v>DELETE</v>
      </c>
    </row>
    <row r="476" spans="2:18" ht="31.5" customHeight="1" x14ac:dyDescent="0.45">
      <c r="C476" s="451"/>
      <c r="D476" s="449">
        <f>Criteria!E44</f>
        <v>0</v>
      </c>
      <c r="M476" s="525">
        <f>Criteria!G44</f>
        <v>0</v>
      </c>
      <c r="R476" s="512" t="str">
        <f>IF(D476=0,"DELETE"," ")</f>
        <v>DELETE</v>
      </c>
    </row>
    <row r="477" spans="2:18" ht="31.5" customHeight="1" x14ac:dyDescent="0.45">
      <c r="C477" s="451"/>
      <c r="D477" s="449">
        <f>Criteria!E45</f>
        <v>0</v>
      </c>
      <c r="M477" s="525">
        <f>Criteria!G45</f>
        <v>0</v>
      </c>
      <c r="R477" s="512" t="str">
        <f>IF(D477=0,"DELETE"," ")</f>
        <v>DELETE</v>
      </c>
    </row>
    <row r="478" spans="2:18" ht="31.5" customHeight="1" x14ac:dyDescent="0.45">
      <c r="C478" s="451"/>
    </row>
    <row r="479" spans="2:18" ht="31.5" customHeight="1" x14ac:dyDescent="0.45">
      <c r="C479" s="451"/>
      <c r="D479" s="449" t="str">
        <f>IF(Criteria!G50="Yes",Criteria!G51,"There have been no changes to the directorate during the period under review.")</f>
        <v>There have been no changes to the directorate during the period under review.</v>
      </c>
    </row>
    <row r="480" spans="2:18" ht="31.5" customHeight="1" x14ac:dyDescent="0.45"/>
    <row r="481" spans="2:18" ht="31.5" customHeight="1" x14ac:dyDescent="0.45">
      <c r="C481" s="451">
        <f>MAX(C$402:C480)+1</f>
        <v>8</v>
      </c>
      <c r="D481" s="450" t="s">
        <v>924</v>
      </c>
    </row>
    <row r="482" spans="2:18" ht="31.5" customHeight="1" x14ac:dyDescent="0.45">
      <c r="C482" s="451"/>
      <c r="D482" s="449" t="s">
        <v>1291</v>
      </c>
    </row>
    <row r="483" spans="2:18" ht="31.5" customHeight="1" x14ac:dyDescent="0.45">
      <c r="C483" s="451"/>
      <c r="D483" s="449" t="s">
        <v>1292</v>
      </c>
    </row>
    <row r="484" spans="2:18" ht="31.5" customHeight="1" x14ac:dyDescent="0.45">
      <c r="C484" s="451"/>
      <c r="D484" s="449" t="s">
        <v>1294</v>
      </c>
    </row>
    <row r="485" spans="2:18" ht="33" customHeight="1" x14ac:dyDescent="0.45">
      <c r="C485" s="451"/>
      <c r="D485" s="449" t="s">
        <v>1293</v>
      </c>
    </row>
    <row r="486" spans="2:18" ht="31.5" customHeight="1" x14ac:dyDescent="0.45"/>
    <row r="487" spans="2:18" ht="31.5" customHeight="1" x14ac:dyDescent="0.45">
      <c r="C487" s="451">
        <f>MAX(C$402:C486)+1</f>
        <v>9</v>
      </c>
      <c r="D487" s="450" t="s">
        <v>572</v>
      </c>
    </row>
    <row r="488" spans="2:18" ht="31.5" customHeight="1" x14ac:dyDescent="0.45">
      <c r="D488" s="449" t="str">
        <f>IF(Criteria!F100="No","No material fact or event that could have a major impact on the financial position of the company",Criteria!G102 )</f>
        <v>No material fact or event that could have a major impact on the financial position of the company</v>
      </c>
    </row>
    <row r="489" spans="2:18" ht="31.5" customHeight="1" x14ac:dyDescent="0.45">
      <c r="D489" s="449" t="str">
        <f>IF(Criteria!F100="No","or its results took place between the date of the Financial Statements and the date of approval",Criteria!G103)</f>
        <v>or its results took place between the date of the Financial Statements and the date of approval</v>
      </c>
      <c r="R489" s="512" t="str">
        <f>IF(D489=0,"DELETE"," ")</f>
        <v xml:space="preserve"> </v>
      </c>
    </row>
    <row r="490" spans="2:18" ht="31.5" customHeight="1" x14ac:dyDescent="0.45">
      <c r="D490" s="449" t="str">
        <f>IF(Criteria!F100="No","thereof. ",Criteria!G104)</f>
        <v xml:space="preserve">thereof. </v>
      </c>
      <c r="R490" s="512" t="str">
        <f>IF(D490=0,"DELETE"," ")</f>
        <v xml:space="preserve"> </v>
      </c>
    </row>
    <row r="491" spans="2:18" ht="31.5" customHeight="1" x14ac:dyDescent="0.45">
      <c r="R491" s="512" t="str">
        <f>R492</f>
        <v>DELETE</v>
      </c>
    </row>
    <row r="492" spans="2:18" ht="31.5" customHeight="1" x14ac:dyDescent="0.45">
      <c r="B492" s="451"/>
      <c r="C492" s="451">
        <f>MAX(C$402:C491)+1</f>
        <v>10</v>
      </c>
      <c r="D492" s="450" t="s">
        <v>232</v>
      </c>
      <c r="R492" s="512" t="str">
        <f>R493</f>
        <v>DELETE</v>
      </c>
    </row>
    <row r="493" spans="2:18" ht="31.5" customHeight="1" x14ac:dyDescent="0.45">
      <c r="B493" s="451"/>
      <c r="C493" s="450"/>
      <c r="D493" s="449" t="str">
        <f>IF(Criteria!F106="No","No provision is being made for deferred taxation as there are no temporary differences between"," ")</f>
        <v xml:space="preserve"> </v>
      </c>
      <c r="R493" s="512" t="str">
        <f>IF(D493=" ","DELETE"," ")</f>
        <v>DELETE</v>
      </c>
    </row>
    <row r="494" spans="2:18" ht="31.5" customHeight="1" x14ac:dyDescent="0.45">
      <c r="B494" s="451"/>
      <c r="C494" s="450"/>
      <c r="D494" s="449" t="str">
        <f>IF(Criteria!F106="No","the tax bases of assets and liabilities and their carrying values for financial reporting purposes."," ")</f>
        <v xml:space="preserve"> </v>
      </c>
      <c r="R494" s="512" t="str">
        <f>IF(D494=" ","DELETE"," ")</f>
        <v>DELETE</v>
      </c>
    </row>
    <row r="495" spans="2:18" ht="31.5" customHeight="1" x14ac:dyDescent="0.45">
      <c r="R495" s="512" t="str">
        <f>R496</f>
        <v>DELETE</v>
      </c>
    </row>
    <row r="496" spans="2:18" ht="31.5" customHeight="1" x14ac:dyDescent="0.45">
      <c r="C496" s="451">
        <f>MAX(C$402:C495)+1</f>
        <v>11</v>
      </c>
      <c r="D496" s="450" t="s">
        <v>117</v>
      </c>
      <c r="R496" s="512" t="str">
        <f>R497</f>
        <v>DELETE</v>
      </c>
    </row>
    <row r="497" spans="4:18" ht="31.5" customHeight="1" x14ac:dyDescent="0.45">
      <c r="D497" s="463" t="str">
        <f>IF(Criteria!F108="No","As the company's cash flow is comprehensively disclosed in the Statement of Comprehensive"," ")</f>
        <v xml:space="preserve"> </v>
      </c>
      <c r="E497" s="452"/>
      <c r="R497" s="512" t="str">
        <f>IF(D497=" ","DELETE"," ")</f>
        <v>DELETE</v>
      </c>
    </row>
    <row r="498" spans="4:18" ht="31.5" customHeight="1" x14ac:dyDescent="0.45">
      <c r="D498" s="463" t="str">
        <f>IF(Criteria!F108="No","Income, a separate Cash Flow Statement is considered to be of no value and is therefore not"," ")</f>
        <v xml:space="preserve"> </v>
      </c>
      <c r="E498" s="452"/>
      <c r="R498" s="512" t="str">
        <f>IF(D498=" ","DELETE"," ")</f>
        <v>DELETE</v>
      </c>
    </row>
    <row r="499" spans="4:18" ht="31.5" customHeight="1" x14ac:dyDescent="0.45">
      <c r="D499" s="463" t="str">
        <f>IF(Criteria!F108="No","presented."," ")</f>
        <v xml:space="preserve"> </v>
      </c>
      <c r="E499" s="452"/>
      <c r="R499" s="512" t="str">
        <f>IF(D499=" ","DELETE"," ")</f>
        <v>DELETE</v>
      </c>
    </row>
    <row r="500" spans="4:18" ht="31.5" customHeight="1" x14ac:dyDescent="0.45">
      <c r="E500" s="452"/>
    </row>
    <row r="501" spans="4:18" ht="31.5" customHeight="1" x14ac:dyDescent="0.45"/>
    <row r="502" spans="4:18" ht="31.5" customHeight="1" x14ac:dyDescent="0.45"/>
    <row r="503" spans="4:18" ht="31.5" customHeight="1" x14ac:dyDescent="0.45"/>
    <row r="504" spans="4:18" ht="31.5" customHeight="1" x14ac:dyDescent="0.45"/>
    <row r="505" spans="4:18" ht="31.5" customHeight="1" x14ac:dyDescent="0.45"/>
    <row r="506" spans="4:18" ht="31.5" customHeight="1" x14ac:dyDescent="0.45"/>
    <row r="507" spans="4:18" ht="31.5" customHeight="1" x14ac:dyDescent="0.45"/>
    <row r="508" spans="4:18" ht="31.5" customHeight="1" x14ac:dyDescent="0.45"/>
    <row r="509" spans="4:18" ht="31.5" customHeight="1" x14ac:dyDescent="0.45"/>
    <row r="510" spans="4:18" ht="31.5" customHeight="1" x14ac:dyDescent="0.45"/>
    <row r="511" spans="4:18" ht="31.5" customHeight="1" x14ac:dyDescent="0.45"/>
    <row r="512" spans="4:18" ht="31.5" customHeight="1" x14ac:dyDescent="0.45"/>
    <row r="513" spans="2:24" ht="31.5" customHeight="1" x14ac:dyDescent="0.45"/>
    <row r="514" spans="2:24" ht="31.5" customHeight="1" x14ac:dyDescent="0.45"/>
    <row r="515" spans="2:24" ht="31.5" customHeight="1" x14ac:dyDescent="0.45"/>
    <row r="516" spans="2:24" ht="31.5" customHeight="1" x14ac:dyDescent="0.45">
      <c r="D516" s="450" t="str">
        <f>Criteria!E9</f>
        <v>ABC COMPANY (PROPRIETARY) LIMITED</v>
      </c>
      <c r="O516" s="529" t="s">
        <v>121</v>
      </c>
      <c r="Q516" s="451">
        <f>MAX($Q$114:Q515)+1</f>
        <v>8</v>
      </c>
    </row>
    <row r="517" spans="2:24" ht="31.5" customHeight="1" x14ac:dyDescent="0.45">
      <c r="D517" s="450" t="str">
        <f>Criteria!E10</f>
        <v>T/A SEAFRONT HOTEL, SEAFRONT RESTAURANT AND RENTAL PROPERTIES</v>
      </c>
      <c r="R517" s="512" t="str">
        <f>IF(D517=0,"DELETE"," ")</f>
        <v xml:space="preserve"> </v>
      </c>
    </row>
    <row r="518" spans="2:24" ht="31.5" customHeight="1" x14ac:dyDescent="0.45"/>
    <row r="519" spans="2:24" ht="31.5" customHeight="1" x14ac:dyDescent="0.45">
      <c r="D519" s="450" t="s">
        <v>794</v>
      </c>
    </row>
    <row r="520" spans="2:24" ht="31.5" customHeight="1" x14ac:dyDescent="0.45">
      <c r="D520" s="450" t="str">
        <f>Criteria!E20</f>
        <v>29 FEBRUARY 2024</v>
      </c>
    </row>
    <row r="521" spans="2:24" ht="31.5" customHeight="1" x14ac:dyDescent="0.45">
      <c r="K521" s="461"/>
      <c r="L521" s="461"/>
      <c r="M521" s="630"/>
      <c r="N521" s="631"/>
      <c r="O521" s="630"/>
    </row>
    <row r="522" spans="2:24" ht="31.5" customHeight="1" x14ac:dyDescent="0.45">
      <c r="B522" s="465"/>
      <c r="C522" s="466"/>
      <c r="D522" s="466"/>
      <c r="E522" s="466"/>
      <c r="F522" s="466"/>
      <c r="G522" s="466"/>
      <c r="H522" s="466"/>
      <c r="I522" s="466"/>
      <c r="J522" s="466"/>
      <c r="K522" s="451"/>
      <c r="L522" s="451"/>
      <c r="M522" s="525"/>
      <c r="N522" s="458"/>
      <c r="O522" s="525"/>
      <c r="P522" s="480"/>
      <c r="Q522" s="467"/>
    </row>
    <row r="523" spans="2:24" ht="31.5" customHeight="1" x14ac:dyDescent="0.45">
      <c r="B523" s="468"/>
      <c r="K523" s="451" t="s">
        <v>129</v>
      </c>
      <c r="L523" s="451"/>
      <c r="M523" s="525">
        <f>Criteria!E22</f>
        <v>2024</v>
      </c>
      <c r="N523" s="458"/>
      <c r="O523" s="525">
        <f>Criteria!E27</f>
        <v>2023</v>
      </c>
      <c r="P523" s="458"/>
      <c r="Q523" s="469"/>
    </row>
    <row r="524" spans="2:24" ht="31.5" customHeight="1" x14ac:dyDescent="0.45">
      <c r="B524" s="468"/>
      <c r="K524" s="451"/>
      <c r="L524" s="451"/>
      <c r="M524" s="529"/>
      <c r="N524" s="459"/>
      <c r="O524" s="529"/>
      <c r="P524" s="459"/>
      <c r="Q524" s="469"/>
    </row>
    <row r="525" spans="2:24" ht="31.5" customHeight="1" x14ac:dyDescent="0.45">
      <c r="B525" s="468"/>
      <c r="D525" s="449" t="s">
        <v>137</v>
      </c>
      <c r="K525" s="451">
        <f>B1070</f>
        <v>3</v>
      </c>
      <c r="L525" s="451"/>
      <c r="M525" s="531">
        <f>-SUM(TrialBalance!L4:L11)-SUM(TrialBalanceA!I4:I11)-SUM(TrialBalanceB!I4:I11)-SUM(TrialBalanceC!I4:I11)</f>
        <v>0</v>
      </c>
      <c r="N525" s="470"/>
      <c r="O525" s="531">
        <f>-SUM(TrialBalance!N4:N11)-SUM(TrialBalanceA!K4:K11)-SUM(TrialBalanceB!K4:K11)-SUM(TrialBalanceC!K4:K11)</f>
        <v>0</v>
      </c>
      <c r="P525" s="459"/>
      <c r="Q525" s="469"/>
      <c r="S525" s="517">
        <f>M525</f>
        <v>0</v>
      </c>
      <c r="T525" s="517"/>
      <c r="U525" s="517">
        <f>O525</f>
        <v>0</v>
      </c>
      <c r="V525" s="513" t="b">
        <f>M525=M1080</f>
        <v>1</v>
      </c>
      <c r="X525" s="513" t="b">
        <f>O525=O1080</f>
        <v>1</v>
      </c>
    </row>
    <row r="526" spans="2:24" ht="31.5" customHeight="1" x14ac:dyDescent="0.45">
      <c r="B526" s="468"/>
      <c r="K526" s="451"/>
      <c r="L526" s="451"/>
      <c r="M526" s="531"/>
      <c r="N526" s="470"/>
      <c r="O526" s="531"/>
      <c r="P526" s="459"/>
      <c r="Q526" s="469"/>
    </row>
    <row r="527" spans="2:24" ht="31.5" customHeight="1" x14ac:dyDescent="0.45">
      <c r="B527" s="468"/>
      <c r="D527" s="449" t="s">
        <v>138</v>
      </c>
      <c r="K527" s="451"/>
      <c r="L527" s="451"/>
      <c r="M527" s="538">
        <f>-SUM(TrialBalance!L12:L26)-SUM(TrialBalanceA!I12:I26)-SUM(TrialBalanceB!I12:I26)-SUM(TrialBalanceC!I12:I26)</f>
        <v>0</v>
      </c>
      <c r="N527" s="481"/>
      <c r="O527" s="538">
        <f>-SUM(TrialBalance!N12:N26)-SUM(TrialBalanceA!K12:K26)-SUM(TrialBalanceB!K12:K26)-SUM(TrialBalanceC!K12:K26)</f>
        <v>0</v>
      </c>
      <c r="P527" s="459"/>
      <c r="Q527" s="469"/>
      <c r="R527" s="512" t="str">
        <f>IF(M527=0,IF(O527=0,"DELETE"," ")," ")</f>
        <v>DELETE</v>
      </c>
      <c r="S527" s="517">
        <f>M527</f>
        <v>0</v>
      </c>
      <c r="T527" s="517"/>
      <c r="U527" s="517">
        <f>O527</f>
        <v>0</v>
      </c>
    </row>
    <row r="528" spans="2:24" ht="9" customHeight="1" x14ac:dyDescent="0.45">
      <c r="B528" s="468"/>
      <c r="K528" s="451"/>
      <c r="L528" s="451"/>
      <c r="M528" s="535"/>
      <c r="N528" s="473"/>
      <c r="O528" s="535"/>
      <c r="P528" s="459"/>
      <c r="Q528" s="469"/>
      <c r="R528" s="512" t="str">
        <f>R527</f>
        <v>DELETE</v>
      </c>
    </row>
    <row r="529" spans="2:28" ht="9" customHeight="1" x14ac:dyDescent="0.45">
      <c r="B529" s="468"/>
      <c r="K529" s="451"/>
      <c r="L529" s="451"/>
      <c r="M529" s="531"/>
      <c r="N529" s="470"/>
      <c r="O529" s="531"/>
      <c r="P529" s="459"/>
      <c r="Q529" s="469"/>
      <c r="R529" s="512" t="str">
        <f>R528</f>
        <v>DELETE</v>
      </c>
    </row>
    <row r="530" spans="2:28" ht="31.5" customHeight="1" x14ac:dyDescent="0.45">
      <c r="B530" s="468"/>
      <c r="D530" s="463" t="str">
        <f>IF((Y530+Z530)=3,"GROSS PROFIT/(LOSS)",(IF((Y530+Z530=4),"GROSS PROFIT","GROSS LOSS")))</f>
        <v>GROSS PROFIT</v>
      </c>
      <c r="J530" s="641"/>
      <c r="K530" s="482"/>
      <c r="L530" s="451"/>
      <c r="M530" s="531">
        <f>SUM(S525:S527)</f>
        <v>0</v>
      </c>
      <c r="N530" s="470"/>
      <c r="O530" s="531">
        <f>SUM(U525:U527)</f>
        <v>0</v>
      </c>
      <c r="P530" s="459"/>
      <c r="Q530" s="469"/>
      <c r="R530" s="512" t="str">
        <f>R529</f>
        <v>DELETE</v>
      </c>
      <c r="Y530" s="513">
        <f>IF(M530&lt;0,1,IF(M530=0,IF(O530&lt;0,1,2),2))</f>
        <v>2</v>
      </c>
      <c r="Z530" s="513">
        <f>IF(O530&lt;0,1,IF(O530=0,IF(M530&lt;0,1,2),2))</f>
        <v>2</v>
      </c>
    </row>
    <row r="531" spans="2:28" ht="31.5" customHeight="1" x14ac:dyDescent="0.45">
      <c r="B531" s="468"/>
      <c r="K531" s="451"/>
      <c r="L531" s="451"/>
      <c r="M531" s="531"/>
      <c r="N531" s="470"/>
      <c r="O531" s="531"/>
      <c r="P531" s="459"/>
      <c r="Q531" s="469"/>
      <c r="R531" s="512" t="str">
        <f>R530</f>
        <v>DELETE</v>
      </c>
    </row>
    <row r="532" spans="2:28" ht="31.5" customHeight="1" x14ac:dyDescent="0.45">
      <c r="B532" s="468"/>
      <c r="D532" s="449" t="s">
        <v>385</v>
      </c>
      <c r="K532" s="451">
        <f>B1097</f>
        <v>4</v>
      </c>
      <c r="L532" s="451"/>
      <c r="M532" s="531">
        <f>-SUM(TrialBalance!L27:L33)-SUM(TrialBalanceA!I27:I33)-SUM(TrialBalanceB!I27:I33)-SUM(TrialBalanceC!I27:I33)</f>
        <v>0</v>
      </c>
      <c r="N532" s="470"/>
      <c r="O532" s="531">
        <f>-SUM(TrialBalance!N27:N33)-SUM(TrialBalanceA!K27:K33)-SUM(TrialBalanceB!K27:K33)-SUM(TrialBalanceC!K27:K33)</f>
        <v>0</v>
      </c>
      <c r="P532" s="459"/>
      <c r="Q532" s="469"/>
      <c r="R532" s="512" t="str">
        <f>IF(M532=0,IF(O532=0,"DELETE"," ")," ")</f>
        <v>DELETE</v>
      </c>
      <c r="S532" s="517">
        <f>M532</f>
        <v>0</v>
      </c>
      <c r="T532" s="517"/>
      <c r="U532" s="517">
        <f>O532</f>
        <v>0</v>
      </c>
      <c r="V532" s="513" t="b">
        <f>M532=M1124</f>
        <v>1</v>
      </c>
      <c r="X532" s="513" t="b">
        <f>O532=O1124</f>
        <v>1</v>
      </c>
    </row>
    <row r="533" spans="2:28" ht="31.5" customHeight="1" x14ac:dyDescent="0.45">
      <c r="B533" s="468"/>
      <c r="K533" s="451"/>
      <c r="L533" s="451"/>
      <c r="M533" s="531"/>
      <c r="N533" s="470"/>
      <c r="O533" s="531"/>
      <c r="P533" s="459"/>
      <c r="Q533" s="469"/>
      <c r="R533" s="512" t="str">
        <f>R532</f>
        <v>DELETE</v>
      </c>
    </row>
    <row r="534" spans="2:28" ht="31.5" customHeight="1" x14ac:dyDescent="0.45">
      <c r="B534" s="468"/>
      <c r="D534" s="449" t="s">
        <v>1415</v>
      </c>
      <c r="K534" s="451"/>
      <c r="L534" s="451"/>
      <c r="M534" s="539">
        <f>-SUM(TrialBalance!L39:L81)-SUM(TrialBalanceA!I39:I81)-SUM(TrialBalanceB!I39:I81)-SUM(TrialBalanceC!I39:I81)</f>
        <v>0</v>
      </c>
      <c r="N534" s="475"/>
      <c r="O534" s="539">
        <f>-SUM(TrialBalance!N39:N81)-SUM(TrialBalanceA!K39:K81)-SUM(TrialBalanceB!K39:K81)-SUM(TrialBalanceC!K39:K81)</f>
        <v>0</v>
      </c>
      <c r="P534" s="459"/>
      <c r="Q534" s="469"/>
      <c r="R534" s="512" t="str">
        <f>IF(M534=0,IF(O534=0,"DELETE"," ")," ")</f>
        <v>DELETE</v>
      </c>
      <c r="S534" s="517">
        <f>M534</f>
        <v>0</v>
      </c>
      <c r="T534" s="517"/>
      <c r="U534" s="517">
        <f>O534</f>
        <v>0</v>
      </c>
    </row>
    <row r="535" spans="2:28" ht="31.5" customHeight="1" x14ac:dyDescent="0.45">
      <c r="B535" s="468"/>
      <c r="K535" s="451"/>
      <c r="L535" s="451"/>
      <c r="M535" s="531"/>
      <c r="N535" s="470"/>
      <c r="O535" s="531"/>
      <c r="P535" s="459"/>
      <c r="Q535" s="469"/>
      <c r="R535" s="512" t="str">
        <f>R534</f>
        <v>DELETE</v>
      </c>
    </row>
    <row r="536" spans="2:28" ht="31.5" customHeight="1" x14ac:dyDescent="0.45">
      <c r="B536" s="468"/>
      <c r="D536" s="449" t="s">
        <v>1304</v>
      </c>
      <c r="K536" s="451"/>
      <c r="L536" s="451"/>
      <c r="M536" s="539">
        <f>-SUM(TrialBalance!L97:L139)-SUM(TrialBalance!L154:L155)-IF(TrialBalance!L93&lt;0,0,TrialBalance!L93)-SUM(TrialBalanceA!I97:I139)-SUM(TrialBalanceA!I154:I155)-IF(TrialBalanceA!I93&lt;0,0,TrialBalanceA!I93)-SUM(TrialBalanceB!I97:I139)-SUM(TrialBalanceB!I154:I155)-IF(TrialBalanceB!I93&lt;0,0,TrialBalanceB!I93)-SUM(TrialBalanceC!I97:I139)-SUM(TrialBalanceC!I154:I155)-IF(TrialBalanceC!I93&lt;0,0,TrialBalanceC!I93)</f>
        <v>0</v>
      </c>
      <c r="N536" s="475"/>
      <c r="O536" s="539">
        <f>-SUM(TrialBalance!N97:N139)-SUM(TrialBalance!N154:N155)-IF(TrialBalance!N93&lt;0,0,TrialBalance!N93)-SUM(TrialBalanceA!K97:K139)-SUM(TrialBalanceA!K154:K155)-IF(TrialBalanceA!K93&lt;0,0,TrialBalanceA!K93)-SUM(TrialBalanceB!K97:K139)-SUM(TrialBalanceB!K154:K155)-IF(TrialBalanceB!K93&lt;0,0,TrialBalanceB!K93)-SUM(TrialBalanceC!K97:K139)-SUM(TrialBalanceC!K154:K155)-IF(TrialBalanceC!K93&lt;0,0,TrialBalanceC!K93)</f>
        <v>0</v>
      </c>
      <c r="P536" s="459"/>
      <c r="Q536" s="469"/>
      <c r="R536" s="512" t="str">
        <f>IF(M536=0,IF(O536=0,"DELETE"," ")," ")</f>
        <v>DELETE</v>
      </c>
      <c r="S536" s="517">
        <f>M536</f>
        <v>0</v>
      </c>
      <c r="T536" s="517"/>
      <c r="U536" s="517">
        <f>O536</f>
        <v>0</v>
      </c>
    </row>
    <row r="537" spans="2:28" ht="31.5" customHeight="1" x14ac:dyDescent="0.45">
      <c r="B537" s="468"/>
      <c r="K537" s="451"/>
      <c r="L537" s="451"/>
      <c r="M537" s="531"/>
      <c r="N537" s="470"/>
      <c r="O537" s="531"/>
      <c r="P537" s="459"/>
      <c r="Q537" s="469"/>
      <c r="R537" s="512" t="str">
        <f>R536</f>
        <v>DELETE</v>
      </c>
    </row>
    <row r="538" spans="2:28" ht="9" customHeight="1" x14ac:dyDescent="0.45">
      <c r="B538" s="468"/>
      <c r="K538" s="451"/>
      <c r="L538" s="451"/>
      <c r="M538" s="535"/>
      <c r="N538" s="473"/>
      <c r="O538" s="535"/>
      <c r="P538" s="459"/>
      <c r="Q538" s="469"/>
      <c r="R538" s="512" t="str">
        <f>R540</f>
        <v>DELETE</v>
      </c>
    </row>
    <row r="539" spans="2:28" ht="9" customHeight="1" x14ac:dyDescent="0.45">
      <c r="B539" s="468"/>
      <c r="K539" s="451"/>
      <c r="L539" s="451"/>
      <c r="M539" s="531"/>
      <c r="N539" s="470"/>
      <c r="O539" s="531"/>
      <c r="P539" s="459"/>
      <c r="Q539" s="469"/>
      <c r="R539" s="512" t="str">
        <f>R540</f>
        <v>DELETE</v>
      </c>
    </row>
    <row r="540" spans="2:28" ht="31.5" customHeight="1" x14ac:dyDescent="0.45">
      <c r="B540" s="468"/>
      <c r="D540" s="463" t="str">
        <f>IF((Y540+Z540)=3,"OPERATING PROFIT/(LOSS)",(IF((Y540+Z540=4),"OPERATING PROFIT","OPERATING LOSS")))</f>
        <v>OPERATING PROFIT</v>
      </c>
      <c r="K540" s="451">
        <f>B1141</f>
        <v>5</v>
      </c>
      <c r="L540" s="451"/>
      <c r="M540" s="531">
        <f>SUM(S525:S537)</f>
        <v>0</v>
      </c>
      <c r="N540" s="470"/>
      <c r="O540" s="531">
        <f>SUM(U525:U537)</f>
        <v>0</v>
      </c>
      <c r="P540" s="459"/>
      <c r="Q540" s="469"/>
      <c r="R540" s="512" t="str">
        <f>IF(M540=0,IF(O540=0,"DELETE"," ")," ")</f>
        <v>DELETE</v>
      </c>
      <c r="Y540" s="513">
        <f>IF(M540&lt;0,1,IF(M540=0,IF(O540&lt;0,1,2),2))</f>
        <v>2</v>
      </c>
      <c r="Z540" s="513">
        <f>IF(O540&lt;0,1,IF(O540=0,IF(M540&lt;0,1,2),2))</f>
        <v>2</v>
      </c>
      <c r="AB540" s="39"/>
    </row>
    <row r="541" spans="2:28" ht="31.5" customHeight="1" x14ac:dyDescent="0.45">
      <c r="B541" s="468"/>
      <c r="K541" s="451"/>
      <c r="L541" s="451"/>
      <c r="M541" s="531"/>
      <c r="N541" s="470"/>
      <c r="O541" s="531"/>
      <c r="P541" s="459"/>
      <c r="Q541" s="469"/>
      <c r="R541" s="512" t="str">
        <f>R540</f>
        <v>DELETE</v>
      </c>
    </row>
    <row r="542" spans="2:28" ht="31.5" customHeight="1" x14ac:dyDescent="0.45">
      <c r="B542" s="468"/>
      <c r="D542" s="449" t="s">
        <v>139</v>
      </c>
      <c r="K542" s="451">
        <f>B1228</f>
        <v>6</v>
      </c>
      <c r="L542" s="451"/>
      <c r="M542" s="531">
        <f>-SUM(TrialBalance!L82:L92)-SUM(TrialBalance!L94:L96)+IF(TrialBalance!L93&lt;0,-TrialBalance!L93,0)-SUM(TrialBalanceA!I82:I92)-SUM(TrialBalanceA!I94:I96)+IF(TrialBalanceA!I93&lt;0,-TrialBalanceA!I93,0)-SUM(TrialBalanceB!I82:I92)-SUM(TrialBalanceB!I94:I96)+IF(TrialBalanceB!I93&lt;0,-TrialBalanceB!I93,0)-SUM(TrialBalanceC!I82:I92)-SUM(TrialBalanceC!I94:I96)+IF(TrialBalanceC!I93&lt;0,-TrialBalanceC!I93,0)</f>
        <v>0</v>
      </c>
      <c r="N542" s="470"/>
      <c r="O542" s="531">
        <f>-SUM(TrialBalance!N82:N92)-SUM(TrialBalance!N94:N96)+IF(TrialBalance!N93&lt;0,-TrialBalance!N93,0)-SUM(TrialBalanceA!K82:K92)-SUM(TrialBalanceA!K94:K96)+IF(TrialBalanceA!K93&lt;0,-TrialBalanceA!K93,0)-SUM(TrialBalanceB!K82:K92)-SUM(TrialBalanceB!K94:K96)+IF(TrialBalanceB!K93&lt;0,-TrialBalanceB!K93,0)-SUM(TrialBalanceC!K82:K92)-SUM(TrialBalanceC!K94:K96)+IF(TrialBalanceC!K93&lt;0,-TrialBalanceC!K93,0)</f>
        <v>0</v>
      </c>
      <c r="P542" s="459"/>
      <c r="Q542" s="469"/>
      <c r="R542" s="512" t="str">
        <f>IF(M542=0,IF(O542=0,"DELETE"," ")," ")</f>
        <v>DELETE</v>
      </c>
      <c r="S542" s="517">
        <f>M542</f>
        <v>0</v>
      </c>
      <c r="T542" s="517"/>
      <c r="U542" s="517">
        <f>O542</f>
        <v>0</v>
      </c>
      <c r="V542" s="513" t="b">
        <f>M542=M1270</f>
        <v>1</v>
      </c>
      <c r="X542" s="513" t="b">
        <f>O542=O1270</f>
        <v>1</v>
      </c>
    </row>
    <row r="543" spans="2:28" ht="31.5" customHeight="1" x14ac:dyDescent="0.45">
      <c r="B543" s="468"/>
      <c r="K543" s="451"/>
      <c r="L543" s="451"/>
      <c r="M543" s="531"/>
      <c r="N543" s="470"/>
      <c r="O543" s="531"/>
      <c r="P543" s="459"/>
      <c r="Q543" s="469"/>
      <c r="R543" s="512" t="str">
        <f>R542</f>
        <v>DELETE</v>
      </c>
    </row>
    <row r="544" spans="2:28" ht="31.5" customHeight="1" x14ac:dyDescent="0.45">
      <c r="B544" s="468"/>
      <c r="D544" s="449" t="s">
        <v>140</v>
      </c>
      <c r="K544" s="451">
        <f>B1287</f>
        <v>7</v>
      </c>
      <c r="L544" s="451"/>
      <c r="M544" s="539">
        <f>-SUM(TrialBalance!L140:L152)-SUM(TrialBalanceA!I140:I152)-SUM(TrialBalanceB!I140:I152)-SUM(TrialBalanceC!I140:I152)</f>
        <v>0</v>
      </c>
      <c r="N544" s="475"/>
      <c r="O544" s="539">
        <f>-SUM(TrialBalance!N140:N152)-SUM(TrialBalanceA!K140:K152)-SUM(TrialBalanceB!K140:K152)-SUM(TrialBalanceC!K140:K152)</f>
        <v>0</v>
      </c>
      <c r="P544" s="459"/>
      <c r="Q544" s="469"/>
      <c r="R544" s="512" t="str">
        <f>IF(M544=0,IF(O544=0,"DELETE"," ")," ")</f>
        <v>DELETE</v>
      </c>
      <c r="S544" s="517">
        <f>M544</f>
        <v>0</v>
      </c>
      <c r="T544" s="517"/>
      <c r="U544" s="517">
        <f>O544</f>
        <v>0</v>
      </c>
      <c r="V544" s="513" t="b">
        <f>-M544=M1334</f>
        <v>1</v>
      </c>
      <c r="X544" s="513" t="b">
        <f>-O544=O1334</f>
        <v>1</v>
      </c>
    </row>
    <row r="545" spans="2:26" ht="31.5" customHeight="1" x14ac:dyDescent="0.45">
      <c r="B545" s="468"/>
      <c r="K545" s="451"/>
      <c r="L545" s="451"/>
      <c r="M545" s="531"/>
      <c r="N545" s="470"/>
      <c r="O545" s="531"/>
      <c r="P545" s="459"/>
      <c r="Q545" s="469"/>
      <c r="R545" s="512" t="str">
        <f>R544</f>
        <v>DELETE</v>
      </c>
    </row>
    <row r="546" spans="2:26" ht="9" customHeight="1" x14ac:dyDescent="0.45">
      <c r="B546" s="468"/>
      <c r="K546" s="451"/>
      <c r="L546" s="451"/>
      <c r="M546" s="535"/>
      <c r="N546" s="473"/>
      <c r="O546" s="535"/>
      <c r="P546" s="459"/>
      <c r="Q546" s="469"/>
    </row>
    <row r="547" spans="2:26" ht="9" customHeight="1" x14ac:dyDescent="0.45">
      <c r="B547" s="468"/>
      <c r="K547" s="451"/>
      <c r="L547" s="451"/>
      <c r="M547" s="531"/>
      <c r="N547" s="470"/>
      <c r="O547" s="531"/>
      <c r="P547" s="459"/>
      <c r="Q547" s="469"/>
    </row>
    <row r="548" spans="2:26" ht="31.5" customHeight="1" x14ac:dyDescent="0.45">
      <c r="B548" s="468"/>
      <c r="D548" s="463" t="str">
        <f>IF((Y548+Z548)=3,"NET PROFIT/(LOSS) BEFORE TAXATION",(IF((Y548+Z548=4),"NET PROFIT BEFORE TAXATION","NET LOSS BEFORE TAXATION")))</f>
        <v>NET PROFIT BEFORE TAXATION</v>
      </c>
      <c r="K548" s="451"/>
      <c r="L548" s="451"/>
      <c r="M548" s="531">
        <f>SUM(S525:S545)</f>
        <v>0</v>
      </c>
      <c r="N548" s="470"/>
      <c r="O548" s="531">
        <f>SUM(U525:U545)</f>
        <v>0</v>
      </c>
      <c r="P548" s="459"/>
      <c r="Q548" s="469"/>
      <c r="Y548" s="513">
        <f>IF(M548&lt;0,1,IF(M548=0,IF(O548&lt;0,1,2),2))</f>
        <v>2</v>
      </c>
      <c r="Z548" s="513">
        <f>IF(O548&lt;0,1,IF(O548=0,IF(M548&lt;0,1,2),2))</f>
        <v>2</v>
      </c>
    </row>
    <row r="549" spans="2:26" ht="31.5" customHeight="1" x14ac:dyDescent="0.45">
      <c r="B549" s="468"/>
      <c r="K549" s="451"/>
      <c r="L549" s="451"/>
      <c r="M549" s="531"/>
      <c r="N549" s="470"/>
      <c r="O549" s="531"/>
      <c r="P549" s="459"/>
      <c r="Q549" s="469"/>
    </row>
    <row r="550" spans="2:26" ht="31.5" customHeight="1" x14ac:dyDescent="0.45">
      <c r="B550" s="468"/>
      <c r="D550" s="449" t="s">
        <v>141</v>
      </c>
      <c r="K550" s="451">
        <f>B1351</f>
        <v>8</v>
      </c>
      <c r="L550" s="451"/>
      <c r="M550" s="539">
        <f>-SUM(TrialBalance!L156:L162)</f>
        <v>0</v>
      </c>
      <c r="N550" s="475"/>
      <c r="O550" s="539">
        <f>-SUM(TrialBalance!N156:N162)</f>
        <v>0</v>
      </c>
      <c r="P550" s="459"/>
      <c r="Q550" s="469"/>
      <c r="V550" s="513" t="b">
        <f>-M550=M1370</f>
        <v>1</v>
      </c>
      <c r="X550" s="513" t="b">
        <f>-O550=O1370</f>
        <v>1</v>
      </c>
    </row>
    <row r="551" spans="2:26" ht="9" customHeight="1" x14ac:dyDescent="0.45">
      <c r="B551" s="468"/>
      <c r="K551" s="451"/>
      <c r="L551" s="451"/>
      <c r="M551" s="535"/>
      <c r="N551" s="473"/>
      <c r="O551" s="535"/>
      <c r="P551" s="459"/>
      <c r="Q551" s="469"/>
      <c r="V551" s="521"/>
      <c r="W551" s="521"/>
      <c r="X551" s="521"/>
    </row>
    <row r="552" spans="2:26" ht="9" customHeight="1" x14ac:dyDescent="0.45">
      <c r="B552" s="468"/>
      <c r="K552" s="451"/>
      <c r="L552" s="451"/>
      <c r="M552" s="531"/>
      <c r="N552" s="470"/>
      <c r="O552" s="531"/>
      <c r="P552" s="459"/>
      <c r="Q552" s="469"/>
    </row>
    <row r="553" spans="2:26" ht="31.5" customHeight="1" x14ac:dyDescent="0.45">
      <c r="B553" s="468"/>
      <c r="D553" s="463" t="str">
        <f>IF((Y553+Z553)=3,"NET PROFIT/(LOSS) FOR THE YEAR AFTER TAXATION",(IF((Y553+Z553=4),"NET PROFIT FOR THE YEAR AFTER TAXATION","NET LOSS FOR THE YEAR AFTER TAXATION")))</f>
        <v>NET PROFIT FOR THE YEAR AFTER TAXATION</v>
      </c>
      <c r="K553" s="451"/>
      <c r="L553" s="451"/>
      <c r="M553" s="531">
        <f>SUM(M548:M551)</f>
        <v>0</v>
      </c>
      <c r="N553" s="470"/>
      <c r="O553" s="531">
        <f>SUM(O548:O551)</f>
        <v>0</v>
      </c>
      <c r="P553" s="459"/>
      <c r="Q553" s="469"/>
      <c r="V553" s="513" t="b">
        <f>M553=-SUM(TrialBalance!L5:L33)-SUM(TrialBalance!L39:L162)-SUM(TrialBalanceA!I5:I162)-SUM(TrialBalanceB!I5:I162)-SUM(TrialBalanceC!I5:I162)</f>
        <v>1</v>
      </c>
      <c r="X553" s="513" t="b">
        <f>O553=-SUM(TrialBalance!N5:N33)-SUM(TrialBalance!N39:N162)-SUM(TrialBalanceA!K5:K162)-SUM(TrialBalanceB!K5:K162)-SUM(TrialBalanceC!K5:K162)</f>
        <v>1</v>
      </c>
      <c r="Y553" s="513">
        <f>IF(M553&lt;0,1,IF(M553=0,IF(O553&lt;0,1,2),2))</f>
        <v>2</v>
      </c>
      <c r="Z553" s="513">
        <f>IF(O553&lt;0,1,IF(O553=0,IF(M553&lt;0,1,2),2))</f>
        <v>2</v>
      </c>
    </row>
    <row r="554" spans="2:26" ht="9" customHeight="1" thickBot="1" x14ac:dyDescent="0.5">
      <c r="B554" s="468"/>
      <c r="K554" s="451"/>
      <c r="L554" s="451"/>
      <c r="M554" s="536"/>
      <c r="N554" s="474"/>
      <c r="O554" s="536"/>
      <c r="P554" s="459"/>
      <c r="Q554" s="469"/>
    </row>
    <row r="555" spans="2:26" ht="9" customHeight="1" thickTop="1" x14ac:dyDescent="0.45">
      <c r="B555" s="468"/>
      <c r="K555" s="451"/>
      <c r="L555" s="451"/>
      <c r="M555" s="531"/>
      <c r="N555" s="470"/>
      <c r="O555" s="531"/>
      <c r="P555" s="459"/>
      <c r="Q555" s="469"/>
    </row>
    <row r="556" spans="2:26" ht="31.5" customHeight="1" x14ac:dyDescent="0.45">
      <c r="B556" s="468"/>
      <c r="K556" s="451"/>
      <c r="L556" s="451"/>
      <c r="M556" s="529"/>
      <c r="N556" s="459"/>
      <c r="O556" s="529"/>
      <c r="P556" s="459"/>
      <c r="Q556" s="469"/>
      <c r="V556" s="513" t="b">
        <f>M553=M2747</f>
        <v>1</v>
      </c>
      <c r="X556" s="513" t="b">
        <f>O553=O2747</f>
        <v>1</v>
      </c>
    </row>
    <row r="557" spans="2:26" ht="31.5" customHeight="1" x14ac:dyDescent="0.45">
      <c r="B557" s="468"/>
      <c r="K557" s="451"/>
      <c r="L557" s="451"/>
      <c r="M557" s="529"/>
      <c r="N557" s="459"/>
      <c r="O557" s="529"/>
      <c r="P557" s="459"/>
      <c r="Q557" s="469"/>
    </row>
    <row r="558" spans="2:26" ht="31.5" customHeight="1" x14ac:dyDescent="0.45">
      <c r="B558" s="468"/>
      <c r="K558" s="451"/>
      <c r="L558" s="451"/>
      <c r="M558" s="529"/>
      <c r="N558" s="459"/>
      <c r="O558" s="529"/>
      <c r="P558" s="459"/>
      <c r="Q558" s="469"/>
    </row>
    <row r="559" spans="2:26" ht="31.5" customHeight="1" x14ac:dyDescent="0.45">
      <c r="B559" s="468"/>
      <c r="K559" s="451"/>
      <c r="L559" s="451"/>
      <c r="M559" s="529"/>
      <c r="N559" s="459"/>
      <c r="O559" s="529"/>
      <c r="P559" s="459"/>
      <c r="Q559" s="469"/>
    </row>
    <row r="560" spans="2:26" ht="31.5" customHeight="1" x14ac:dyDescent="0.45">
      <c r="B560" s="468"/>
      <c r="K560" s="451"/>
      <c r="L560" s="451"/>
      <c r="M560" s="529"/>
      <c r="N560" s="459"/>
      <c r="O560" s="529"/>
      <c r="P560" s="459"/>
      <c r="Q560" s="469"/>
    </row>
    <row r="561" spans="2:17" ht="31.5" customHeight="1" x14ac:dyDescent="0.45">
      <c r="B561" s="468"/>
      <c r="K561" s="451"/>
      <c r="L561" s="451"/>
      <c r="M561" s="529"/>
      <c r="N561" s="459"/>
      <c r="O561" s="529"/>
      <c r="P561" s="459"/>
      <c r="Q561" s="469"/>
    </row>
    <row r="562" spans="2:17" ht="31.5" customHeight="1" x14ac:dyDescent="0.45">
      <c r="B562" s="468"/>
      <c r="K562" s="451"/>
      <c r="L562" s="451"/>
      <c r="M562" s="529"/>
      <c r="N562" s="459"/>
      <c r="O562" s="529"/>
      <c r="P562" s="459"/>
      <c r="Q562" s="469"/>
    </row>
    <row r="563" spans="2:17" ht="31.5" customHeight="1" x14ac:dyDescent="0.45">
      <c r="B563" s="468"/>
      <c r="K563" s="451"/>
      <c r="L563" s="451"/>
      <c r="M563" s="529"/>
      <c r="N563" s="459"/>
      <c r="O563" s="529"/>
      <c r="P563" s="459"/>
      <c r="Q563" s="469"/>
    </row>
    <row r="564" spans="2:17" ht="31.5" customHeight="1" x14ac:dyDescent="0.45">
      <c r="B564" s="468"/>
      <c r="K564" s="451"/>
      <c r="L564" s="451"/>
      <c r="M564" s="529"/>
      <c r="N564" s="459"/>
      <c r="O564" s="529"/>
      <c r="P564" s="459"/>
      <c r="Q564" s="469"/>
    </row>
    <row r="565" spans="2:17" ht="31.5" customHeight="1" x14ac:dyDescent="0.45">
      <c r="B565" s="468"/>
      <c r="K565" s="451"/>
      <c r="L565" s="451"/>
      <c r="M565" s="529"/>
      <c r="N565" s="459"/>
      <c r="O565" s="529"/>
      <c r="P565" s="459"/>
      <c r="Q565" s="469"/>
    </row>
    <row r="566" spans="2:17" ht="31.5" customHeight="1" x14ac:dyDescent="0.45">
      <c r="B566" s="468"/>
      <c r="K566" s="451"/>
      <c r="L566" s="451"/>
      <c r="M566" s="529"/>
      <c r="N566" s="459"/>
      <c r="O566" s="529"/>
      <c r="P566" s="459"/>
      <c r="Q566" s="469"/>
    </row>
    <row r="567" spans="2:17" ht="31.5" customHeight="1" x14ac:dyDescent="0.45">
      <c r="B567" s="468"/>
      <c r="K567" s="451"/>
      <c r="L567" s="451"/>
      <c r="M567" s="529"/>
      <c r="N567" s="459"/>
      <c r="O567" s="529"/>
      <c r="P567" s="459"/>
      <c r="Q567" s="469"/>
    </row>
    <row r="568" spans="2:17" ht="31.5" customHeight="1" x14ac:dyDescent="0.45">
      <c r="B568" s="468"/>
      <c r="K568" s="451"/>
      <c r="L568" s="451"/>
      <c r="M568" s="529"/>
      <c r="N568" s="459"/>
      <c r="O568" s="529"/>
      <c r="P568" s="459"/>
      <c r="Q568" s="469"/>
    </row>
    <row r="569" spans="2:17" ht="31.5" customHeight="1" x14ac:dyDescent="0.45">
      <c r="B569" s="468"/>
      <c r="K569" s="451"/>
      <c r="L569" s="451"/>
      <c r="M569" s="529"/>
      <c r="N569" s="459"/>
      <c r="O569" s="529"/>
      <c r="P569" s="459"/>
      <c r="Q569" s="469"/>
    </row>
    <row r="570" spans="2:17" ht="31.5" customHeight="1" x14ac:dyDescent="0.45">
      <c r="B570" s="468"/>
      <c r="K570" s="451"/>
      <c r="L570" s="451"/>
      <c r="M570" s="529"/>
      <c r="N570" s="459"/>
      <c r="O570" s="529"/>
      <c r="P570" s="459"/>
      <c r="Q570" s="469"/>
    </row>
    <row r="571" spans="2:17" ht="31.5" customHeight="1" x14ac:dyDescent="0.45">
      <c r="B571" s="468"/>
      <c r="K571" s="451"/>
      <c r="L571" s="451"/>
      <c r="M571" s="529"/>
      <c r="N571" s="459"/>
      <c r="O571" s="529"/>
      <c r="P571" s="459"/>
      <c r="Q571" s="469"/>
    </row>
    <row r="572" spans="2:17" ht="31.5" customHeight="1" x14ac:dyDescent="0.45">
      <c r="B572" s="468"/>
      <c r="K572" s="451"/>
      <c r="L572" s="451"/>
      <c r="M572" s="529"/>
      <c r="N572" s="459"/>
      <c r="O572" s="529"/>
      <c r="P572" s="459"/>
      <c r="Q572" s="469"/>
    </row>
    <row r="573" spans="2:17" ht="31.5" customHeight="1" x14ac:dyDescent="0.45">
      <c r="B573" s="468"/>
      <c r="K573" s="451"/>
      <c r="L573" s="451"/>
      <c r="M573" s="529"/>
      <c r="N573" s="459"/>
      <c r="O573" s="529"/>
      <c r="P573" s="459"/>
      <c r="Q573" s="469"/>
    </row>
    <row r="574" spans="2:17" ht="31.5" customHeight="1" x14ac:dyDescent="0.45">
      <c r="B574" s="477"/>
      <c r="C574" s="461"/>
      <c r="D574" s="461"/>
      <c r="E574" s="461"/>
      <c r="F574" s="461"/>
      <c r="G574" s="461"/>
      <c r="H574" s="461"/>
      <c r="I574" s="461"/>
      <c r="J574" s="461"/>
      <c r="K574" s="483"/>
      <c r="L574" s="483"/>
      <c r="M574" s="540"/>
      <c r="N574" s="484"/>
      <c r="O574" s="540"/>
      <c r="P574" s="484"/>
      <c r="Q574" s="479"/>
    </row>
    <row r="575" spans="2:17" ht="31.5" customHeight="1" x14ac:dyDescent="0.45"/>
    <row r="576" spans="2:17" ht="31.5" customHeight="1" x14ac:dyDescent="0.45"/>
    <row r="577" spans="2:27" ht="31.5" customHeight="1" x14ac:dyDescent="0.45">
      <c r="D577" s="450" t="str">
        <f>Criteria!E9</f>
        <v>ABC COMPANY (PROPRIETARY) LIMITED</v>
      </c>
      <c r="O577" s="529" t="s">
        <v>121</v>
      </c>
      <c r="Q577" s="451">
        <f>MAX($Q$114:Q576)+1</f>
        <v>9</v>
      </c>
      <c r="S577" s="516"/>
      <c r="T577" s="516"/>
      <c r="U577" s="516"/>
      <c r="V577" s="516"/>
      <c r="W577" s="516"/>
      <c r="X577" s="516"/>
    </row>
    <row r="578" spans="2:27" ht="31.5" customHeight="1" x14ac:dyDescent="0.45">
      <c r="D578" s="450" t="str">
        <f>Criteria!E10</f>
        <v>T/A SEAFRONT HOTEL, SEAFRONT RESTAURANT AND RENTAL PROPERTIES</v>
      </c>
      <c r="R578" s="512" t="str">
        <f>IF(D578=0,"DELETE"," ")</f>
        <v xml:space="preserve"> </v>
      </c>
      <c r="S578" s="516"/>
      <c r="T578" s="516"/>
      <c r="U578" s="516"/>
      <c r="V578" s="516"/>
      <c r="W578" s="516"/>
      <c r="X578" s="516"/>
    </row>
    <row r="579" spans="2:27" ht="31.5" customHeight="1" x14ac:dyDescent="0.45">
      <c r="S579" s="516"/>
      <c r="T579" s="516"/>
      <c r="U579" s="516"/>
      <c r="V579" s="516"/>
      <c r="W579" s="516"/>
      <c r="X579" s="516"/>
    </row>
    <row r="580" spans="2:27" ht="31.5" customHeight="1" x14ac:dyDescent="0.45">
      <c r="D580" s="450" t="str">
        <f>CONCATENATE("STATEMENT OF FINANCIAL POSITION AS AT ",Criteria!E20)</f>
        <v>STATEMENT OF FINANCIAL POSITION AS AT 29 FEBRUARY 2024</v>
      </c>
      <c r="H580" s="450"/>
    </row>
    <row r="581" spans="2:27" ht="31.5" customHeight="1" x14ac:dyDescent="0.45"/>
    <row r="582" spans="2:27" ht="31.5" customHeight="1" x14ac:dyDescent="0.45">
      <c r="B582" s="465"/>
      <c r="C582" s="466"/>
      <c r="D582" s="466"/>
      <c r="E582" s="466"/>
      <c r="F582" s="466"/>
      <c r="G582" s="466"/>
      <c r="H582" s="466"/>
      <c r="I582" s="466"/>
      <c r="J582" s="466"/>
      <c r="K582" s="466"/>
      <c r="L582" s="466"/>
      <c r="M582" s="642"/>
      <c r="N582" s="643"/>
      <c r="O582" s="642"/>
      <c r="P582" s="643"/>
      <c r="Q582" s="467"/>
    </row>
    <row r="583" spans="2:27" ht="31.5" customHeight="1" x14ac:dyDescent="0.45">
      <c r="B583" s="468"/>
      <c r="K583" s="451" t="s">
        <v>129</v>
      </c>
      <c r="L583" s="451"/>
      <c r="M583" s="525">
        <f>Criteria!E22</f>
        <v>2024</v>
      </c>
      <c r="N583" s="458"/>
      <c r="O583" s="525">
        <f>Criteria!E27</f>
        <v>2023</v>
      </c>
      <c r="P583" s="458"/>
      <c r="Q583" s="469"/>
    </row>
    <row r="584" spans="2:27" ht="31.5" customHeight="1" x14ac:dyDescent="0.45">
      <c r="B584" s="468"/>
      <c r="K584" s="451"/>
      <c r="L584" s="451"/>
      <c r="M584" s="529"/>
      <c r="N584" s="459"/>
      <c r="O584" s="529"/>
      <c r="P584" s="459"/>
      <c r="Q584" s="469"/>
    </row>
    <row r="585" spans="2:27" ht="31.5" customHeight="1" x14ac:dyDescent="0.45">
      <c r="B585" s="468"/>
      <c r="C585" s="450" t="s">
        <v>130</v>
      </c>
      <c r="K585" s="451"/>
      <c r="L585" s="451"/>
      <c r="M585" s="529"/>
      <c r="N585" s="459"/>
      <c r="O585" s="529"/>
      <c r="P585" s="459"/>
      <c r="Q585" s="469"/>
    </row>
    <row r="586" spans="2:27" ht="31.5" customHeight="1" x14ac:dyDescent="0.45">
      <c r="B586" s="468"/>
      <c r="C586" s="450"/>
      <c r="K586" s="451"/>
      <c r="L586" s="451"/>
      <c r="M586" s="529"/>
      <c r="N586" s="459"/>
      <c r="O586" s="529"/>
      <c r="P586" s="459"/>
      <c r="Q586" s="469"/>
    </row>
    <row r="587" spans="2:27" ht="31.5" customHeight="1" x14ac:dyDescent="0.45">
      <c r="B587" s="468"/>
      <c r="D587" s="449" t="s">
        <v>13</v>
      </c>
      <c r="K587" s="451"/>
      <c r="L587" s="451"/>
      <c r="M587" s="531">
        <f>SUM(M589:M599)</f>
        <v>0</v>
      </c>
      <c r="N587" s="470"/>
      <c r="O587" s="531">
        <f>SUM(O589:P599)</f>
        <v>0</v>
      </c>
      <c r="P587" s="459"/>
      <c r="Q587" s="469"/>
      <c r="R587" s="512" t="str">
        <f>IF(M587=0,IF(O587=0,"DELETE"," ")," ")</f>
        <v>DELETE</v>
      </c>
      <c r="S587" s="517">
        <f>M587</f>
        <v>0</v>
      </c>
      <c r="T587" s="517"/>
      <c r="U587" s="517">
        <f>O587</f>
        <v>0</v>
      </c>
      <c r="V587" s="517"/>
      <c r="W587" s="517"/>
      <c r="X587" s="517"/>
    </row>
    <row r="588" spans="2:27" ht="9" customHeight="1" x14ac:dyDescent="0.45">
      <c r="B588" s="468"/>
      <c r="D588" s="450"/>
      <c r="K588" s="451"/>
      <c r="L588" s="451"/>
      <c r="M588" s="531"/>
      <c r="N588" s="470"/>
      <c r="O588" s="531"/>
      <c r="P588" s="459"/>
      <c r="Q588" s="469"/>
      <c r="R588" s="512" t="str">
        <f>R587</f>
        <v>DELETE</v>
      </c>
    </row>
    <row r="589" spans="2:27" ht="9" customHeight="1" x14ac:dyDescent="0.45">
      <c r="B589" s="468"/>
      <c r="D589" s="450"/>
      <c r="K589" s="451"/>
      <c r="L589" s="451"/>
      <c r="M589" s="532"/>
      <c r="N589" s="471"/>
      <c r="O589" s="552"/>
      <c r="P589" s="459"/>
      <c r="Q589" s="469"/>
      <c r="R589" s="512" t="str">
        <f>R587</f>
        <v>DELETE</v>
      </c>
    </row>
    <row r="590" spans="2:27" ht="31.5" customHeight="1" x14ac:dyDescent="0.45">
      <c r="B590" s="468"/>
      <c r="D590" s="449" t="s">
        <v>1379</v>
      </c>
      <c r="K590" s="451">
        <f>B1446</f>
        <v>9</v>
      </c>
      <c r="L590" s="451"/>
      <c r="M590" s="533">
        <f>SUM(TrialBalance!L228:L238)</f>
        <v>0</v>
      </c>
      <c r="N590" s="470"/>
      <c r="O590" s="553">
        <f>SUM(TrialBalance!N228:N238)</f>
        <v>0</v>
      </c>
      <c r="P590" s="459"/>
      <c r="Q590" s="469"/>
      <c r="R590" s="512" t="str">
        <f t="shared" ref="R590:R597" si="6">IF(M590=0,IF(O590=0,"DELETE"," ")," ")</f>
        <v>DELETE</v>
      </c>
      <c r="V590" s="513" t="b">
        <f>M590=M1476</f>
        <v>1</v>
      </c>
      <c r="X590" s="513" t="b">
        <f>O590=O1476</f>
        <v>1</v>
      </c>
    </row>
    <row r="591" spans="2:27" ht="31.5" customHeight="1" x14ac:dyDescent="0.45">
      <c r="B591" s="468"/>
      <c r="D591" s="449" t="s">
        <v>939</v>
      </c>
      <c r="K591" s="451">
        <f>B1556</f>
        <v>10</v>
      </c>
      <c r="L591" s="451"/>
      <c r="M591" s="533">
        <f>SUM(TrialBalance!L250:L281)</f>
        <v>0</v>
      </c>
      <c r="N591" s="470"/>
      <c r="O591" s="553">
        <f>SUM(TrialBalance!N250:N281)</f>
        <v>0</v>
      </c>
      <c r="P591" s="459"/>
      <c r="Q591" s="469"/>
      <c r="R591" s="512" t="str">
        <f t="shared" si="6"/>
        <v>DELETE</v>
      </c>
      <c r="V591" s="518" t="b">
        <f>M591=O1603</f>
        <v>1</v>
      </c>
      <c r="W591" s="518"/>
      <c r="X591" s="518" t="b">
        <f>O591=O1581</f>
        <v>1</v>
      </c>
      <c r="AA591" s="518"/>
    </row>
    <row r="592" spans="2:27" ht="31.5" customHeight="1" x14ac:dyDescent="0.45">
      <c r="B592" s="468"/>
      <c r="D592" s="449" t="s">
        <v>1550</v>
      </c>
      <c r="K592" s="451">
        <f>B1653</f>
        <v>11</v>
      </c>
      <c r="L592" s="451"/>
      <c r="M592" s="533">
        <f>SUM(TrialBalance!L239:L249)</f>
        <v>0</v>
      </c>
      <c r="N592" s="470"/>
      <c r="O592" s="553">
        <f>SUM(TrialBalance!N239:N249)</f>
        <v>0</v>
      </c>
      <c r="P592" s="459"/>
      <c r="Q592" s="469"/>
      <c r="R592" s="512" t="str">
        <f t="shared" si="6"/>
        <v>DELETE</v>
      </c>
      <c r="V592" s="518" t="b">
        <f>M592=M1683</f>
        <v>1</v>
      </c>
      <c r="W592" s="518"/>
      <c r="X592" s="518" t="b">
        <f>O592=O1683</f>
        <v>1</v>
      </c>
      <c r="AA592" s="518"/>
    </row>
    <row r="593" spans="2:27" ht="31.5" customHeight="1" x14ac:dyDescent="0.45">
      <c r="B593" s="468"/>
      <c r="D593" s="449" t="s">
        <v>1530</v>
      </c>
      <c r="K593" s="451">
        <f>B1765</f>
        <v>12</v>
      </c>
      <c r="L593" s="451"/>
      <c r="M593" s="533">
        <f>SUM(TrialBalance!L284:L300)</f>
        <v>0</v>
      </c>
      <c r="N593" s="470"/>
      <c r="O593" s="553">
        <f>SUM(TrialBalance!N284:N300)</f>
        <v>0</v>
      </c>
      <c r="P593" s="459"/>
      <c r="Q593" s="469"/>
      <c r="R593" s="512" t="str">
        <f t="shared" si="6"/>
        <v>DELETE</v>
      </c>
      <c r="V593" s="518" t="b">
        <f>M593=M1830</f>
        <v>1</v>
      </c>
      <c r="W593" s="518"/>
      <c r="X593" s="518" t="b">
        <f>O593=O1830</f>
        <v>1</v>
      </c>
      <c r="AA593" s="518"/>
    </row>
    <row r="594" spans="2:27" ht="31.5" customHeight="1" x14ac:dyDescent="0.45">
      <c r="B594" s="468"/>
      <c r="D594" s="449" t="str">
        <f>IF(COUNTIF(TrialBalance!L303:L305,"&gt;0")&gt;1,"Investments in associates",IF(COUNTIF(TrialBalance!N303:N305,"&gt;0")&gt;1,"Investments in associates","Investment in associate"))</f>
        <v>Investment in associate</v>
      </c>
      <c r="K594" s="451">
        <f>B1847</f>
        <v>13</v>
      </c>
      <c r="L594" s="451"/>
      <c r="M594" s="533">
        <f>SUM(TrialBalance!L303:L305)</f>
        <v>0</v>
      </c>
      <c r="N594" s="491"/>
      <c r="O594" s="553">
        <f>SUM(TrialBalance!N303:N305)</f>
        <v>0</v>
      </c>
      <c r="P594" s="459"/>
      <c r="Q594" s="469"/>
      <c r="R594" s="512" t="str">
        <f t="shared" si="6"/>
        <v>DELETE</v>
      </c>
      <c r="V594" s="518" t="b">
        <f>M594=M1853</f>
        <v>1</v>
      </c>
      <c r="W594" s="518"/>
      <c r="X594" s="518" t="b">
        <f>O594=O1853</f>
        <v>1</v>
      </c>
      <c r="AA594" s="518"/>
    </row>
    <row r="595" spans="2:27" ht="31.5" customHeight="1" x14ac:dyDescent="0.45">
      <c r="B595" s="468"/>
      <c r="D595" s="449" t="str">
        <f>IF(COUNTIF(TrialBalance!L307:L311,"&gt;0")&gt;1,"Listed investments",IF(COUNTIF(TrialBalance!N307:N311,"&gt;0")&gt;1,"Listed investments","Listed investment"))</f>
        <v>Listed investment</v>
      </c>
      <c r="K595" s="451">
        <f>B1871</f>
        <v>14</v>
      </c>
      <c r="L595" s="451"/>
      <c r="M595" s="533">
        <f>SUM(TrialBalance!L307:L311)</f>
        <v>0</v>
      </c>
      <c r="N595" s="470"/>
      <c r="O595" s="553">
        <f>SUM(TrialBalance!N307:N311)</f>
        <v>0</v>
      </c>
      <c r="P595" s="459"/>
      <c r="Q595" s="469"/>
      <c r="R595" s="512" t="str">
        <f t="shared" si="6"/>
        <v>DELETE</v>
      </c>
      <c r="V595" s="518" t="b">
        <f>M595=M1879</f>
        <v>1</v>
      </c>
      <c r="W595" s="518"/>
      <c r="X595" s="518" t="b">
        <f>O595=O1879</f>
        <v>1</v>
      </c>
      <c r="AA595" s="518"/>
    </row>
    <row r="596" spans="2:27" ht="31.5" customHeight="1" x14ac:dyDescent="0.45">
      <c r="B596" s="468"/>
      <c r="D596" s="449" t="str">
        <f>IF(COUNTIF(TrialBalance!L313:L317,"&gt;0")&gt;1,"Other investments",IF(COUNTIF(TrialBalance!N313:N317,"&gt;0")&gt;1,"Other investments","Other investment"))</f>
        <v>Other investment</v>
      </c>
      <c r="K596" s="451">
        <f>B1902</f>
        <v>15</v>
      </c>
      <c r="L596" s="451"/>
      <c r="M596" s="533">
        <f>SUM(TrialBalance!L313:L317)</f>
        <v>0</v>
      </c>
      <c r="N596" s="470"/>
      <c r="O596" s="553">
        <f>SUM(TrialBalance!N313:N317)</f>
        <v>0</v>
      </c>
      <c r="P596" s="459"/>
      <c r="Q596" s="469"/>
      <c r="R596" s="512" t="str">
        <f t="shared" si="6"/>
        <v>DELETE</v>
      </c>
      <c r="V596" s="518" t="b">
        <f>M596=M1910</f>
        <v>1</v>
      </c>
      <c r="W596" s="518"/>
      <c r="X596" s="518" t="b">
        <f>O596=O1910</f>
        <v>1</v>
      </c>
      <c r="AA596" s="518"/>
    </row>
    <row r="597" spans="2:27" ht="31.5" customHeight="1" x14ac:dyDescent="0.45">
      <c r="B597" s="468"/>
      <c r="D597" s="449" t="str">
        <f>IF(COUNTIF(TrialBalance!L318:L352,"&gt;0")&gt;1,"Non - current receivables",IF(COUNTIF(TrialBalance!N318:N352,"&gt;0")&gt;1,"Non - current receivables","Non - current receivable"))</f>
        <v>Non - current receivable</v>
      </c>
      <c r="K597" s="451">
        <f>B1933</f>
        <v>16</v>
      </c>
      <c r="L597" s="451"/>
      <c r="M597" s="533">
        <f>SUM(TrialBalance!L318:L352)</f>
        <v>0</v>
      </c>
      <c r="N597" s="470"/>
      <c r="O597" s="553">
        <f>SUM(TrialBalance!N318:N352)</f>
        <v>0</v>
      </c>
      <c r="P597" s="459"/>
      <c r="Q597" s="469"/>
      <c r="R597" s="512" t="str">
        <f t="shared" si="6"/>
        <v>DELETE</v>
      </c>
      <c r="V597" s="518" t="b">
        <f>M597=M1974</f>
        <v>1</v>
      </c>
      <c r="W597" s="518"/>
      <c r="X597" s="518" t="b">
        <f>O597=O1974</f>
        <v>1</v>
      </c>
    </row>
    <row r="598" spans="2:27" ht="31.5" customHeight="1" x14ac:dyDescent="0.45">
      <c r="B598" s="468"/>
      <c r="D598" s="449" t="s">
        <v>637</v>
      </c>
      <c r="K598" s="451">
        <f>B2259</f>
        <v>25</v>
      </c>
      <c r="L598" s="451"/>
      <c r="M598" s="533">
        <f>IF(SUM(TrialBalance!L220:L227)&gt;0,SUM(TrialBalance!L220:L227),0)</f>
        <v>0</v>
      </c>
      <c r="N598" s="470"/>
      <c r="O598" s="553">
        <f>IF(SUM(TrialBalance!N220:N227)&gt;0,SUM(TrialBalance!N220:N227),0)</f>
        <v>0</v>
      </c>
      <c r="P598" s="459"/>
      <c r="Q598" s="469"/>
      <c r="R598" s="512" t="str">
        <f>IF(M598=0,IF(O598=0,"DELETE"," ")," ")</f>
        <v>DELETE</v>
      </c>
      <c r="V598" s="518" t="str">
        <f>IF(M598=0,"TRUE",M598=-M2301)</f>
        <v>TRUE</v>
      </c>
      <c r="W598" s="518"/>
      <c r="X598" s="518" t="str">
        <f>IF(O598=0,"TRUE",O598=-O2301)</f>
        <v>TRUE</v>
      </c>
    </row>
    <row r="599" spans="2:27" ht="9" customHeight="1" x14ac:dyDescent="0.45">
      <c r="B599" s="468"/>
      <c r="K599" s="451"/>
      <c r="L599" s="451"/>
      <c r="M599" s="534"/>
      <c r="N599" s="473"/>
      <c r="O599" s="554"/>
      <c r="P599" s="459"/>
      <c r="Q599" s="469"/>
      <c r="R599" s="512" t="str">
        <f>R587</f>
        <v>DELETE</v>
      </c>
    </row>
    <row r="600" spans="2:27" ht="9" customHeight="1" x14ac:dyDescent="0.45">
      <c r="B600" s="468"/>
      <c r="K600" s="451"/>
      <c r="L600" s="451"/>
      <c r="M600" s="531"/>
      <c r="N600" s="470"/>
      <c r="O600" s="531"/>
      <c r="P600" s="459"/>
      <c r="Q600" s="469"/>
      <c r="R600" s="512" t="str">
        <f>R587</f>
        <v>DELETE</v>
      </c>
    </row>
    <row r="601" spans="2:27" ht="31.5" customHeight="1" x14ac:dyDescent="0.45">
      <c r="B601" s="468"/>
      <c r="K601" s="451"/>
      <c r="L601" s="451"/>
      <c r="M601" s="531"/>
      <c r="N601" s="470"/>
      <c r="O601" s="531"/>
      <c r="P601" s="459"/>
      <c r="Q601" s="469"/>
      <c r="R601" s="512" t="str">
        <f>R587</f>
        <v>DELETE</v>
      </c>
    </row>
    <row r="602" spans="2:27" ht="31.5" customHeight="1" x14ac:dyDescent="0.45">
      <c r="B602" s="468"/>
      <c r="D602" s="449" t="s">
        <v>14</v>
      </c>
      <c r="K602" s="451"/>
      <c r="L602" s="451"/>
      <c r="M602" s="531">
        <f>SUM(M605:M609)</f>
        <v>0</v>
      </c>
      <c r="N602" s="470"/>
      <c r="O602" s="531">
        <f>SUM(O605:O609)</f>
        <v>0</v>
      </c>
      <c r="P602" s="459"/>
      <c r="Q602" s="469"/>
      <c r="R602" s="512" t="str">
        <f>IF(M602=0,IF(O602=0,"DELETE"," ")," ")</f>
        <v>DELETE</v>
      </c>
      <c r="S602" s="517">
        <f>M602</f>
        <v>0</v>
      </c>
      <c r="T602" s="517"/>
      <c r="U602" s="517">
        <f>O602</f>
        <v>0</v>
      </c>
      <c r="V602" s="517"/>
      <c r="W602" s="517"/>
      <c r="X602" s="517"/>
    </row>
    <row r="603" spans="2:27" ht="9" customHeight="1" x14ac:dyDescent="0.45">
      <c r="B603" s="468"/>
      <c r="K603" s="451"/>
      <c r="L603" s="451"/>
      <c r="M603" s="531"/>
      <c r="N603" s="470"/>
      <c r="O603" s="531"/>
      <c r="P603" s="459"/>
      <c r="Q603" s="469"/>
      <c r="R603" s="512" t="str">
        <f>R602</f>
        <v>DELETE</v>
      </c>
    </row>
    <row r="604" spans="2:27" ht="9" customHeight="1" x14ac:dyDescent="0.45">
      <c r="B604" s="468"/>
      <c r="K604" s="451"/>
      <c r="L604" s="451"/>
      <c r="M604" s="532"/>
      <c r="N604" s="471"/>
      <c r="O604" s="552"/>
      <c r="P604" s="459"/>
      <c r="Q604" s="469"/>
      <c r="R604" s="512" t="str">
        <f>R602</f>
        <v>DELETE</v>
      </c>
    </row>
    <row r="605" spans="2:27" ht="31.5" customHeight="1" x14ac:dyDescent="0.45">
      <c r="B605" s="468"/>
      <c r="D605" s="449" t="s">
        <v>1315</v>
      </c>
      <c r="K605" s="451">
        <f>B1991</f>
        <v>17</v>
      </c>
      <c r="L605" s="451"/>
      <c r="M605" s="533">
        <f>SUM(TrialBalance!L354:L357)</f>
        <v>0</v>
      </c>
      <c r="N605" s="470"/>
      <c r="O605" s="553">
        <f>SUM(TrialBalance!N354:N357)</f>
        <v>0</v>
      </c>
      <c r="P605" s="459"/>
      <c r="Q605" s="469"/>
      <c r="R605" s="512" t="str">
        <f>IF(M605=0,IF(O605=0,"DELETE"," ")," ")</f>
        <v>DELETE</v>
      </c>
      <c r="V605" s="518" t="b">
        <f>M605=M1999</f>
        <v>1</v>
      </c>
      <c r="W605" s="518"/>
      <c r="X605" s="518" t="b">
        <f>O605=O1999</f>
        <v>1</v>
      </c>
      <c r="AA605" s="518"/>
    </row>
    <row r="606" spans="2:27" ht="31.5" customHeight="1" x14ac:dyDescent="0.45">
      <c r="B606" s="468"/>
      <c r="D606" s="449" t="s">
        <v>931</v>
      </c>
      <c r="K606" s="451">
        <f>B2016</f>
        <v>18</v>
      </c>
      <c r="L606" s="451"/>
      <c r="M606" s="533">
        <f>SUM(TrialBalance!L359:L364)+IF(TrialBalance!L398&gt;0,TrialBalance!L398,0)</f>
        <v>0</v>
      </c>
      <c r="N606" s="470"/>
      <c r="O606" s="553">
        <f>SUM(TrialBalance!N359:N364)+IF(TrialBalance!N398&gt;0,TrialBalance!N398,0)</f>
        <v>0</v>
      </c>
      <c r="P606" s="459"/>
      <c r="Q606" s="469"/>
      <c r="R606" s="512" t="str">
        <f>IF(M606=0,IF(O606=0,"DELETE"," ")," ")</f>
        <v>DELETE</v>
      </c>
      <c r="V606" s="518" t="b">
        <f>M606=M2029</f>
        <v>1</v>
      </c>
      <c r="W606" s="518"/>
      <c r="X606" s="518" t="b">
        <f>O606=O2029</f>
        <v>1</v>
      </c>
    </row>
    <row r="607" spans="2:27" ht="31.5" customHeight="1" x14ac:dyDescent="0.45">
      <c r="B607" s="468"/>
      <c r="D607" s="449" t="s">
        <v>807</v>
      </c>
      <c r="K607" s="451">
        <f>B2047</f>
        <v>19</v>
      </c>
      <c r="L607" s="451"/>
      <c r="M607" s="533">
        <f>TrialBalance!L372+IF(TrialBalance!L366&gt;0,TrialBalance!L366,0)+IF(TrialBalance!L367&gt;0,TrialBalance!L367,0)+IF(TrialBalance!L368&gt;0,TrialBalance!L368,0)+IF(TrialBalance!L369&gt;0,TrialBalance!L369,0)+IF(TrialBalance!L370&gt;0,TrialBalance!L370,0)+IF(TrialBalance!L371&gt;0,TrialBalance!L371,0)</f>
        <v>0</v>
      </c>
      <c r="N607" s="470"/>
      <c r="O607" s="553">
        <f>TrialBalance!N372+IF(TrialBalance!N366&gt;0,TrialBalance!N366,0)+IF(TrialBalance!N367&gt;0,TrialBalance!N367,0)+IF(TrialBalance!N368&gt;0,TrialBalance!N368,0)+IF(TrialBalance!N369&gt;0,TrialBalance!N369,0)+IF(TrialBalance!N370&gt;0,TrialBalance!N370,0)+IF(TrialBalance!N371&gt;0,TrialBalance!N371,0)</f>
        <v>0</v>
      </c>
      <c r="P607" s="459"/>
      <c r="Q607" s="469"/>
      <c r="R607" s="512" t="str">
        <f>IF(M607=0,IF(O607=0,"DELETE"," ")," ")</f>
        <v>DELETE</v>
      </c>
      <c r="V607" s="518" t="b">
        <f>M607=M2057</f>
        <v>1</v>
      </c>
      <c r="W607" s="518"/>
      <c r="X607" s="518" t="b">
        <f>O607=O2057</f>
        <v>1</v>
      </c>
    </row>
    <row r="608" spans="2:27" ht="31.5" customHeight="1" x14ac:dyDescent="0.45">
      <c r="B608" s="468"/>
      <c r="D608" s="449" t="s">
        <v>766</v>
      </c>
      <c r="K608" s="451">
        <f>B2423</f>
        <v>30</v>
      </c>
      <c r="L608" s="451"/>
      <c r="M608" s="533">
        <f>IF(SUM(TrialBalance!L385:L391)&gt;0,SUM(TrialBalance!L385:L391),0)</f>
        <v>0</v>
      </c>
      <c r="N608" s="470"/>
      <c r="O608" s="553">
        <f>IF(SUM(TrialBalance!N385:N391)&gt;0,SUM(TrialBalance!N385:N391),0)</f>
        <v>0</v>
      </c>
      <c r="P608" s="459"/>
      <c r="Q608" s="469"/>
      <c r="R608" s="512" t="str">
        <f>IF(M608=0,IF(O608=0,"DELETE"," ")," ")</f>
        <v>DELETE</v>
      </c>
      <c r="V608" s="518" t="str">
        <f>IF(M608=0,"TRUE",M608=-M2433)</f>
        <v>TRUE</v>
      </c>
      <c r="W608" s="518"/>
      <c r="X608" s="518" t="str">
        <f>IF(O608=0,"TRUE",O608=-O2433)</f>
        <v>TRUE</v>
      </c>
    </row>
    <row r="609" spans="2:24" ht="9" customHeight="1" x14ac:dyDescent="0.45">
      <c r="B609" s="468"/>
      <c r="K609" s="451"/>
      <c r="L609" s="451"/>
      <c r="M609" s="534"/>
      <c r="N609" s="473"/>
      <c r="O609" s="554"/>
      <c r="P609" s="459"/>
      <c r="Q609" s="469"/>
      <c r="R609" s="512" t="str">
        <f>R602</f>
        <v>DELETE</v>
      </c>
    </row>
    <row r="610" spans="2:24" ht="9" customHeight="1" x14ac:dyDescent="0.45">
      <c r="B610" s="468"/>
      <c r="K610" s="451"/>
      <c r="L610" s="451"/>
      <c r="M610" s="531"/>
      <c r="N610" s="470"/>
      <c r="O610" s="531"/>
      <c r="P610" s="459"/>
      <c r="Q610" s="469"/>
      <c r="R610" s="512" t="str">
        <f>R602</f>
        <v>DELETE</v>
      </c>
    </row>
    <row r="611" spans="2:24" ht="31.5" customHeight="1" x14ac:dyDescent="0.45">
      <c r="B611" s="468"/>
      <c r="K611" s="451"/>
      <c r="L611" s="451"/>
      <c r="M611" s="531"/>
      <c r="N611" s="470"/>
      <c r="O611" s="531"/>
      <c r="P611" s="459"/>
      <c r="Q611" s="469"/>
      <c r="R611" s="512" t="str">
        <f>R602</f>
        <v>DELETE</v>
      </c>
    </row>
    <row r="612" spans="2:24" ht="9" customHeight="1" x14ac:dyDescent="0.45">
      <c r="B612" s="468"/>
      <c r="K612" s="451"/>
      <c r="L612" s="451"/>
      <c r="M612" s="535"/>
      <c r="N612" s="473"/>
      <c r="O612" s="535"/>
      <c r="P612" s="459"/>
      <c r="Q612" s="469"/>
    </row>
    <row r="613" spans="2:24" ht="9" customHeight="1" x14ac:dyDescent="0.45">
      <c r="B613" s="468"/>
      <c r="K613" s="451"/>
      <c r="L613" s="451"/>
      <c r="M613" s="531"/>
      <c r="N613" s="470"/>
      <c r="O613" s="531"/>
      <c r="P613" s="459"/>
      <c r="Q613" s="469"/>
    </row>
    <row r="614" spans="2:24" ht="31.5" customHeight="1" x14ac:dyDescent="0.45">
      <c r="B614" s="468"/>
      <c r="D614" s="449" t="s">
        <v>131</v>
      </c>
      <c r="K614" s="451"/>
      <c r="L614" s="451"/>
      <c r="M614" s="531">
        <f>SUM(S587:S612)</f>
        <v>0</v>
      </c>
      <c r="N614" s="470"/>
      <c r="O614" s="531">
        <f>SUM(U587:U612)</f>
        <v>0</v>
      </c>
      <c r="P614" s="459"/>
      <c r="Q614" s="469"/>
      <c r="V614" s="519" t="b">
        <f>M614=M653</f>
        <v>1</v>
      </c>
      <c r="W614" s="519"/>
      <c r="X614" s="519" t="b">
        <f>O614=O653</f>
        <v>1</v>
      </c>
    </row>
    <row r="615" spans="2:24" ht="9" customHeight="1" thickBot="1" x14ac:dyDescent="0.5">
      <c r="B615" s="468"/>
      <c r="K615" s="451"/>
      <c r="L615" s="451"/>
      <c r="M615" s="536"/>
      <c r="N615" s="474"/>
      <c r="O615" s="536"/>
      <c r="P615" s="459"/>
      <c r="Q615" s="469"/>
    </row>
    <row r="616" spans="2:24" ht="9" customHeight="1" thickTop="1" x14ac:dyDescent="0.45">
      <c r="B616" s="468"/>
      <c r="K616" s="451"/>
      <c r="L616" s="451"/>
      <c r="M616" s="531"/>
      <c r="N616" s="470"/>
      <c r="O616" s="531"/>
      <c r="P616" s="459"/>
      <c r="Q616" s="469"/>
    </row>
    <row r="617" spans="2:24" ht="31.5" customHeight="1" x14ac:dyDescent="0.45">
      <c r="B617" s="468"/>
      <c r="K617" s="451"/>
      <c r="L617" s="451"/>
      <c r="M617" s="531"/>
      <c r="N617" s="470"/>
      <c r="O617" s="531"/>
      <c r="P617" s="459"/>
      <c r="Q617" s="469"/>
    </row>
    <row r="618" spans="2:24" ht="31.5" customHeight="1" x14ac:dyDescent="0.45">
      <c r="B618" s="468"/>
      <c r="C618" s="450" t="s">
        <v>132</v>
      </c>
      <c r="K618" s="451"/>
      <c r="L618" s="451"/>
      <c r="M618" s="531"/>
      <c r="N618" s="470"/>
      <c r="O618" s="531"/>
      <c r="P618" s="459"/>
      <c r="Q618" s="469"/>
    </row>
    <row r="619" spans="2:24" ht="31.5" customHeight="1" x14ac:dyDescent="0.45">
      <c r="B619" s="468"/>
      <c r="C619" s="450"/>
      <c r="K619" s="451"/>
      <c r="L619" s="451"/>
      <c r="M619" s="531"/>
      <c r="N619" s="470"/>
      <c r="O619" s="531"/>
      <c r="P619" s="459"/>
      <c r="Q619" s="469"/>
    </row>
    <row r="620" spans="2:24" ht="31.5" customHeight="1" x14ac:dyDescent="0.45">
      <c r="B620" s="468"/>
      <c r="D620" s="449" t="s">
        <v>133</v>
      </c>
      <c r="K620" s="451"/>
      <c r="L620" s="451"/>
      <c r="M620" s="531">
        <f>SUM(M623:M626)</f>
        <v>0</v>
      </c>
      <c r="N620" s="470"/>
      <c r="O620" s="531">
        <f>SUM(O623:O626)</f>
        <v>0</v>
      </c>
      <c r="P620" s="459"/>
      <c r="Q620" s="469"/>
      <c r="S620" s="517">
        <f>M620</f>
        <v>0</v>
      </c>
      <c r="T620" s="517"/>
      <c r="U620" s="517">
        <f>O620</f>
        <v>0</v>
      </c>
      <c r="V620" s="517"/>
      <c r="W620" s="517"/>
      <c r="X620" s="517"/>
    </row>
    <row r="621" spans="2:24" ht="9" customHeight="1" x14ac:dyDescent="0.45">
      <c r="B621" s="468"/>
      <c r="K621" s="451"/>
      <c r="L621" s="451"/>
      <c r="M621" s="531"/>
      <c r="N621" s="470"/>
      <c r="O621" s="531"/>
      <c r="P621" s="459"/>
      <c r="Q621" s="469"/>
    </row>
    <row r="622" spans="2:24" ht="9" customHeight="1" x14ac:dyDescent="0.45">
      <c r="B622" s="468"/>
      <c r="K622" s="451"/>
      <c r="L622" s="451"/>
      <c r="M622" s="532"/>
      <c r="N622" s="471"/>
      <c r="O622" s="552"/>
      <c r="P622" s="459"/>
      <c r="Q622" s="469"/>
    </row>
    <row r="623" spans="2:24" ht="33" customHeight="1" x14ac:dyDescent="0.45">
      <c r="B623" s="468"/>
      <c r="D623" s="449" t="s">
        <v>638</v>
      </c>
      <c r="K623" s="451">
        <f>B2102</f>
        <v>20</v>
      </c>
      <c r="L623" s="451"/>
      <c r="M623" s="533">
        <f>-SUM(TrialBalance!L169:L170)</f>
        <v>0</v>
      </c>
      <c r="N623" s="470"/>
      <c r="O623" s="553">
        <f>-SUM(TrialBalance!N169:N170)</f>
        <v>0</v>
      </c>
      <c r="P623" s="459"/>
      <c r="Q623" s="469"/>
      <c r="V623" s="518" t="b">
        <f>M2108=M623</f>
        <v>1</v>
      </c>
      <c r="W623" s="518"/>
      <c r="X623" s="518" t="b">
        <f>O2108=O623</f>
        <v>1</v>
      </c>
    </row>
    <row r="624" spans="2:24" ht="31.5" customHeight="1" x14ac:dyDescent="0.45">
      <c r="B624" s="468"/>
      <c r="D624" s="449" t="s">
        <v>639</v>
      </c>
      <c r="K624" s="451">
        <f>B2124</f>
        <v>21</v>
      </c>
      <c r="L624" s="451"/>
      <c r="M624" s="533">
        <f>-SUM(TrialBalance!L172:L174)</f>
        <v>0</v>
      </c>
      <c r="N624" s="470"/>
      <c r="O624" s="553">
        <f>-SUM(TrialBalance!N172:N174)</f>
        <v>0</v>
      </c>
      <c r="P624" s="459"/>
      <c r="Q624" s="469"/>
      <c r="R624" s="512" t="str">
        <f>IF(M624=0,IF(O624=0,"DELETE"," ")," ")</f>
        <v>DELETE</v>
      </c>
      <c r="V624" s="518" t="b">
        <f>M624=M2130</f>
        <v>1</v>
      </c>
      <c r="W624" s="518"/>
      <c r="X624" s="518" t="b">
        <f>O624=O2130</f>
        <v>1</v>
      </c>
    </row>
    <row r="625" spans="2:26" ht="31.5" customHeight="1" x14ac:dyDescent="0.45">
      <c r="B625" s="468"/>
      <c r="D625" s="449" t="s">
        <v>15</v>
      </c>
      <c r="K625" s="451">
        <f>B2147</f>
        <v>22</v>
      </c>
      <c r="L625" s="451"/>
      <c r="M625" s="533">
        <f>-SUM(TrialBalance!L176:L178)-SUM(TrialBalance!L180:L182)</f>
        <v>0</v>
      </c>
      <c r="N625" s="470"/>
      <c r="O625" s="553">
        <f>-SUM(TrialBalance!N176:N178)-SUM(TrialBalance!N180:N182)</f>
        <v>0</v>
      </c>
      <c r="P625" s="459"/>
      <c r="Q625" s="469"/>
      <c r="R625" s="512" t="str">
        <f>IF(M625=0,IF(O625=0,"DELETE"," ")," ")</f>
        <v>DELETE</v>
      </c>
      <c r="V625" s="518" t="b">
        <f>M625=M2165</f>
        <v>1</v>
      </c>
      <c r="W625" s="518"/>
      <c r="X625" s="518" t="b">
        <f>O625=O2165</f>
        <v>1</v>
      </c>
    </row>
    <row r="626" spans="2:26" ht="31.5" customHeight="1" x14ac:dyDescent="0.45">
      <c r="B626" s="468"/>
      <c r="D626" s="463" t="str">
        <f>IF((Y626+Z626)=3,"Retained income/(Accumulated loss)",(IF((Y626+Z626=4),"Retained income","Accumulated loss")))</f>
        <v>Retained income</v>
      </c>
      <c r="K626" s="451"/>
      <c r="L626" s="451"/>
      <c r="M626" s="537">
        <f>-TrialBalance!L183-SUM(TrialBalance!L5:L165)</f>
        <v>0</v>
      </c>
      <c r="N626" s="475"/>
      <c r="O626" s="555">
        <f>-TrialBalance!N183-SUM(TrialBalance!N5:N165)</f>
        <v>0</v>
      </c>
      <c r="P626" s="459"/>
      <c r="Q626" s="469"/>
      <c r="V626" s="518" t="b">
        <f>M626=M708</f>
        <v>1</v>
      </c>
      <c r="W626" s="518"/>
      <c r="X626" s="518" t="b">
        <f>O626=O708</f>
        <v>1</v>
      </c>
      <c r="Y626" s="513">
        <f>IF(M626&lt;0,1,IF(M626=0,IF(O626&lt;0,1,2),2))</f>
        <v>2</v>
      </c>
      <c r="Z626" s="513">
        <f>IF(O626&lt;0,1,IF(O626=0,IF(M626&lt;0,1,2),2))</f>
        <v>2</v>
      </c>
    </row>
    <row r="627" spans="2:26" ht="9" customHeight="1" x14ac:dyDescent="0.45">
      <c r="B627" s="468"/>
      <c r="K627" s="451"/>
      <c r="L627" s="451"/>
      <c r="M627" s="534"/>
      <c r="N627" s="473"/>
      <c r="O627" s="554"/>
      <c r="P627" s="459"/>
      <c r="Q627" s="469"/>
      <c r="X627" s="518"/>
    </row>
    <row r="628" spans="2:26" ht="9" customHeight="1" x14ac:dyDescent="0.45">
      <c r="B628" s="468"/>
      <c r="K628" s="451"/>
      <c r="L628" s="451"/>
      <c r="M628" s="531"/>
      <c r="N628" s="470"/>
      <c r="O628" s="531"/>
      <c r="P628" s="459"/>
      <c r="Q628" s="469"/>
    </row>
    <row r="629" spans="2:26" ht="31.5" customHeight="1" x14ac:dyDescent="0.45">
      <c r="B629" s="468"/>
      <c r="K629" s="451"/>
      <c r="L629" s="451"/>
      <c r="M629" s="531"/>
      <c r="N629" s="470"/>
      <c r="O629" s="531"/>
      <c r="P629" s="459"/>
      <c r="Q629" s="469"/>
      <c r="V629" s="518">
        <f>M626-M708</f>
        <v>0</v>
      </c>
      <c r="X629" s="518">
        <f>O626-O708</f>
        <v>0</v>
      </c>
    </row>
    <row r="630" spans="2:26" ht="31.5" customHeight="1" x14ac:dyDescent="0.45">
      <c r="B630" s="468"/>
      <c r="D630" s="449" t="s">
        <v>134</v>
      </c>
      <c r="K630" s="451"/>
      <c r="L630" s="451"/>
      <c r="M630" s="531">
        <f>SUM(M633:M636)</f>
        <v>0</v>
      </c>
      <c r="N630" s="470"/>
      <c r="O630" s="531">
        <f>SUM(O633:O636)</f>
        <v>0</v>
      </c>
      <c r="P630" s="459"/>
      <c r="Q630" s="469"/>
      <c r="R630" s="512" t="str">
        <f>IF(M630=0,IF(O630=0,"DELETE"," ")," ")</f>
        <v>DELETE</v>
      </c>
      <c r="S630" s="517">
        <f>M630</f>
        <v>0</v>
      </c>
      <c r="T630" s="517"/>
      <c r="U630" s="517">
        <f>O630</f>
        <v>0</v>
      </c>
      <c r="V630" s="517"/>
      <c r="W630" s="517"/>
      <c r="X630" s="517"/>
    </row>
    <row r="631" spans="2:26" ht="9" customHeight="1" x14ac:dyDescent="0.45">
      <c r="B631" s="468"/>
      <c r="K631" s="451"/>
      <c r="L631" s="451"/>
      <c r="M631" s="531"/>
      <c r="N631" s="470"/>
      <c r="O631" s="531"/>
      <c r="P631" s="459"/>
      <c r="Q631" s="469"/>
      <c r="R631" s="512" t="str">
        <f>R630</f>
        <v>DELETE</v>
      </c>
    </row>
    <row r="632" spans="2:26" ht="9" customHeight="1" x14ac:dyDescent="0.45">
      <c r="B632" s="468"/>
      <c r="K632" s="451"/>
      <c r="L632" s="451"/>
      <c r="M632" s="532"/>
      <c r="N632" s="471"/>
      <c r="O632" s="552"/>
      <c r="P632" s="459"/>
      <c r="Q632" s="469"/>
      <c r="R632" s="512" t="str">
        <f>R630</f>
        <v>DELETE</v>
      </c>
    </row>
    <row r="633" spans="2:26" ht="31.5" customHeight="1" x14ac:dyDescent="0.45">
      <c r="B633" s="468"/>
      <c r="D633" s="449" t="str">
        <f>IF(COUNTIF(TrialBalance!L185:L199,"&lt;0")&gt;1,"Interest bearing borrowings",IF(COUNTIF(TrialBalance!N185:N199,"&lt;0")&gt;1,"Interest bearing borrowings","Interest bearing borrowing"))</f>
        <v>Interest bearing borrowing</v>
      </c>
      <c r="K633" s="451">
        <f>B2182</f>
        <v>23</v>
      </c>
      <c r="L633" s="451"/>
      <c r="M633" s="533">
        <f>-SUM(TrialBalance!L185:L200)</f>
        <v>0</v>
      </c>
      <c r="N633" s="470"/>
      <c r="O633" s="553">
        <f>-SUM(TrialBalance!N185:N200)</f>
        <v>0</v>
      </c>
      <c r="P633" s="459"/>
      <c r="Q633" s="469"/>
      <c r="R633" s="512" t="str">
        <f>IF(M633=0,IF(O633=0,"DELETE"," ")," ")</f>
        <v>DELETE</v>
      </c>
      <c r="V633" s="513" t="b">
        <f>M633=M2204</f>
        <v>1</v>
      </c>
      <c r="X633" s="513" t="b">
        <f>O633=O2204</f>
        <v>1</v>
      </c>
    </row>
    <row r="634" spans="2:26" ht="31.5" customHeight="1" x14ac:dyDescent="0.45">
      <c r="B634" s="468"/>
      <c r="D634" s="449" t="str">
        <f>IF(COUNTIF(TrialBalance!L202:L218,"&lt;0")&gt;1,"Interest free borrowings",IF(COUNTIF(TrialBalance!N202:N218,"&lt;0")&gt;1,"Interest free borrowings","Interest free borrowing"))</f>
        <v>Interest free borrowing</v>
      </c>
      <c r="K634" s="451">
        <f>B2221</f>
        <v>24</v>
      </c>
      <c r="L634" s="451"/>
      <c r="M634" s="533">
        <f>-SUM(TrialBalance!L202:L218)</f>
        <v>0</v>
      </c>
      <c r="N634" s="470"/>
      <c r="O634" s="553">
        <f>-SUM(TrialBalance!N202:N218)</f>
        <v>0</v>
      </c>
      <c r="P634" s="459"/>
      <c r="Q634" s="469"/>
      <c r="R634" s="512" t="str">
        <f>IF(M634=0,IF(O634=0,"DELETE"," ")," ")</f>
        <v>DELETE</v>
      </c>
      <c r="V634" s="513" t="b">
        <f>M634=M2241</f>
        <v>1</v>
      </c>
      <c r="X634" s="513" t="b">
        <f>O634=O2241</f>
        <v>1</v>
      </c>
    </row>
    <row r="635" spans="2:26" ht="31.5" customHeight="1" x14ac:dyDescent="0.45">
      <c r="B635" s="468"/>
      <c r="D635" s="449" t="s">
        <v>640</v>
      </c>
      <c r="K635" s="451">
        <f>B2259</f>
        <v>25</v>
      </c>
      <c r="L635" s="451"/>
      <c r="M635" s="533">
        <f>IF(SUM(TrialBalance!L220:L227)&gt;0,0,-SUM(TrialBalance!L220:L227))</f>
        <v>0</v>
      </c>
      <c r="N635" s="470"/>
      <c r="O635" s="553">
        <f>IF(SUM(TrialBalance!N220:N227)&gt;0,0,-SUM(TrialBalance!N220:N227))</f>
        <v>0</v>
      </c>
      <c r="P635" s="459"/>
      <c r="Q635" s="469"/>
      <c r="R635" s="512" t="str">
        <f>IF(M635=0,IF(O635=0,"DELETE"," ")," ")</f>
        <v>DELETE</v>
      </c>
      <c r="V635" s="518" t="str">
        <f>IF(M635=0,"TRUE",M635=M2301)</f>
        <v>TRUE</v>
      </c>
      <c r="W635" s="518"/>
      <c r="X635" s="518" t="str">
        <f>IF(O635=0,"TRUE",O635=O2301)</f>
        <v>TRUE</v>
      </c>
    </row>
    <row r="636" spans="2:26" ht="9" customHeight="1" x14ac:dyDescent="0.45">
      <c r="B636" s="468"/>
      <c r="K636" s="451"/>
      <c r="L636" s="451"/>
      <c r="M636" s="534"/>
      <c r="N636" s="473"/>
      <c r="O636" s="554"/>
      <c r="P636" s="459"/>
      <c r="Q636" s="469"/>
      <c r="R636" s="512" t="str">
        <f>R630</f>
        <v>DELETE</v>
      </c>
    </row>
    <row r="637" spans="2:26" ht="9" customHeight="1" x14ac:dyDescent="0.45">
      <c r="B637" s="468"/>
      <c r="K637" s="451"/>
      <c r="L637" s="451"/>
      <c r="M637" s="531"/>
      <c r="N637" s="470"/>
      <c r="O637" s="531"/>
      <c r="P637" s="459"/>
      <c r="Q637" s="469"/>
      <c r="R637" s="512" t="str">
        <f>R630</f>
        <v>DELETE</v>
      </c>
    </row>
    <row r="638" spans="2:26" ht="31.5" customHeight="1" x14ac:dyDescent="0.45">
      <c r="B638" s="468"/>
      <c r="K638" s="451"/>
      <c r="L638" s="451"/>
      <c r="M638" s="531"/>
      <c r="N638" s="470"/>
      <c r="O638" s="531"/>
      <c r="P638" s="459"/>
      <c r="Q638" s="469"/>
      <c r="R638" s="512" t="str">
        <f>R630</f>
        <v>DELETE</v>
      </c>
    </row>
    <row r="639" spans="2:26" ht="31.5" customHeight="1" x14ac:dyDescent="0.45">
      <c r="B639" s="468"/>
      <c r="D639" s="449" t="s">
        <v>135</v>
      </c>
      <c r="K639" s="451"/>
      <c r="L639" s="451"/>
      <c r="M639" s="531">
        <f>SUM(M642:M647)</f>
        <v>0</v>
      </c>
      <c r="N639" s="470"/>
      <c r="O639" s="531">
        <f>SUM(O642:O647)</f>
        <v>0</v>
      </c>
      <c r="P639" s="459"/>
      <c r="Q639" s="469"/>
      <c r="R639" s="512" t="str">
        <f>IF(M639=0,IF(O639=0,"DELETE"," ")," ")</f>
        <v>DELETE</v>
      </c>
      <c r="S639" s="517">
        <f>M639</f>
        <v>0</v>
      </c>
      <c r="T639" s="517"/>
      <c r="U639" s="517">
        <f>O639</f>
        <v>0</v>
      </c>
      <c r="V639" s="517"/>
      <c r="W639" s="517"/>
      <c r="X639" s="517"/>
    </row>
    <row r="640" spans="2:26" ht="9" customHeight="1" x14ac:dyDescent="0.45">
      <c r="B640" s="468"/>
      <c r="K640" s="451"/>
      <c r="L640" s="451"/>
      <c r="M640" s="531"/>
      <c r="N640" s="470"/>
      <c r="O640" s="531"/>
      <c r="P640" s="459"/>
      <c r="Q640" s="469"/>
      <c r="R640" s="512" t="str">
        <f>R639</f>
        <v>DELETE</v>
      </c>
    </row>
    <row r="641" spans="2:24" ht="9" customHeight="1" x14ac:dyDescent="0.45">
      <c r="B641" s="468"/>
      <c r="K641" s="451"/>
      <c r="L641" s="451"/>
      <c r="M641" s="532"/>
      <c r="N641" s="471"/>
      <c r="O641" s="552"/>
      <c r="P641" s="459"/>
      <c r="Q641" s="469"/>
      <c r="R641" s="512" t="str">
        <f>R639</f>
        <v>DELETE</v>
      </c>
    </row>
    <row r="642" spans="2:24" ht="31.5" customHeight="1" x14ac:dyDescent="0.45">
      <c r="B642" s="468"/>
      <c r="D642" s="449" t="s">
        <v>940</v>
      </c>
      <c r="K642" s="451">
        <f>B2323</f>
        <v>26</v>
      </c>
      <c r="L642" s="451"/>
      <c r="M642" s="533">
        <f>-SUM(TrialBalance!L378:L383)-IF(TrialBalance!L398&lt;0,TrialBalance!L398,0)</f>
        <v>0</v>
      </c>
      <c r="N642" s="470"/>
      <c r="O642" s="553">
        <f>-SUM(TrialBalance!N378:N383)-IF(TrialBalance!N398&lt;0,TrialBalance!N398,0)</f>
        <v>0</v>
      </c>
      <c r="P642" s="459"/>
      <c r="Q642" s="469"/>
      <c r="R642" s="512" t="str">
        <f t="shared" ref="R642:R647" si="7">IF(M642=0,IF(O642=0,"DELETE"," ")," ")</f>
        <v>DELETE</v>
      </c>
      <c r="V642" s="513" t="b">
        <f>M642=M2332</f>
        <v>1</v>
      </c>
      <c r="X642" s="513" t="b">
        <f>O642=O2332</f>
        <v>1</v>
      </c>
    </row>
    <row r="643" spans="2:24" ht="31.5" customHeight="1" x14ac:dyDescent="0.45">
      <c r="B643" s="468"/>
      <c r="D643" s="449" t="str">
        <f>IF(COUNTIF(TrialBalance!L366:L371,"&lt;0")&gt;1,"Bank overdrafts",IF(COUNTIF(TrialBalance!N366:N371,"&lt;0")&gt;1,"Bank overdrafts","Bank overdraft"))</f>
        <v>Bank overdraft</v>
      </c>
      <c r="K643" s="451">
        <f>B2349</f>
        <v>27</v>
      </c>
      <c r="L643" s="451"/>
      <c r="M643" s="533">
        <f>IF(TrialBalance!L366&lt;0,-TrialBalance!L366,0)+IF(TrialBalance!L367&lt;0,-TrialBalance!L367,0)+IF(TrialBalance!L368&lt;0,-TrialBalance!L368,0)+IF(TrialBalance!L369&lt;0,-TrialBalance!L369,0)+IF(TrialBalance!L370&lt;0,-TrialBalance!L370,0)+IF(TrialBalance!L371&lt;0,-TrialBalance!L371,0)</f>
        <v>0</v>
      </c>
      <c r="N643" s="470"/>
      <c r="O643" s="553">
        <f>IF(TrialBalance!N366&lt;0,-TrialBalance!N366,0)+IF(TrialBalance!N367&lt;0,-TrialBalance!N367,0)+IF(TrialBalance!N368&lt;0,-TrialBalance!N368,0)+IF(TrialBalance!N369&lt;0,-TrialBalance!N369,0)+IF(TrialBalance!N370&lt;0,-TrialBalance!N370,0)+IF(TrialBalance!N371&lt;0,-TrialBalance!N371,0)</f>
        <v>0</v>
      </c>
      <c r="P643" s="459"/>
      <c r="Q643" s="469"/>
      <c r="R643" s="512" t="str">
        <f t="shared" si="7"/>
        <v>DELETE</v>
      </c>
      <c r="V643" s="513" t="b">
        <f>M643=M2358</f>
        <v>1</v>
      </c>
      <c r="X643" s="513" t="b">
        <f>O643=O2358</f>
        <v>1</v>
      </c>
    </row>
    <row r="644" spans="2:24" ht="31.5" customHeight="1" x14ac:dyDescent="0.45">
      <c r="B644" s="468"/>
      <c r="D644" s="449" t="str">
        <f>IF(COUNTIF(TrialBalance!L374:L376,"&lt;0")&gt;1,"Short term loans",IF(COUNTIF(TrialBalance!N374:N376,"&lt;0")&gt;1,"Short term loans","Short term loan"))</f>
        <v>Short term loan</v>
      </c>
      <c r="K644" s="451">
        <f>B2375</f>
        <v>28</v>
      </c>
      <c r="L644" s="451"/>
      <c r="M644" s="533">
        <f>-SUM(TrialBalance!L374:L376)</f>
        <v>0</v>
      </c>
      <c r="N644" s="470"/>
      <c r="O644" s="553">
        <f>-SUM(TrialBalance!N374:N376)</f>
        <v>0</v>
      </c>
      <c r="P644" s="459"/>
      <c r="Q644" s="469"/>
      <c r="R644" s="512" t="str">
        <f t="shared" si="7"/>
        <v>DELETE</v>
      </c>
      <c r="V644" s="513" t="b">
        <f>M644=M2381</f>
        <v>1</v>
      </c>
      <c r="X644" s="513" t="b">
        <f>O644=O2381</f>
        <v>1</v>
      </c>
    </row>
    <row r="645" spans="2:24" ht="31.5" customHeight="1" x14ac:dyDescent="0.45">
      <c r="B645" s="468"/>
      <c r="D645" s="449" t="str">
        <f>IF(COUNTIF(TrialBalance!L185:L199,"&lt;0")&gt;1,"Current portion of interest bearing borrowings",IF(COUNTIF(TrialBalance!N185:N199,"&lt;0")&gt;1,"Current portion of interest bearing borrowings","Current portion of interest bearing borrowing"))</f>
        <v>Current portion of interest bearing borrowing</v>
      </c>
      <c r="K645" s="451">
        <f>B2182</f>
        <v>23</v>
      </c>
      <c r="L645" s="451"/>
      <c r="M645" s="533">
        <f>-TrialBalance!L377</f>
        <v>0</v>
      </c>
      <c r="N645" s="470"/>
      <c r="O645" s="553">
        <f>-TrialBalance!N377</f>
        <v>0</v>
      </c>
      <c r="P645" s="459"/>
      <c r="Q645" s="469"/>
      <c r="R645" s="512" t="str">
        <f t="shared" si="7"/>
        <v>DELETE</v>
      </c>
      <c r="V645" s="513" t="b">
        <f>M645=M2201</f>
        <v>1</v>
      </c>
      <c r="X645" s="513" t="b">
        <f>O645=O2201</f>
        <v>1</v>
      </c>
    </row>
    <row r="646" spans="2:24" ht="31.5" customHeight="1" x14ac:dyDescent="0.45">
      <c r="B646" s="468"/>
      <c r="D646" s="449" t="str">
        <f>IF(COUNTIF(TrialBalance!L392:L396,"&lt;0")&gt;1,"Provisions",IF(COUNTIF(TrialBalance!N392:N396,"&lt;0")&gt;1,"Provisions","Provision"))</f>
        <v>Provision</v>
      </c>
      <c r="K646" s="451">
        <f>B2398</f>
        <v>29</v>
      </c>
      <c r="L646" s="451"/>
      <c r="M646" s="533">
        <f>-SUM(TrialBalance!L392:L396)</f>
        <v>0</v>
      </c>
      <c r="N646" s="470"/>
      <c r="O646" s="553">
        <f>-SUM(TrialBalance!N392:N396)</f>
        <v>0</v>
      </c>
      <c r="P646" s="459"/>
      <c r="Q646" s="469"/>
      <c r="R646" s="512" t="str">
        <f t="shared" si="7"/>
        <v>DELETE</v>
      </c>
      <c r="V646" s="513" t="b">
        <f>M646=M2406</f>
        <v>1</v>
      </c>
      <c r="X646" s="513" t="b">
        <f>O646=O2406</f>
        <v>1</v>
      </c>
    </row>
    <row r="647" spans="2:24" ht="31.5" customHeight="1" x14ac:dyDescent="0.45">
      <c r="B647" s="468"/>
      <c r="D647" s="449" t="s">
        <v>641</v>
      </c>
      <c r="K647" s="451">
        <f>B2423</f>
        <v>30</v>
      </c>
      <c r="L647" s="451"/>
      <c r="M647" s="533">
        <f>IF(-SUM(TrialBalance!L385:L391)&gt;0,-SUM(TrialBalance!L385:L391),0)</f>
        <v>0</v>
      </c>
      <c r="N647" s="470"/>
      <c r="O647" s="553">
        <f>IF(-SUM(TrialBalance!N385:N391)&gt;0,-SUM(TrialBalance!N385:N391),0)</f>
        <v>0</v>
      </c>
      <c r="P647" s="459"/>
      <c r="Q647" s="469"/>
      <c r="R647" s="512" t="str">
        <f t="shared" si="7"/>
        <v>DELETE</v>
      </c>
      <c r="V647" s="518" t="str">
        <f>IF(M647=0,"TRUE",M647=M2433)</f>
        <v>TRUE</v>
      </c>
      <c r="X647" s="518" t="str">
        <f>IF(O647=0,"TRUE",O647=O2433)</f>
        <v>TRUE</v>
      </c>
    </row>
    <row r="648" spans="2:24" ht="9" customHeight="1" x14ac:dyDescent="0.45">
      <c r="B648" s="468"/>
      <c r="K648" s="451"/>
      <c r="L648" s="451"/>
      <c r="M648" s="534"/>
      <c r="N648" s="473"/>
      <c r="O648" s="554"/>
      <c r="P648" s="459"/>
      <c r="Q648" s="469"/>
      <c r="R648" s="512" t="str">
        <f>R639</f>
        <v>DELETE</v>
      </c>
    </row>
    <row r="649" spans="2:24" ht="9" customHeight="1" x14ac:dyDescent="0.45">
      <c r="B649" s="468"/>
      <c r="K649" s="451"/>
      <c r="L649" s="451"/>
      <c r="M649" s="531"/>
      <c r="N649" s="470"/>
      <c r="O649" s="531"/>
      <c r="P649" s="459"/>
      <c r="Q649" s="469"/>
      <c r="R649" s="512" t="str">
        <f>R639</f>
        <v>DELETE</v>
      </c>
    </row>
    <row r="650" spans="2:24" ht="31.5" customHeight="1" x14ac:dyDescent="0.45">
      <c r="B650" s="468"/>
      <c r="K650" s="451"/>
      <c r="L650" s="451"/>
      <c r="M650" s="531"/>
      <c r="N650" s="470"/>
      <c r="O650" s="531"/>
      <c r="P650" s="459"/>
      <c r="Q650" s="469"/>
      <c r="R650" s="512" t="str">
        <f>R639</f>
        <v>DELETE</v>
      </c>
    </row>
    <row r="651" spans="2:24" ht="9" customHeight="1" x14ac:dyDescent="0.45">
      <c r="B651" s="468"/>
      <c r="K651" s="451"/>
      <c r="L651" s="451"/>
      <c r="M651" s="535"/>
      <c r="N651" s="473"/>
      <c r="O651" s="535"/>
      <c r="P651" s="459"/>
      <c r="Q651" s="469"/>
    </row>
    <row r="652" spans="2:24" ht="9" customHeight="1" x14ac:dyDescent="0.45">
      <c r="B652" s="468"/>
      <c r="K652" s="451"/>
      <c r="L652" s="451"/>
      <c r="M652" s="531"/>
      <c r="N652" s="470"/>
      <c r="O652" s="531"/>
      <c r="P652" s="459"/>
      <c r="Q652" s="469"/>
    </row>
    <row r="653" spans="2:24" ht="31.5" customHeight="1" x14ac:dyDescent="0.45">
      <c r="B653" s="468"/>
      <c r="D653" s="449" t="s">
        <v>136</v>
      </c>
      <c r="J653" s="476"/>
      <c r="K653" s="451"/>
      <c r="L653" s="451"/>
      <c r="M653" s="531">
        <f>SUM(S620:S650)</f>
        <v>0</v>
      </c>
      <c r="N653" s="470"/>
      <c r="O653" s="531">
        <f>SUM(U620:U650)</f>
        <v>0</v>
      </c>
      <c r="P653" s="459"/>
      <c r="Q653" s="469"/>
      <c r="R653" s="520"/>
    </row>
    <row r="654" spans="2:24" ht="9" customHeight="1" thickBot="1" x14ac:dyDescent="0.5">
      <c r="B654" s="468"/>
      <c r="J654" s="476"/>
      <c r="K654" s="451"/>
      <c r="L654" s="451"/>
      <c r="M654" s="536"/>
      <c r="N654" s="474"/>
      <c r="O654" s="536"/>
      <c r="P654" s="459"/>
      <c r="Q654" s="469"/>
    </row>
    <row r="655" spans="2:24" ht="9" customHeight="1" thickTop="1" x14ac:dyDescent="0.45">
      <c r="B655" s="468"/>
      <c r="J655" s="476"/>
      <c r="K655" s="451"/>
      <c r="L655" s="451"/>
      <c r="M655" s="531"/>
      <c r="N655" s="470"/>
      <c r="O655" s="531"/>
      <c r="P655" s="459"/>
      <c r="Q655" s="469"/>
    </row>
    <row r="656" spans="2:24" ht="31.5" customHeight="1" x14ac:dyDescent="0.45">
      <c r="B656" s="468"/>
      <c r="J656" s="476"/>
      <c r="K656" s="451"/>
      <c r="L656" s="451"/>
      <c r="M656" s="531"/>
      <c r="N656" s="470"/>
      <c r="O656" s="531"/>
      <c r="P656" s="459"/>
      <c r="Q656" s="469"/>
    </row>
    <row r="657" spans="2:18" ht="31.5" customHeight="1" x14ac:dyDescent="0.45">
      <c r="B657" s="477"/>
      <c r="C657" s="461"/>
      <c r="D657" s="461"/>
      <c r="E657" s="461"/>
      <c r="F657" s="461"/>
      <c r="G657" s="461"/>
      <c r="H657" s="461"/>
      <c r="I657" s="461"/>
      <c r="J657" s="478"/>
      <c r="K657" s="461"/>
      <c r="L657" s="461"/>
      <c r="M657" s="630"/>
      <c r="N657" s="631"/>
      <c r="O657" s="630"/>
      <c r="P657" s="631"/>
      <c r="Q657" s="479"/>
    </row>
    <row r="658" spans="2:18" ht="31.5" customHeight="1" x14ac:dyDescent="0.45"/>
    <row r="659" spans="2:18" ht="31.5" customHeight="1" x14ac:dyDescent="0.45"/>
    <row r="660" spans="2:18" ht="31.5" customHeight="1" x14ac:dyDescent="0.45">
      <c r="D660" s="450" t="str">
        <f>Criteria!E9</f>
        <v>ABC COMPANY (PROPRIETARY) LIMITED</v>
      </c>
      <c r="O660" s="529" t="s">
        <v>121</v>
      </c>
      <c r="Q660" s="451">
        <f>MAX($Q$114:Q659)+1</f>
        <v>10</v>
      </c>
    </row>
    <row r="661" spans="2:18" ht="31.5" customHeight="1" x14ac:dyDescent="0.45">
      <c r="D661" s="450" t="str">
        <f>Criteria!E10</f>
        <v>T/A SEAFRONT HOTEL, SEAFRONT RESTAURANT AND RENTAL PROPERTIES</v>
      </c>
      <c r="R661" s="512" t="str">
        <f>IF(D661=0,"DELETE"," ")</f>
        <v xml:space="preserve"> </v>
      </c>
    </row>
    <row r="662" spans="2:18" ht="31.5" customHeight="1" x14ac:dyDescent="0.45"/>
    <row r="663" spans="2:18" ht="31.5" customHeight="1" x14ac:dyDescent="0.45">
      <c r="D663" s="450" t="s">
        <v>573</v>
      </c>
    </row>
    <row r="664" spans="2:18" ht="31.5" customHeight="1" x14ac:dyDescent="0.45">
      <c r="D664" s="450" t="str">
        <f>Criteria!E20</f>
        <v>29 FEBRUARY 2024</v>
      </c>
    </row>
    <row r="665" spans="2:18" ht="31.5" customHeight="1" x14ac:dyDescent="0.45">
      <c r="K665" s="461"/>
      <c r="L665" s="461"/>
      <c r="M665" s="630"/>
      <c r="N665" s="631"/>
      <c r="O665" s="630"/>
    </row>
    <row r="666" spans="2:18" ht="31.5" customHeight="1" x14ac:dyDescent="0.45">
      <c r="B666" s="465"/>
      <c r="C666" s="466"/>
      <c r="D666" s="466"/>
      <c r="E666" s="466"/>
      <c r="F666" s="466"/>
      <c r="G666" s="466"/>
      <c r="H666" s="466"/>
      <c r="I666" s="466"/>
      <c r="J666" s="466"/>
      <c r="K666" s="451"/>
      <c r="L666" s="451"/>
      <c r="M666" s="525"/>
      <c r="N666" s="458"/>
      <c r="O666" s="525"/>
      <c r="P666" s="480"/>
      <c r="Q666" s="467"/>
    </row>
    <row r="667" spans="2:18" ht="31.5" customHeight="1" x14ac:dyDescent="0.45">
      <c r="B667" s="468"/>
      <c r="K667" s="451"/>
      <c r="L667" s="451"/>
      <c r="M667" s="525">
        <f>Criteria!E22</f>
        <v>2024</v>
      </c>
      <c r="N667" s="458"/>
      <c r="O667" s="525">
        <f>Criteria!E27</f>
        <v>2023</v>
      </c>
      <c r="P667" s="458"/>
      <c r="Q667" s="469"/>
    </row>
    <row r="668" spans="2:18" ht="31.5" customHeight="1" x14ac:dyDescent="0.45">
      <c r="B668" s="468"/>
      <c r="K668" s="451"/>
      <c r="L668" s="451"/>
      <c r="M668" s="529"/>
      <c r="N668" s="459"/>
      <c r="O668" s="529"/>
      <c r="P668" s="459"/>
      <c r="Q668" s="469"/>
    </row>
    <row r="669" spans="2:18" ht="31.5" customHeight="1" x14ac:dyDescent="0.45">
      <c r="B669" s="485">
        <v>1</v>
      </c>
      <c r="C669" s="450" t="s">
        <v>571</v>
      </c>
      <c r="M669" s="541"/>
      <c r="N669" s="486"/>
      <c r="O669" s="531"/>
      <c r="P669" s="459"/>
      <c r="Q669" s="469"/>
    </row>
    <row r="670" spans="2:18" ht="31.5" customHeight="1" x14ac:dyDescent="0.45">
      <c r="B670" s="485"/>
      <c r="M670" s="541"/>
      <c r="N670" s="486"/>
      <c r="O670" s="531"/>
      <c r="P670" s="459"/>
      <c r="Q670" s="469"/>
    </row>
    <row r="671" spans="2:18" ht="31.5" customHeight="1" x14ac:dyDescent="0.45">
      <c r="B671" s="485"/>
      <c r="D671" s="449" t="s">
        <v>574</v>
      </c>
      <c r="M671" s="542">
        <f>O675</f>
        <v>0</v>
      </c>
      <c r="N671" s="487"/>
      <c r="O671" s="531">
        <f>-TrialBalance!N169</f>
        <v>0</v>
      </c>
      <c r="P671" s="459"/>
      <c r="Q671" s="469"/>
    </row>
    <row r="672" spans="2:18" ht="31.5" customHeight="1" x14ac:dyDescent="0.45">
      <c r="B672" s="485"/>
      <c r="D672" s="449" t="s">
        <v>575</v>
      </c>
      <c r="M672" s="542">
        <f>-TrialBalance!L170</f>
        <v>0</v>
      </c>
      <c r="N672" s="487"/>
      <c r="O672" s="531">
        <f>-TrialBalance!N170</f>
        <v>0</v>
      </c>
      <c r="P672" s="459"/>
      <c r="Q672" s="469"/>
    </row>
    <row r="673" spans="2:24" ht="9" customHeight="1" x14ac:dyDescent="0.45">
      <c r="B673" s="485"/>
      <c r="M673" s="543"/>
      <c r="N673" s="488"/>
      <c r="O673" s="556"/>
      <c r="P673" s="459"/>
      <c r="Q673" s="469"/>
    </row>
    <row r="674" spans="2:24" ht="9" customHeight="1" x14ac:dyDescent="0.45">
      <c r="B674" s="485"/>
      <c r="M674" s="542"/>
      <c r="N674" s="487"/>
      <c r="O674" s="531"/>
      <c r="P674" s="459"/>
      <c r="Q674" s="469"/>
    </row>
    <row r="675" spans="2:24" ht="31.5" customHeight="1" x14ac:dyDescent="0.45">
      <c r="B675" s="485"/>
      <c r="D675" s="449" t="s">
        <v>576</v>
      </c>
      <c r="M675" s="531">
        <f>SUM(M671:M674)</f>
        <v>0</v>
      </c>
      <c r="N675" s="487"/>
      <c r="O675" s="531">
        <f>SUM(O671:O674)</f>
        <v>0</v>
      </c>
      <c r="P675" s="459"/>
      <c r="Q675" s="469"/>
      <c r="V675" s="513" t="b">
        <f>M675=M2108</f>
        <v>1</v>
      </c>
      <c r="X675" s="513" t="b">
        <f>O675=O2108</f>
        <v>1</v>
      </c>
    </row>
    <row r="676" spans="2:24" ht="9" customHeight="1" thickBot="1" x14ac:dyDescent="0.5">
      <c r="B676" s="485"/>
      <c r="M676" s="544"/>
      <c r="N676" s="489"/>
      <c r="O676" s="536"/>
      <c r="P676" s="459"/>
      <c r="Q676" s="469"/>
    </row>
    <row r="677" spans="2:24" ht="9" customHeight="1" thickTop="1" x14ac:dyDescent="0.45">
      <c r="B677" s="485"/>
      <c r="M677" s="545"/>
      <c r="N677" s="490"/>
      <c r="O677" s="548"/>
      <c r="P677" s="459"/>
      <c r="Q677" s="469"/>
    </row>
    <row r="678" spans="2:24" ht="31.5" customHeight="1" x14ac:dyDescent="0.45">
      <c r="B678" s="485"/>
      <c r="M678" s="542"/>
      <c r="N678" s="487"/>
      <c r="O678" s="531"/>
      <c r="P678" s="459"/>
      <c r="Q678" s="469"/>
      <c r="R678" s="512" t="str">
        <f>R679</f>
        <v>DELETE</v>
      </c>
    </row>
    <row r="679" spans="2:24" ht="31.5" customHeight="1" x14ac:dyDescent="0.45">
      <c r="B679" s="485">
        <f>MAX(B$669:B678)+1</f>
        <v>2</v>
      </c>
      <c r="C679" s="450" t="s">
        <v>577</v>
      </c>
      <c r="M679" s="542"/>
      <c r="N679" s="487"/>
      <c r="O679" s="531"/>
      <c r="P679" s="459"/>
      <c r="Q679" s="469"/>
      <c r="R679" s="512" t="str">
        <f>R686</f>
        <v>DELETE</v>
      </c>
    </row>
    <row r="680" spans="2:24" ht="31.5" customHeight="1" x14ac:dyDescent="0.45">
      <c r="B680" s="485"/>
      <c r="M680" s="542"/>
      <c r="N680" s="487"/>
      <c r="O680" s="531"/>
      <c r="P680" s="459"/>
      <c r="Q680" s="469"/>
      <c r="R680" s="512" t="str">
        <f>R686</f>
        <v>DELETE</v>
      </c>
    </row>
    <row r="681" spans="2:24" ht="31.5" customHeight="1" x14ac:dyDescent="0.45">
      <c r="B681" s="485"/>
      <c r="D681" s="449" t="s">
        <v>1736</v>
      </c>
      <c r="M681" s="542">
        <f>O686</f>
        <v>0</v>
      </c>
      <c r="N681" s="487"/>
      <c r="O681" s="539">
        <f>-TrialBalance!N172</f>
        <v>0</v>
      </c>
      <c r="P681" s="459"/>
      <c r="Q681" s="469"/>
      <c r="R681" s="512" t="str">
        <f>R686</f>
        <v>DELETE</v>
      </c>
    </row>
    <row r="682" spans="2:24" ht="31.5" customHeight="1" x14ac:dyDescent="0.45">
      <c r="B682" s="485"/>
      <c r="D682" s="449" t="s">
        <v>578</v>
      </c>
      <c r="M682" s="542">
        <f>-TrialBalance!L173</f>
        <v>0</v>
      </c>
      <c r="N682" s="487"/>
      <c r="O682" s="539">
        <f>-TrialBalance!N173</f>
        <v>0</v>
      </c>
      <c r="P682" s="459"/>
      <c r="Q682" s="469"/>
      <c r="R682" s="512" t="str">
        <f>IF(M682=0,IF(O682=0,"DELETE"," ")," ")</f>
        <v>DELETE</v>
      </c>
    </row>
    <row r="683" spans="2:24" ht="31.5" customHeight="1" x14ac:dyDescent="0.45">
      <c r="B683" s="485"/>
      <c r="D683" s="449" t="s">
        <v>579</v>
      </c>
      <c r="M683" s="542">
        <f>-TrialBalance!L174</f>
        <v>0</v>
      </c>
      <c r="N683" s="487"/>
      <c r="O683" s="539">
        <f>-TrialBalance!N174</f>
        <v>0</v>
      </c>
      <c r="P683" s="459"/>
      <c r="Q683" s="469"/>
      <c r="R683" s="512" t="str">
        <f>IF(M683=0,IF(O683=0,"DELETE"," ")," ")</f>
        <v>DELETE</v>
      </c>
    </row>
    <row r="684" spans="2:24" ht="9" customHeight="1" x14ac:dyDescent="0.45">
      <c r="B684" s="485"/>
      <c r="M684" s="543"/>
      <c r="N684" s="488"/>
      <c r="O684" s="556"/>
      <c r="P684" s="459"/>
      <c r="Q684" s="469"/>
      <c r="R684" s="512" t="str">
        <f>R686</f>
        <v>DELETE</v>
      </c>
    </row>
    <row r="685" spans="2:24" ht="9" customHeight="1" x14ac:dyDescent="0.45">
      <c r="B685" s="485"/>
      <c r="M685" s="542"/>
      <c r="N685" s="487"/>
      <c r="O685" s="531"/>
      <c r="P685" s="459"/>
      <c r="Q685" s="469"/>
      <c r="R685" s="512" t="str">
        <f>R686</f>
        <v>DELETE</v>
      </c>
    </row>
    <row r="686" spans="2:24" ht="31.5" customHeight="1" x14ac:dyDescent="0.45">
      <c r="B686" s="485"/>
      <c r="D686" s="449" t="s">
        <v>580</v>
      </c>
      <c r="M686" s="531">
        <f>SUM(M681:M684)</f>
        <v>0</v>
      </c>
      <c r="N686" s="487"/>
      <c r="O686" s="531">
        <f>SUM(O681:O684)</f>
        <v>0</v>
      </c>
      <c r="P686" s="459"/>
      <c r="Q686" s="469"/>
      <c r="R686" s="512" t="str">
        <f>IF(COUNTIF(O681:O683,"&gt;0")&gt;0," ",IF(COUNTIF(M681:M683,"&gt;0")&gt;0," ","DELETE"))</f>
        <v>DELETE</v>
      </c>
      <c r="V686" s="513" t="b">
        <f>M686=M2130</f>
        <v>1</v>
      </c>
      <c r="X686" s="513" t="b">
        <f>O686=O2130</f>
        <v>1</v>
      </c>
    </row>
    <row r="687" spans="2:24" ht="9" customHeight="1" thickBot="1" x14ac:dyDescent="0.5">
      <c r="B687" s="485"/>
      <c r="M687" s="544"/>
      <c r="N687" s="489"/>
      <c r="O687" s="536"/>
      <c r="P687" s="459"/>
      <c r="Q687" s="469"/>
      <c r="R687" s="512" t="str">
        <f>R686</f>
        <v>DELETE</v>
      </c>
    </row>
    <row r="688" spans="2:24" ht="9" customHeight="1" thickTop="1" x14ac:dyDescent="0.45">
      <c r="B688" s="485"/>
      <c r="M688" s="545"/>
      <c r="N688" s="490"/>
      <c r="O688" s="548"/>
      <c r="P688" s="459"/>
      <c r="Q688" s="469"/>
      <c r="R688" s="512" t="str">
        <f>R687</f>
        <v>DELETE</v>
      </c>
    </row>
    <row r="689" spans="2:26" ht="31.5" customHeight="1" x14ac:dyDescent="0.45">
      <c r="B689" s="485"/>
      <c r="M689" s="542"/>
      <c r="N689" s="487"/>
      <c r="O689" s="531"/>
      <c r="P689" s="459"/>
      <c r="Q689" s="469"/>
      <c r="R689" s="512" t="str">
        <f>R687</f>
        <v>DELETE</v>
      </c>
    </row>
    <row r="690" spans="2:26" ht="31.5" customHeight="1" x14ac:dyDescent="0.45">
      <c r="B690" s="485">
        <f>MAX(B$669:B689)+1</f>
        <v>3</v>
      </c>
      <c r="C690" s="450" t="s">
        <v>142</v>
      </c>
      <c r="M690" s="542"/>
      <c r="N690" s="487"/>
      <c r="O690" s="531"/>
      <c r="P690" s="459"/>
      <c r="Q690" s="469"/>
      <c r="R690" s="512" t="str">
        <f>R$697</f>
        <v>DELETE</v>
      </c>
    </row>
    <row r="691" spans="2:26" ht="31.5" customHeight="1" x14ac:dyDescent="0.45">
      <c r="B691" s="485"/>
      <c r="M691" s="542"/>
      <c r="N691" s="487"/>
      <c r="O691" s="531"/>
      <c r="P691" s="459"/>
      <c r="Q691" s="469"/>
      <c r="R691" s="512" t="str">
        <f>R$697</f>
        <v>DELETE</v>
      </c>
    </row>
    <row r="692" spans="2:26" ht="31.5" customHeight="1" x14ac:dyDescent="0.45">
      <c r="B692" s="485"/>
      <c r="D692" s="449" t="s">
        <v>143</v>
      </c>
      <c r="M692" s="542">
        <f>O697</f>
        <v>0</v>
      </c>
      <c r="N692" s="487"/>
      <c r="O692" s="539">
        <f>-TrialBalance!N176-TrialBalance!N180</f>
        <v>0</v>
      </c>
      <c r="P692" s="459"/>
      <c r="Q692" s="469"/>
      <c r="R692" s="512" t="str">
        <f>R$697</f>
        <v>DELETE</v>
      </c>
    </row>
    <row r="693" spans="2:26" ht="31.5" customHeight="1" x14ac:dyDescent="0.45">
      <c r="B693" s="485"/>
      <c r="D693" s="449" t="s">
        <v>927</v>
      </c>
      <c r="M693" s="539">
        <f>-TrialBalance!L177-TrialBalance!L181</f>
        <v>0</v>
      </c>
      <c r="N693" s="487"/>
      <c r="O693" s="539">
        <f>-TrialBalance!N177-TrialBalance!N181</f>
        <v>0</v>
      </c>
      <c r="P693" s="459"/>
      <c r="Q693" s="469"/>
      <c r="R693" s="512" t="str">
        <f>IF(M693+O693=0,"DELETE"," ")</f>
        <v>DELETE</v>
      </c>
    </row>
    <row r="694" spans="2:26" ht="31.5" customHeight="1" x14ac:dyDescent="0.45">
      <c r="B694" s="485"/>
      <c r="D694" s="449" t="s">
        <v>928</v>
      </c>
      <c r="M694" s="531">
        <f>-TrialBalance!L178-TrialBalance!L182</f>
        <v>0</v>
      </c>
      <c r="N694" s="475"/>
      <c r="O694" s="531">
        <f>-TrialBalance!N178-TrialBalance!N182</f>
        <v>0</v>
      </c>
      <c r="P694" s="459"/>
      <c r="Q694" s="469"/>
      <c r="R694" s="512" t="str">
        <f>IF(M694+O694=0,"DELETE"," ")</f>
        <v>DELETE</v>
      </c>
    </row>
    <row r="695" spans="2:26" ht="9" customHeight="1" x14ac:dyDescent="0.45">
      <c r="B695" s="485"/>
      <c r="M695" s="543"/>
      <c r="N695" s="488"/>
      <c r="O695" s="556"/>
      <c r="P695" s="459"/>
      <c r="Q695" s="469"/>
      <c r="R695" s="512" t="str">
        <f>R$697</f>
        <v>DELETE</v>
      </c>
    </row>
    <row r="696" spans="2:26" ht="9" customHeight="1" x14ac:dyDescent="0.45">
      <c r="B696" s="485"/>
      <c r="M696" s="542"/>
      <c r="N696" s="487"/>
      <c r="O696" s="531"/>
      <c r="P696" s="459"/>
      <c r="Q696" s="469"/>
      <c r="R696" s="512" t="str">
        <f>R$697</f>
        <v>DELETE</v>
      </c>
    </row>
    <row r="697" spans="2:26" ht="31.5" customHeight="1" x14ac:dyDescent="0.45">
      <c r="B697" s="485"/>
      <c r="D697" s="449" t="s">
        <v>581</v>
      </c>
      <c r="M697" s="531">
        <f>SUM(M692:M695)</f>
        <v>0</v>
      </c>
      <c r="N697" s="487"/>
      <c r="O697" s="531">
        <f>SUM(O692:O695)</f>
        <v>0</v>
      </c>
      <c r="P697" s="459"/>
      <c r="Q697" s="469"/>
      <c r="R697" s="512" t="str">
        <f>IF(COUNTIF(O692:O694,"&gt;0")&gt;0," ",IF(COUNTIF(M692:M694,"&gt;0")&gt;0," ","DELETE"))</f>
        <v>DELETE</v>
      </c>
      <c r="V697" s="513" t="b">
        <f>M697=M2165</f>
        <v>1</v>
      </c>
      <c r="X697" s="513" t="b">
        <f>O697=O2165</f>
        <v>1</v>
      </c>
    </row>
    <row r="698" spans="2:26" ht="9" customHeight="1" thickBot="1" x14ac:dyDescent="0.5">
      <c r="B698" s="485"/>
      <c r="M698" s="544"/>
      <c r="N698" s="489"/>
      <c r="O698" s="536"/>
      <c r="P698" s="459"/>
      <c r="Q698" s="469"/>
      <c r="R698" s="512" t="str">
        <f>R$697</f>
        <v>DELETE</v>
      </c>
    </row>
    <row r="699" spans="2:26" ht="9" customHeight="1" thickTop="1" x14ac:dyDescent="0.45">
      <c r="B699" s="485"/>
      <c r="M699" s="542"/>
      <c r="N699" s="487"/>
      <c r="O699" s="539"/>
      <c r="P699" s="459"/>
      <c r="Q699" s="469"/>
      <c r="R699" s="512" t="str">
        <f>R$697</f>
        <v>DELETE</v>
      </c>
    </row>
    <row r="700" spans="2:26" ht="31.5" customHeight="1" x14ac:dyDescent="0.45">
      <c r="B700" s="485"/>
      <c r="M700" s="542"/>
      <c r="N700" s="487"/>
      <c r="O700" s="531"/>
      <c r="P700" s="459"/>
      <c r="Q700" s="469"/>
    </row>
    <row r="701" spans="2:26" ht="31.5" customHeight="1" x14ac:dyDescent="0.45">
      <c r="B701" s="485">
        <f>MAX(B$669:B700)+1</f>
        <v>4</v>
      </c>
      <c r="C701" s="492" t="str">
        <f>IF((Y701+Z701)=3,"RETAINED INCOME/(ACCUMULATED LOSS)",(IF((Y701+Z701=4),"RETAINED INCOME","ACCUMULATED LOSS")))</f>
        <v>RETAINED INCOME</v>
      </c>
      <c r="M701" s="542"/>
      <c r="N701" s="487"/>
      <c r="O701" s="531"/>
      <c r="P701" s="459"/>
      <c r="Q701" s="469"/>
      <c r="Y701" s="513">
        <f>IF(M708&lt;0,1,IF(M708=0,IF(O708&lt;0,1,2),2))</f>
        <v>2</v>
      </c>
      <c r="Z701" s="513">
        <f>IF(O708&lt;0,1,IF(O708=0,IF(M708&lt;0,1,2),2))</f>
        <v>2</v>
      </c>
    </row>
    <row r="702" spans="2:26" ht="31.5" customHeight="1" x14ac:dyDescent="0.45">
      <c r="B702" s="485"/>
      <c r="M702" s="542"/>
      <c r="N702" s="487"/>
      <c r="O702" s="531"/>
      <c r="P702" s="459"/>
      <c r="Q702" s="469"/>
    </row>
    <row r="703" spans="2:26" ht="31.5" customHeight="1" x14ac:dyDescent="0.45">
      <c r="B703" s="485"/>
      <c r="D703" s="449" t="s">
        <v>143</v>
      </c>
      <c r="M703" s="542">
        <f>O708</f>
        <v>0</v>
      </c>
      <c r="N703" s="452"/>
      <c r="O703" s="542">
        <f>-TrialBalance!N183</f>
        <v>0</v>
      </c>
      <c r="P703" s="459"/>
      <c r="Q703" s="469"/>
      <c r="S703" s="517"/>
      <c r="T703" s="517"/>
      <c r="U703" s="517"/>
    </row>
    <row r="704" spans="2:26" ht="31.5" customHeight="1" x14ac:dyDescent="0.45">
      <c r="B704" s="485"/>
      <c r="D704" s="463" t="str">
        <f>IF((Y704+Z704)=3,"Net profit/(loss) for the year after taxation",(IF((Y704+Z704=4),"Net profit for the year after taxation","Net loss for the year after taxation")))</f>
        <v>Net profit for the year after taxation</v>
      </c>
      <c r="M704" s="531">
        <f>M553</f>
        <v>0</v>
      </c>
      <c r="N704" s="487"/>
      <c r="O704" s="531">
        <f>O553</f>
        <v>0</v>
      </c>
      <c r="P704" s="459"/>
      <c r="Q704" s="469"/>
      <c r="S704" s="517"/>
      <c r="T704" s="517"/>
      <c r="U704" s="517"/>
      <c r="Y704" s="513">
        <f>IF(M704&lt;0,1,IF(M704=0,IF(O704&lt;0,1,2),2))</f>
        <v>2</v>
      </c>
      <c r="Z704" s="513">
        <f>IF(O704&lt;0,1,IF(O704=0,IF(M704&lt;0,1,2),2))</f>
        <v>2</v>
      </c>
    </row>
    <row r="705" spans="2:21" ht="31.5" customHeight="1" x14ac:dyDescent="0.45">
      <c r="B705" s="485"/>
      <c r="D705" s="449" t="s">
        <v>838</v>
      </c>
      <c r="M705" s="531">
        <f>-SUM(TrialBalance!L163:L164)</f>
        <v>0</v>
      </c>
      <c r="N705" s="487"/>
      <c r="O705" s="531">
        <f>-SUM(TrialBalance!N163:N164)</f>
        <v>0</v>
      </c>
      <c r="P705" s="459"/>
      <c r="Q705" s="469"/>
      <c r="R705" s="512" t="str">
        <f>IF(M705=0,IF(O705=0,"DELETE"," ")," ")</f>
        <v>DELETE</v>
      </c>
      <c r="S705" s="517"/>
      <c r="T705" s="517"/>
      <c r="U705" s="517"/>
    </row>
    <row r="706" spans="2:21" ht="9" customHeight="1" x14ac:dyDescent="0.45">
      <c r="B706" s="485"/>
      <c r="M706" s="543"/>
      <c r="N706" s="488"/>
      <c r="O706" s="556"/>
      <c r="P706" s="459"/>
      <c r="Q706" s="469"/>
    </row>
    <row r="707" spans="2:21" ht="9" customHeight="1" x14ac:dyDescent="0.45">
      <c r="B707" s="485"/>
      <c r="M707" s="542"/>
      <c r="N707" s="487"/>
      <c r="O707" s="531"/>
      <c r="P707" s="459"/>
      <c r="Q707" s="469"/>
    </row>
    <row r="708" spans="2:21" ht="31.5" customHeight="1" x14ac:dyDescent="0.45">
      <c r="B708" s="485"/>
      <c r="D708" s="449" t="s">
        <v>581</v>
      </c>
      <c r="M708" s="531">
        <f>SUM(M703:M706)</f>
        <v>0</v>
      </c>
      <c r="N708" s="487"/>
      <c r="O708" s="531">
        <f>SUM(O703:O706)</f>
        <v>0</v>
      </c>
      <c r="P708" s="459"/>
      <c r="Q708" s="469"/>
    </row>
    <row r="709" spans="2:21" ht="9" customHeight="1" thickBot="1" x14ac:dyDescent="0.5">
      <c r="B709" s="485"/>
      <c r="M709" s="544"/>
      <c r="N709" s="489"/>
      <c r="O709" s="536"/>
      <c r="P709" s="459"/>
      <c r="Q709" s="469"/>
    </row>
    <row r="710" spans="2:21" ht="9" customHeight="1" thickTop="1" x14ac:dyDescent="0.45">
      <c r="B710" s="485"/>
      <c r="M710" s="542"/>
      <c r="N710" s="487"/>
      <c r="O710" s="531"/>
      <c r="P710" s="459"/>
      <c r="Q710" s="469"/>
    </row>
    <row r="711" spans="2:21" ht="31.5" customHeight="1" x14ac:dyDescent="0.45">
      <c r="B711" s="485"/>
      <c r="M711" s="542"/>
      <c r="N711" s="487"/>
      <c r="O711" s="531"/>
      <c r="P711" s="459"/>
      <c r="Q711" s="469"/>
    </row>
    <row r="712" spans="2:21" ht="31.5" customHeight="1" x14ac:dyDescent="0.45">
      <c r="B712" s="485"/>
      <c r="M712" s="542"/>
      <c r="N712" s="487"/>
      <c r="O712" s="531"/>
      <c r="P712" s="459"/>
      <c r="Q712" s="469"/>
    </row>
    <row r="713" spans="2:21" ht="31.5" customHeight="1" x14ac:dyDescent="0.45">
      <c r="B713" s="485"/>
      <c r="M713" s="542"/>
      <c r="N713" s="487"/>
      <c r="O713" s="531"/>
      <c r="P713" s="459"/>
      <c r="Q713" s="469"/>
    </row>
    <row r="714" spans="2:21" ht="31.5" customHeight="1" x14ac:dyDescent="0.45">
      <c r="B714" s="485"/>
      <c r="M714" s="542"/>
      <c r="N714" s="487"/>
      <c r="O714" s="531"/>
      <c r="P714" s="459"/>
      <c r="Q714" s="469"/>
    </row>
    <row r="715" spans="2:21" ht="31.5" customHeight="1" x14ac:dyDescent="0.45">
      <c r="B715" s="485"/>
      <c r="M715" s="542"/>
      <c r="N715" s="487"/>
      <c r="O715" s="531"/>
      <c r="P715" s="459"/>
      <c r="Q715" s="469"/>
    </row>
    <row r="716" spans="2:21" ht="31.5" customHeight="1" x14ac:dyDescent="0.45">
      <c r="B716" s="477"/>
      <c r="C716" s="461"/>
      <c r="D716" s="461"/>
      <c r="E716" s="461"/>
      <c r="F716" s="461"/>
      <c r="G716" s="461"/>
      <c r="H716" s="461"/>
      <c r="I716" s="461"/>
      <c r="J716" s="461"/>
      <c r="K716" s="483"/>
      <c r="L716" s="483"/>
      <c r="M716" s="540"/>
      <c r="N716" s="484"/>
      <c r="O716" s="540"/>
      <c r="P716" s="484"/>
      <c r="Q716" s="479"/>
    </row>
    <row r="717" spans="2:21" ht="31.5" customHeight="1" x14ac:dyDescent="0.45"/>
    <row r="718" spans="2:21" ht="31.5" customHeight="1" x14ac:dyDescent="0.45"/>
    <row r="719" spans="2:21" ht="31.5" customHeight="1" x14ac:dyDescent="0.45">
      <c r="D719" s="450" t="str">
        <f>Criteria!E9</f>
        <v>ABC COMPANY (PROPRIETARY) LIMITED</v>
      </c>
      <c r="O719" s="529" t="s">
        <v>121</v>
      </c>
      <c r="Q719" s="451">
        <f>MAX($Q$114:Q718)+1</f>
        <v>11</v>
      </c>
    </row>
    <row r="720" spans="2:21" ht="31.5" customHeight="1" x14ac:dyDescent="0.45">
      <c r="D720" s="450" t="str">
        <f>Criteria!E10</f>
        <v>T/A SEAFRONT HOTEL, SEAFRONT RESTAURANT AND RENTAL PROPERTIES</v>
      </c>
      <c r="R720" s="512" t="str">
        <f>IF(D720=0,"DELETE"," ")</f>
        <v xml:space="preserve"> </v>
      </c>
    </row>
    <row r="721" spans="2:25" ht="31.5" customHeight="1" x14ac:dyDescent="0.45"/>
    <row r="722" spans="2:25" ht="31.5" customHeight="1" x14ac:dyDescent="0.45">
      <c r="D722" s="450" t="s">
        <v>265</v>
      </c>
    </row>
    <row r="723" spans="2:25" ht="31.5" customHeight="1" x14ac:dyDescent="0.45">
      <c r="D723" s="450" t="str">
        <f>Criteria!E20</f>
        <v>29 FEBRUARY 2024</v>
      </c>
    </row>
    <row r="724" spans="2:25" ht="31.5" customHeight="1" x14ac:dyDescent="0.45">
      <c r="B724" s="461"/>
      <c r="C724" s="461"/>
      <c r="D724" s="461"/>
      <c r="E724" s="461"/>
      <c r="F724" s="461"/>
      <c r="G724" s="461"/>
      <c r="H724" s="461"/>
      <c r="I724" s="461"/>
      <c r="J724" s="461"/>
      <c r="K724" s="461"/>
      <c r="L724" s="461"/>
      <c r="M724" s="630"/>
      <c r="N724" s="631"/>
      <c r="O724" s="630"/>
      <c r="P724" s="631"/>
      <c r="Q724" s="461"/>
    </row>
    <row r="725" spans="2:25" ht="31.5" customHeight="1" x14ac:dyDescent="0.45">
      <c r="B725" s="468"/>
      <c r="Q725" s="467"/>
    </row>
    <row r="726" spans="2:25" ht="31.5" customHeight="1" x14ac:dyDescent="0.45">
      <c r="B726" s="468"/>
      <c r="K726" s="451" t="s">
        <v>129</v>
      </c>
      <c r="L726" s="451"/>
      <c r="M726" s="525">
        <f>Criteria!E22</f>
        <v>2024</v>
      </c>
      <c r="N726" s="458"/>
      <c r="O726" s="525">
        <f>Criteria!E27</f>
        <v>2023</v>
      </c>
      <c r="P726" s="458"/>
      <c r="Q726" s="469"/>
    </row>
    <row r="727" spans="2:25" ht="31.5" customHeight="1" x14ac:dyDescent="0.45">
      <c r="B727" s="468"/>
      <c r="K727" s="451"/>
      <c r="L727" s="451"/>
      <c r="M727" s="529"/>
      <c r="N727" s="459"/>
      <c r="O727" s="529"/>
      <c r="P727" s="459"/>
      <c r="Q727" s="469"/>
    </row>
    <row r="728" spans="2:25" ht="31.5" customHeight="1" x14ac:dyDescent="0.45">
      <c r="B728" s="468"/>
      <c r="C728" s="450" t="s">
        <v>266</v>
      </c>
      <c r="K728" s="451"/>
      <c r="L728" s="451"/>
      <c r="M728" s="531">
        <f>SUM(S731:S753)</f>
        <v>0</v>
      </c>
      <c r="N728" s="470"/>
      <c r="O728" s="531">
        <f>SUM(U731:U753)</f>
        <v>0</v>
      </c>
      <c r="P728" s="459"/>
      <c r="Q728" s="469"/>
    </row>
    <row r="729" spans="2:25" ht="9" customHeight="1" x14ac:dyDescent="0.45">
      <c r="B729" s="468"/>
      <c r="C729" s="450"/>
      <c r="K729" s="451"/>
      <c r="L729" s="451"/>
      <c r="M729" s="531"/>
      <c r="N729" s="470"/>
      <c r="O729" s="531"/>
      <c r="P729" s="459"/>
      <c r="Q729" s="469"/>
    </row>
    <row r="730" spans="2:25" ht="9" customHeight="1" x14ac:dyDescent="0.45">
      <c r="B730" s="468"/>
      <c r="C730" s="450"/>
      <c r="K730" s="451"/>
      <c r="L730" s="493"/>
      <c r="M730" s="546"/>
      <c r="N730" s="471"/>
      <c r="O730" s="546"/>
      <c r="P730" s="494"/>
      <c r="Q730" s="469"/>
    </row>
    <row r="731" spans="2:25" ht="31.5" customHeight="1" x14ac:dyDescent="0.45">
      <c r="B731" s="468"/>
      <c r="C731" s="450"/>
      <c r="D731" s="449" t="s">
        <v>909</v>
      </c>
      <c r="K731" s="451"/>
      <c r="L731" s="485"/>
      <c r="M731" s="531">
        <f>SUM(TrialBalance!N358:N364)-SUM(TrialBalance!L4:L11)-SUM(TrialBalance!L27:L32)-SUM(TrialBalance!L358:L364)-SUM(TrialBalanceA!I4:I11)-SUM(TrialBalanceA!I27:I32)-SUM(TrialBalanceB!I4:I11)-SUM(TrialBalanceB!I27:I32)-SUM(TrialBalanceC!I4:I11)-SUM(TrialBalanceC!I27:I32)</f>
        <v>0</v>
      </c>
      <c r="N731" s="470"/>
      <c r="O731" s="531">
        <f>Criteria!F409</f>
        <v>0</v>
      </c>
      <c r="P731" s="495"/>
      <c r="Q731" s="469"/>
      <c r="R731" s="520"/>
      <c r="S731" s="518">
        <f>M731</f>
        <v>0</v>
      </c>
      <c r="T731" s="518"/>
      <c r="U731" s="518">
        <f>O731</f>
        <v>0</v>
      </c>
      <c r="V731" s="518"/>
      <c r="W731" s="518"/>
      <c r="X731" s="518"/>
    </row>
    <row r="732" spans="2:25" ht="31.5" customHeight="1" x14ac:dyDescent="0.45">
      <c r="B732" s="468"/>
      <c r="C732" s="450"/>
      <c r="D732" s="449" t="s">
        <v>267</v>
      </c>
      <c r="K732" s="451"/>
      <c r="L732" s="485"/>
      <c r="M732" s="539">
        <f>-SUM(TrialBalance!N378:N383)-SUM(TrialBalance!N394:N398)+SUM(TrialBalance!L17:L22)+SUM(TrialBalance!L39:L42)+SUM(TrialBalance!L47:L81)+SUM(TrialBalance!L97:L106)+SUM(TrialBalance!L110:L137)+SUM(TrialBalance!L378:L383)+SUM(TrialBalance!L394:L398)+SUM(TrialBalanceA!I17:I22)+SUM(TrialBalanceA!I39:I42)+SUM(TrialBalanceA!I47:I81)+SUM(TrialBalanceA!I97:I106)+SUM(TrialBalanceA!I110:I137)+SUM(TrialBalanceB!I17:I22)+SUM(TrialBalanceB!I39:I42)+SUM(TrialBalanceB!I47:I81)+SUM(TrialBalanceB!I97:I106)+SUM(TrialBalanceB!I110:I137)+SUM(TrialBalanceC!I17:I22)+SUM(TrialBalanceC!I39:I42)+SUM(TrialBalanceC!I47:I81)+SUM(TrialBalanceC!I97:I106)+SUM(TrialBalanceC!I110:I137)</f>
        <v>0</v>
      </c>
      <c r="N732" s="475"/>
      <c r="O732" s="531">
        <f>Criteria!F410</f>
        <v>0</v>
      </c>
      <c r="P732" s="495"/>
      <c r="Q732" s="469"/>
      <c r="R732" s="520"/>
      <c r="S732" s="518">
        <f>-M732</f>
        <v>0</v>
      </c>
      <c r="T732" s="518"/>
      <c r="U732" s="518">
        <f>-O732</f>
        <v>0</v>
      </c>
      <c r="V732" s="518"/>
      <c r="W732" s="518"/>
      <c r="X732" s="518"/>
    </row>
    <row r="733" spans="2:25" ht="9" customHeight="1" x14ac:dyDescent="0.45">
      <c r="B733" s="468"/>
      <c r="C733" s="450"/>
      <c r="K733" s="451"/>
      <c r="L733" s="485"/>
      <c r="M733" s="535"/>
      <c r="N733" s="473"/>
      <c r="O733" s="535"/>
      <c r="P733" s="495"/>
      <c r="Q733" s="469"/>
    </row>
    <row r="734" spans="2:25" ht="9" customHeight="1" x14ac:dyDescent="0.45">
      <c r="B734" s="468"/>
      <c r="C734" s="450"/>
      <c r="K734" s="451"/>
      <c r="L734" s="485"/>
      <c r="M734" s="531"/>
      <c r="N734" s="470"/>
      <c r="O734" s="531"/>
      <c r="P734" s="495"/>
      <c r="Q734" s="469"/>
    </row>
    <row r="735" spans="2:25" ht="31.5" customHeight="1" x14ac:dyDescent="0.45">
      <c r="B735" s="468"/>
      <c r="C735" s="450"/>
      <c r="D735" s="449" t="s">
        <v>268</v>
      </c>
      <c r="K735" s="451">
        <f>B2501</f>
        <v>33</v>
      </c>
      <c r="L735" s="485"/>
      <c r="M735" s="531">
        <f>M731-M732</f>
        <v>0</v>
      </c>
      <c r="N735" s="470"/>
      <c r="O735" s="531">
        <f>O731-O732</f>
        <v>0</v>
      </c>
      <c r="P735" s="495"/>
      <c r="Q735" s="469"/>
      <c r="V735" s="518" t="b">
        <f>M735=M2529</f>
        <v>1</v>
      </c>
      <c r="W735" s="518"/>
      <c r="X735" s="518" t="b">
        <f>O735=O2529</f>
        <v>1</v>
      </c>
      <c r="Y735" s="518"/>
    </row>
    <row r="736" spans="2:25" ht="31.5" customHeight="1" x14ac:dyDescent="0.45">
      <c r="B736" s="468"/>
      <c r="C736" s="450"/>
      <c r="D736" s="449" t="s">
        <v>269</v>
      </c>
      <c r="K736" s="451"/>
      <c r="L736" s="485"/>
      <c r="M736" s="531">
        <f>SUM(M739:M744)</f>
        <v>0</v>
      </c>
      <c r="N736" s="470"/>
      <c r="O736" s="531">
        <f>SUM(O739:O744)</f>
        <v>0</v>
      </c>
      <c r="P736" s="495"/>
      <c r="Q736" s="469"/>
      <c r="R736" s="512" t="str">
        <f>IF(M736=0,IF(O736=0,"DELETE"," ")," ")</f>
        <v>DELETE</v>
      </c>
      <c r="V736" s="518">
        <f>M735-M2529</f>
        <v>0</v>
      </c>
      <c r="W736" s="518"/>
      <c r="X736" s="517">
        <f>O735-O2529</f>
        <v>0</v>
      </c>
    </row>
    <row r="737" spans="2:24" ht="9" customHeight="1" x14ac:dyDescent="0.45">
      <c r="B737" s="468"/>
      <c r="C737" s="450"/>
      <c r="K737" s="451"/>
      <c r="L737" s="485"/>
      <c r="M737" s="531"/>
      <c r="N737" s="470"/>
      <c r="O737" s="531"/>
      <c r="P737" s="495"/>
      <c r="Q737" s="469"/>
      <c r="R737" s="512" t="str">
        <f>R736</f>
        <v>DELETE</v>
      </c>
    </row>
    <row r="738" spans="2:24" ht="9" customHeight="1" x14ac:dyDescent="0.45">
      <c r="B738" s="468"/>
      <c r="C738" s="450"/>
      <c r="K738" s="451"/>
      <c r="L738" s="485"/>
      <c r="M738" s="532"/>
      <c r="N738" s="471"/>
      <c r="O738" s="552"/>
      <c r="P738" s="495"/>
      <c r="Q738" s="469"/>
      <c r="R738" s="512" t="str">
        <f>R737</f>
        <v>DELETE</v>
      </c>
    </row>
    <row r="739" spans="2:24" ht="31.5" customHeight="1" x14ac:dyDescent="0.45">
      <c r="B739" s="468"/>
      <c r="C739" s="450"/>
      <c r="D739" s="449" t="s">
        <v>270</v>
      </c>
      <c r="K739" s="451">
        <f>C1230</f>
        <v>6.1</v>
      </c>
      <c r="L739" s="485"/>
      <c r="M739" s="533">
        <f>-SUM(TrialBalance!L89:L92)-SUM(TrialBalanceA!I89:I92)-SUM(TrialBalanceB!I89:I92)-SUM(TrialBalanceC!I89:I92)</f>
        <v>0</v>
      </c>
      <c r="N739" s="470"/>
      <c r="O739" s="553">
        <f>Criteria!F417</f>
        <v>0</v>
      </c>
      <c r="P739" s="495"/>
      <c r="Q739" s="469"/>
      <c r="R739" s="512" t="str">
        <f>IF(M739=0,IF(O739=0,"DELETE"," ")," ")</f>
        <v>DELETE</v>
      </c>
      <c r="S739" s="518">
        <f>M739</f>
        <v>0</v>
      </c>
      <c r="T739" s="518"/>
      <c r="U739" s="518">
        <f>O739</f>
        <v>0</v>
      </c>
      <c r="V739" s="518" t="b">
        <f>M739=M1230</f>
        <v>1</v>
      </c>
      <c r="W739" s="518"/>
      <c r="X739" s="518" t="b">
        <f>O739=O1230</f>
        <v>1</v>
      </c>
    </row>
    <row r="740" spans="2:24" ht="31.5" customHeight="1" x14ac:dyDescent="0.45">
      <c r="B740" s="468"/>
      <c r="C740" s="450"/>
      <c r="D740" s="449" t="s">
        <v>271</v>
      </c>
      <c r="K740" s="451">
        <f>C1238</f>
        <v>6.1999999999999993</v>
      </c>
      <c r="L740" s="485"/>
      <c r="M740" s="533">
        <f>-SUM(TrialBalance!L84:L88)-SUM(TrialBalanceA!I84:I88)-SUM(TrialBalanceB!I84:I88)-SUM(TrialBalanceC!I84:I88)</f>
        <v>0</v>
      </c>
      <c r="N740" s="470"/>
      <c r="O740" s="553">
        <f>Criteria!F418</f>
        <v>0</v>
      </c>
      <c r="P740" s="495"/>
      <c r="Q740" s="469"/>
      <c r="R740" s="512" t="str">
        <f>IF(M740=0,IF(O740=0,"DELETE"," ")," ")</f>
        <v>DELETE</v>
      </c>
      <c r="S740" s="518">
        <f>M740</f>
        <v>0</v>
      </c>
      <c r="T740" s="518"/>
      <c r="U740" s="518">
        <f>O740</f>
        <v>0</v>
      </c>
      <c r="V740" s="518" t="b">
        <f>M740=M1238</f>
        <v>1</v>
      </c>
      <c r="W740" s="518"/>
      <c r="X740" s="518" t="b">
        <f>O740=O1238</f>
        <v>1</v>
      </c>
    </row>
    <row r="741" spans="2:24" ht="31.5" customHeight="1" x14ac:dyDescent="0.45">
      <c r="B741" s="468"/>
      <c r="C741" s="450"/>
      <c r="D741" s="449" t="s">
        <v>642</v>
      </c>
      <c r="K741" s="451"/>
      <c r="L741" s="485"/>
      <c r="M741" s="533">
        <f>-TrialBalance!L94-TrialBalanceA!I94-TrialBalanceB!I94-TrialBalanceC!I94</f>
        <v>0</v>
      </c>
      <c r="N741" s="470"/>
      <c r="O741" s="553">
        <f>Criteria!F419</f>
        <v>0</v>
      </c>
      <c r="P741" s="495"/>
      <c r="Q741" s="469"/>
      <c r="R741" s="512" t="str">
        <f>IF(M741=0,IF(O741=0,"DELETE"," ")," ")</f>
        <v>DELETE</v>
      </c>
      <c r="S741" s="518">
        <f>M741</f>
        <v>0</v>
      </c>
      <c r="T741" s="518"/>
      <c r="U741" s="518">
        <f>O741</f>
        <v>0</v>
      </c>
      <c r="V741" s="518"/>
      <c r="W741" s="518"/>
      <c r="X741" s="518"/>
    </row>
    <row r="742" spans="2:24" ht="31.5" customHeight="1" x14ac:dyDescent="0.45">
      <c r="B742" s="468"/>
      <c r="C742" s="450"/>
      <c r="D742" s="449" t="s">
        <v>643</v>
      </c>
      <c r="K742" s="451"/>
      <c r="L742" s="485"/>
      <c r="M742" s="533">
        <f>-TrialBalance!L95-TrialBalanceA!I95-TrialBalanceB!I95-TrialBalanceC!I95</f>
        <v>0</v>
      </c>
      <c r="N742" s="470"/>
      <c r="O742" s="553">
        <f>Criteria!F420</f>
        <v>0</v>
      </c>
      <c r="P742" s="495"/>
      <c r="Q742" s="469"/>
      <c r="R742" s="512" t="str">
        <f>IF(M742=0,IF(O742=0,"DELETE"," ")," ")</f>
        <v>DELETE</v>
      </c>
      <c r="S742" s="518">
        <f>M742</f>
        <v>0</v>
      </c>
      <c r="T742" s="518"/>
      <c r="U742" s="518">
        <f>O742</f>
        <v>0</v>
      </c>
      <c r="V742" s="518"/>
      <c r="W742" s="518"/>
      <c r="X742" s="518"/>
    </row>
    <row r="743" spans="2:24" ht="31.5" customHeight="1" x14ac:dyDescent="0.45">
      <c r="B743" s="468"/>
      <c r="C743" s="450"/>
      <c r="D743" s="449" t="s">
        <v>644</v>
      </c>
      <c r="K743" s="451"/>
      <c r="L743" s="485"/>
      <c r="M743" s="533">
        <f>-TrialBalance!L83-TrialBalanceA!I83-TrialBalanceB!I83-TrialBalanceC!I83</f>
        <v>0</v>
      </c>
      <c r="N743" s="470"/>
      <c r="O743" s="553">
        <f>Criteria!F421</f>
        <v>0</v>
      </c>
      <c r="P743" s="495"/>
      <c r="Q743" s="469"/>
      <c r="R743" s="512" t="str">
        <f>IF(M743=0,IF(O743=0,"DELETE"," ")," ")</f>
        <v>DELETE</v>
      </c>
      <c r="S743" s="518">
        <f>M743</f>
        <v>0</v>
      </c>
      <c r="T743" s="518"/>
      <c r="U743" s="518">
        <f>O743</f>
        <v>0</v>
      </c>
      <c r="V743" s="518"/>
      <c r="W743" s="518"/>
      <c r="X743" s="518"/>
    </row>
    <row r="744" spans="2:24" ht="9" customHeight="1" x14ac:dyDescent="0.45">
      <c r="B744" s="468"/>
      <c r="C744" s="450"/>
      <c r="K744" s="451"/>
      <c r="L744" s="485"/>
      <c r="M744" s="534"/>
      <c r="N744" s="473"/>
      <c r="O744" s="554"/>
      <c r="P744" s="495"/>
      <c r="Q744" s="469"/>
      <c r="R744" s="512" t="str">
        <f>R736</f>
        <v>DELETE</v>
      </c>
    </row>
    <row r="745" spans="2:24" ht="9" customHeight="1" x14ac:dyDescent="0.45">
      <c r="B745" s="468"/>
      <c r="C745" s="450"/>
      <c r="K745" s="451"/>
      <c r="L745" s="485"/>
      <c r="M745" s="547"/>
      <c r="N745" s="496"/>
      <c r="O745" s="547"/>
      <c r="P745" s="495"/>
      <c r="Q745" s="469"/>
      <c r="R745" s="512" t="str">
        <f>R736</f>
        <v>DELETE</v>
      </c>
    </row>
    <row r="746" spans="2:24" ht="9" customHeight="1" x14ac:dyDescent="0.45">
      <c r="B746" s="468"/>
      <c r="C746" s="450"/>
      <c r="K746" s="451"/>
      <c r="L746" s="485"/>
      <c r="M746" s="531"/>
      <c r="N746" s="470"/>
      <c r="O746" s="531"/>
      <c r="P746" s="495"/>
      <c r="Q746" s="469"/>
      <c r="R746" s="512" t="str">
        <f>R745</f>
        <v>DELETE</v>
      </c>
    </row>
    <row r="747" spans="2:24" ht="31.5" customHeight="1" x14ac:dyDescent="0.45">
      <c r="B747" s="468"/>
      <c r="C747" s="450"/>
      <c r="K747" s="451"/>
      <c r="L747" s="485"/>
      <c r="M747" s="531">
        <f>SUM(S731:S743)</f>
        <v>0</v>
      </c>
      <c r="N747" s="470"/>
      <c r="O747" s="531">
        <f>SUM(U731:U743)</f>
        <v>0</v>
      </c>
      <c r="P747" s="495"/>
      <c r="Q747" s="469"/>
      <c r="R747" s="512" t="str">
        <f>R746</f>
        <v>DELETE</v>
      </c>
    </row>
    <row r="748" spans="2:24" ht="31.5" customHeight="1" x14ac:dyDescent="0.45">
      <c r="B748" s="468"/>
      <c r="C748" s="450"/>
      <c r="D748" s="449" t="s">
        <v>272</v>
      </c>
      <c r="K748" s="451"/>
      <c r="L748" s="485"/>
      <c r="M748" s="531">
        <f>SUM(M751:M753)</f>
        <v>0</v>
      </c>
      <c r="N748" s="470"/>
      <c r="O748" s="531">
        <f>SUM(O751:O753)</f>
        <v>0</v>
      </c>
      <c r="P748" s="495"/>
      <c r="Q748" s="469"/>
    </row>
    <row r="749" spans="2:24" ht="9" customHeight="1" x14ac:dyDescent="0.45">
      <c r="B749" s="468"/>
      <c r="C749" s="450"/>
      <c r="K749" s="451"/>
      <c r="L749" s="485"/>
      <c r="M749" s="531"/>
      <c r="N749" s="470"/>
      <c r="O749" s="531"/>
      <c r="P749" s="495"/>
      <c r="Q749" s="469"/>
    </row>
    <row r="750" spans="2:24" ht="9" customHeight="1" x14ac:dyDescent="0.45">
      <c r="B750" s="468"/>
      <c r="C750" s="450"/>
      <c r="K750" s="451"/>
      <c r="L750" s="485"/>
      <c r="M750" s="532"/>
      <c r="N750" s="471"/>
      <c r="O750" s="552"/>
      <c r="P750" s="495"/>
      <c r="Q750" s="469"/>
    </row>
    <row r="751" spans="2:24" ht="31.5" customHeight="1" x14ac:dyDescent="0.45">
      <c r="B751" s="468"/>
      <c r="C751" s="450"/>
      <c r="D751" s="449" t="s">
        <v>892</v>
      </c>
      <c r="K751" s="451"/>
      <c r="L751" s="485"/>
      <c r="M751" s="533">
        <f>-TrialBalance!N393+SUM(TrialBalance!L163:L164)+TrialBalance!L393+SUM(TrialBalanceA!I163:I164)+SUM(TrialBalanceB!I163:I164)+SUM(TrialBalanceC!I163:I164)-TrialBalance!N392+TrialBalance!L392</f>
        <v>0</v>
      </c>
      <c r="N751" s="470"/>
      <c r="O751" s="553">
        <f>Criteria!F429</f>
        <v>0</v>
      </c>
      <c r="P751" s="495"/>
      <c r="Q751" s="469"/>
      <c r="R751" s="512" t="str">
        <f>IF(M751=0,IF(O751=0,"DELETE"," ")," ")</f>
        <v>DELETE</v>
      </c>
      <c r="S751" s="518">
        <f>-M751</f>
        <v>0</v>
      </c>
      <c r="T751" s="518"/>
      <c r="U751" s="518">
        <f>-O751</f>
        <v>0</v>
      </c>
      <c r="V751" s="518"/>
      <c r="W751" s="518"/>
      <c r="X751" s="518"/>
    </row>
    <row r="752" spans="2:24" ht="31.5" customHeight="1" x14ac:dyDescent="0.45">
      <c r="B752" s="468"/>
      <c r="C752" s="450"/>
      <c r="D752" s="449" t="s">
        <v>645</v>
      </c>
      <c r="K752" s="451">
        <f>B1287</f>
        <v>7</v>
      </c>
      <c r="L752" s="485"/>
      <c r="M752" s="533">
        <f>SUM(TrialBalance!L141:L152)+SUM(TrialBalanceA!I141:I152)+SUM(TrialBalanceB!I141:I152)+SUM(TrialBalanceC!I141:I152)</f>
        <v>0</v>
      </c>
      <c r="N752" s="470"/>
      <c r="O752" s="553">
        <f>Criteria!F430</f>
        <v>0</v>
      </c>
      <c r="P752" s="495"/>
      <c r="Q752" s="469"/>
      <c r="R752" s="512" t="str">
        <f>IF(M752=0,IF(O752=0,"DELETE"," ")," ")</f>
        <v>DELETE</v>
      </c>
      <c r="S752" s="518">
        <f>-M752</f>
        <v>0</v>
      </c>
      <c r="T752" s="518"/>
      <c r="U752" s="518">
        <f>-O752</f>
        <v>0</v>
      </c>
      <c r="V752" s="518" t="b">
        <f>M752=M1334</f>
        <v>1</v>
      </c>
      <c r="W752" s="518"/>
      <c r="X752" s="518" t="b">
        <f>O752=O1334</f>
        <v>1</v>
      </c>
    </row>
    <row r="753" spans="2:29" ht="31.5" customHeight="1" x14ac:dyDescent="0.45">
      <c r="B753" s="468"/>
      <c r="C753" s="450"/>
      <c r="D753" s="449" t="s">
        <v>273</v>
      </c>
      <c r="K753" s="451">
        <f>C1390</f>
        <v>8.1999999999999993</v>
      </c>
      <c r="L753" s="485"/>
      <c r="M753" s="537">
        <f>SUM(TrialBalance!L388:L391)</f>
        <v>0</v>
      </c>
      <c r="N753" s="475"/>
      <c r="O753" s="553">
        <f>Criteria!F431</f>
        <v>0</v>
      </c>
      <c r="P753" s="495"/>
      <c r="Q753" s="469"/>
      <c r="S753" s="518">
        <f>-M753</f>
        <v>0</v>
      </c>
      <c r="T753" s="518"/>
      <c r="U753" s="518">
        <f>-O753</f>
        <v>0</v>
      </c>
      <c r="V753" s="518" t="b">
        <f>M753=M1395</f>
        <v>1</v>
      </c>
      <c r="W753" s="518"/>
      <c r="X753" s="518" t="b">
        <f>O753=O1395</f>
        <v>1</v>
      </c>
    </row>
    <row r="754" spans="2:29" ht="9" customHeight="1" x14ac:dyDescent="0.45">
      <c r="B754" s="468"/>
      <c r="C754" s="450"/>
      <c r="K754" s="451"/>
      <c r="L754" s="485"/>
      <c r="M754" s="534"/>
      <c r="N754" s="473"/>
      <c r="O754" s="554"/>
      <c r="P754" s="495"/>
      <c r="Q754" s="469"/>
    </row>
    <row r="755" spans="2:29" ht="9" customHeight="1" x14ac:dyDescent="0.45">
      <c r="B755" s="468"/>
      <c r="C755" s="450"/>
      <c r="K755" s="451"/>
      <c r="L755" s="497"/>
      <c r="M755" s="535"/>
      <c r="N755" s="473"/>
      <c r="O755" s="535"/>
      <c r="P755" s="498"/>
      <c r="Q755" s="469"/>
    </row>
    <row r="756" spans="2:29" ht="9" customHeight="1" x14ac:dyDescent="0.45">
      <c r="B756" s="468"/>
      <c r="C756" s="450"/>
      <c r="K756" s="451"/>
      <c r="L756" s="451"/>
      <c r="M756" s="531"/>
      <c r="N756" s="470"/>
      <c r="O756" s="531"/>
      <c r="P756" s="459"/>
      <c r="Q756" s="469"/>
    </row>
    <row r="757" spans="2:29" ht="31.5" customHeight="1" x14ac:dyDescent="0.45">
      <c r="B757" s="468"/>
      <c r="C757" s="450"/>
      <c r="K757" s="451"/>
      <c r="L757" s="451"/>
      <c r="M757" s="531"/>
      <c r="N757" s="470"/>
      <c r="O757" s="531"/>
      <c r="P757" s="459"/>
      <c r="Q757" s="469"/>
      <c r="R757" s="512" t="str">
        <f>R758</f>
        <v>DELETE</v>
      </c>
    </row>
    <row r="758" spans="2:29" ht="31.5" customHeight="1" x14ac:dyDescent="0.45">
      <c r="B758" s="468"/>
      <c r="C758" s="450" t="s">
        <v>274</v>
      </c>
      <c r="K758" s="451"/>
      <c r="L758" s="451"/>
      <c r="M758" s="531">
        <f>SUM(S761:S765)</f>
        <v>0</v>
      </c>
      <c r="N758" s="470"/>
      <c r="O758" s="531">
        <f>SUM(U761:U765)</f>
        <v>0</v>
      </c>
      <c r="P758" s="459"/>
      <c r="Q758" s="469"/>
      <c r="R758" s="512" t="str">
        <f>IF(M758=0,IF(O758=0,"DELETE"," ")," ")</f>
        <v>DELETE</v>
      </c>
    </row>
    <row r="759" spans="2:29" ht="9" customHeight="1" x14ac:dyDescent="0.45">
      <c r="B759" s="468"/>
      <c r="C759" s="450"/>
      <c r="K759" s="451"/>
      <c r="L759" s="451"/>
      <c r="M759" s="531"/>
      <c r="N759" s="470"/>
      <c r="O759" s="531"/>
      <c r="P759" s="459"/>
      <c r="Q759" s="469"/>
      <c r="R759" s="512" t="str">
        <f>R758</f>
        <v>DELETE</v>
      </c>
    </row>
    <row r="760" spans="2:29" ht="9" customHeight="1" x14ac:dyDescent="0.45">
      <c r="B760" s="468"/>
      <c r="C760" s="450"/>
      <c r="K760" s="451"/>
      <c r="L760" s="493"/>
      <c r="M760" s="546"/>
      <c r="N760" s="471"/>
      <c r="O760" s="546"/>
      <c r="P760" s="494"/>
      <c r="Q760" s="469"/>
      <c r="R760" s="512" t="str">
        <f>R759</f>
        <v>DELETE</v>
      </c>
    </row>
    <row r="761" spans="2:29" ht="31.5" customHeight="1" x14ac:dyDescent="0.45">
      <c r="B761" s="468"/>
      <c r="C761" s="450"/>
      <c r="D761" s="449" t="str">
        <f>IF(TrialBalance!L230+TrialBalance!N230+TrialBalance!L241+TrialBalance!N241=0,"Purchases of plant and equipment",IF(SUM(TrialBalance!L250:L281)+SUM(TrialBalance!N251:N281)=0,"Purchases of property","Purchases of property, plant and equipment"))</f>
        <v>Purchases of plant and equipment</v>
      </c>
      <c r="K761" s="451"/>
      <c r="L761" s="485"/>
      <c r="M761" s="548">
        <f>-(+TrialBalance!L230+TrialBalance!L241+TrialBalance!L252+TrialBalance!L260+TrialBalance!L268+TrialBalance!L276)</f>
        <v>0</v>
      </c>
      <c r="N761" s="491"/>
      <c r="O761" s="548">
        <f>Criteria!F439</f>
        <v>0</v>
      </c>
      <c r="P761" s="495"/>
      <c r="Q761" s="469"/>
      <c r="R761" s="512" t="str">
        <f>IF(M761=0,IF(O761=0,"DELETE"," ")," ")</f>
        <v>DELETE</v>
      </c>
      <c r="S761" s="518">
        <f>M761</f>
        <v>0</v>
      </c>
      <c r="T761" s="518"/>
      <c r="U761" s="518">
        <f>O761</f>
        <v>0</v>
      </c>
      <c r="V761" s="518"/>
      <c r="W761" s="518"/>
      <c r="X761" s="518"/>
    </row>
    <row r="762" spans="2:29" ht="31.5" customHeight="1" x14ac:dyDescent="0.45">
      <c r="B762" s="468"/>
      <c r="C762" s="450"/>
      <c r="D762" s="463" t="str">
        <f>IF((Y762+Z762)=3,"(Increase) / Decrease in intangibles",(IF((Y762+Z762=4),"Decrease in intangibles","Increase in intangibles")))</f>
        <v>Decrease in intangibles</v>
      </c>
      <c r="K762" s="451"/>
      <c r="L762" s="485"/>
      <c r="M762" s="548">
        <f>-TrialBalance!L285-TrialBalance!L294</f>
        <v>0</v>
      </c>
      <c r="N762" s="491"/>
      <c r="O762" s="548">
        <f>Criteria!F440</f>
        <v>0</v>
      </c>
      <c r="P762" s="495"/>
      <c r="Q762" s="469"/>
      <c r="R762" s="512" t="str">
        <f>IF(M762=0,IF(O762=0,"DELETE"," ")," ")</f>
        <v>DELETE</v>
      </c>
      <c r="S762" s="518">
        <f>M762</f>
        <v>0</v>
      </c>
      <c r="T762" s="518"/>
      <c r="U762" s="518">
        <f>O762</f>
        <v>0</v>
      </c>
      <c r="V762" s="518"/>
      <c r="W762" s="518"/>
      <c r="X762" s="518"/>
      <c r="Y762" s="513">
        <f>IF(M762&lt;0,1,IF(M762=0,IF(O762&lt;0,1,2),2))</f>
        <v>2</v>
      </c>
      <c r="Z762" s="513">
        <f>IF(O762&lt;0,1,IF(O762=0,IF(M762&lt;0,1,2),2))</f>
        <v>2</v>
      </c>
    </row>
    <row r="763" spans="2:29" ht="31.5" customHeight="1" x14ac:dyDescent="0.45">
      <c r="B763" s="468"/>
      <c r="C763" s="450"/>
      <c r="D763" s="463" t="str">
        <f>IF((Y763+Z763)=3,CONCATENATE("(Increase) / Decrease in ",AC763),(IF((Y763+Z763=4),CONCATENATE("Decrease in ",AC763),CONCATENATE("Increase in ",AC763))))</f>
        <v>Decrease in investment</v>
      </c>
      <c r="K763" s="451"/>
      <c r="L763" s="485"/>
      <c r="M763" s="548">
        <f>SUM(TrialBalance!N301:N317)-SUM(TrialBalance!L301:L317)</f>
        <v>0</v>
      </c>
      <c r="N763" s="491"/>
      <c r="O763" s="548">
        <f>Criteria!F441</f>
        <v>0</v>
      </c>
      <c r="P763" s="495"/>
      <c r="Q763" s="469"/>
      <c r="R763" s="512" t="str">
        <f>IF(M763=0,IF(O763=0,"DELETE"," ")," ")</f>
        <v>DELETE</v>
      </c>
      <c r="S763" s="518">
        <f>M763</f>
        <v>0</v>
      </c>
      <c r="T763" s="518"/>
      <c r="U763" s="518">
        <f>O763</f>
        <v>0</v>
      </c>
      <c r="V763" s="518"/>
      <c r="W763" s="518"/>
      <c r="X763" s="518"/>
      <c r="Y763" s="513">
        <f>IF(M763&lt;0,1,IF(M763=0,IF(O763&lt;0,1,2),2))</f>
        <v>2</v>
      </c>
      <c r="Z763" s="513">
        <f>IF(O763&lt;0,1,IF(O763=0,IF(M763&lt;0,1,2),2))</f>
        <v>2</v>
      </c>
      <c r="AA763" s="513">
        <f>IF(COUNTIF(TrialBalance!L301:L317,"&gt;0")&gt;1,2,1)</f>
        <v>1</v>
      </c>
      <c r="AB763" s="39">
        <f>IF(COUNTIF(TrialBalance!N301:N317,"&gt;0")&gt;1,2,1)</f>
        <v>1</v>
      </c>
      <c r="AC763" s="514" t="str">
        <f>IF(AA763=1,IF(AB763=1,"investment","investments"),"investments")</f>
        <v>investment</v>
      </c>
    </row>
    <row r="764" spans="2:29" ht="31.5" customHeight="1" x14ac:dyDescent="0.45">
      <c r="B764" s="468"/>
      <c r="C764" s="450"/>
      <c r="D764" s="463" t="str">
        <f>IF((Y764+Z764)=3,CONCATENATE("(Increase) / Decrease in non - current ",AC764),(IF((Y764+Z764=4),CONCATENATE("Decrease in non - current ",AC764),CONCATENATE("Increase in non - current ",AC764))))</f>
        <v>Decrease in non - current receivable</v>
      </c>
      <c r="K764" s="451"/>
      <c r="L764" s="485"/>
      <c r="M764" s="548">
        <f>SUM(TrialBalance!N318:N352)-SUM(TrialBalance!L318:L352)</f>
        <v>0</v>
      </c>
      <c r="N764" s="491"/>
      <c r="O764" s="548">
        <f>Criteria!F442</f>
        <v>0</v>
      </c>
      <c r="P764" s="495"/>
      <c r="Q764" s="469"/>
      <c r="R764" s="512" t="str">
        <f>IF(M764=0,IF(O764=0,"DELETE"," ")," ")</f>
        <v>DELETE</v>
      </c>
      <c r="S764" s="518">
        <f>M764</f>
        <v>0</v>
      </c>
      <c r="T764" s="518"/>
      <c r="U764" s="518">
        <f>O764</f>
        <v>0</v>
      </c>
      <c r="V764" s="518"/>
      <c r="W764" s="518"/>
      <c r="X764" s="518"/>
      <c r="Y764" s="513">
        <f>IF(M764&lt;0,1,IF(M764=0,IF(O764&lt;0,1,2),2))</f>
        <v>2</v>
      </c>
      <c r="Z764" s="513">
        <f>IF(O764&lt;0,1,IF(O764=0,IF(M764&lt;0,1,2),2))</f>
        <v>2</v>
      </c>
      <c r="AA764" s="513">
        <f>IF(COUNTIF(TrialBalance!L318:L352,"&gt;0")&gt;1,2,1)</f>
        <v>1</v>
      </c>
      <c r="AB764" s="39">
        <f>IF(COUNTIF(TrialBalance!N318:N352,"&gt;0")&gt;1,2,1)</f>
        <v>1</v>
      </c>
      <c r="AC764" s="514" t="str">
        <f>IF(AA764=1,IF(AB764=1,"receivable","receivables"),"receivables")</f>
        <v>receivable</v>
      </c>
    </row>
    <row r="765" spans="2:29" ht="31.5" customHeight="1" x14ac:dyDescent="0.45">
      <c r="B765" s="468"/>
      <c r="C765" s="450"/>
      <c r="D765" s="449" t="str">
        <f>IF(TrialBalance!N231+TrialBalance!L231+TrialBalance!N242+TrialBalance!L242=0,"Proceeds on disposal of plant and equipment","Proceeds on disposal of property, plant and equipment")</f>
        <v>Proceeds on disposal of plant and equipment</v>
      </c>
      <c r="K765" s="451"/>
      <c r="L765" s="485"/>
      <c r="M765" s="548">
        <f>-(+TrialBalance!L231+TrialBalance!L237+TrialBalance!L242+TrialBalance!L248+TrialBalance!L253+TrialBalance!L257+TrialBalance!L261+TrialBalance!L265+TrialBalance!L269+TrialBalance!L273+TrialBalance!L277+TrialBalance!L281)-TrialBalance!L93-TrialBalanceA!I93-TrialBalanceB!I93-TrialBalanceC!I93</f>
        <v>0</v>
      </c>
      <c r="N765" s="491"/>
      <c r="O765" s="548">
        <f>Criteria!F443</f>
        <v>0</v>
      </c>
      <c r="P765" s="495"/>
      <c r="Q765" s="469"/>
      <c r="R765" s="512" t="str">
        <f>IF(M765=0,IF(O765=0,"DELETE"," ")," ")</f>
        <v>DELETE</v>
      </c>
      <c r="S765" s="518">
        <f>M765</f>
        <v>0</v>
      </c>
      <c r="T765" s="518"/>
      <c r="U765" s="518">
        <f>O765</f>
        <v>0</v>
      </c>
      <c r="V765" s="518"/>
      <c r="W765" s="518"/>
      <c r="X765" s="518"/>
    </row>
    <row r="766" spans="2:29" ht="9" customHeight="1" x14ac:dyDescent="0.45">
      <c r="B766" s="468"/>
      <c r="C766" s="450"/>
      <c r="K766" s="451"/>
      <c r="L766" s="497"/>
      <c r="M766" s="535"/>
      <c r="N766" s="473"/>
      <c r="O766" s="535"/>
      <c r="P766" s="498"/>
      <c r="Q766" s="469"/>
      <c r="R766" s="512" t="str">
        <f>R758</f>
        <v>DELETE</v>
      </c>
    </row>
    <row r="767" spans="2:29" ht="9" customHeight="1" x14ac:dyDescent="0.45">
      <c r="B767" s="468"/>
      <c r="C767" s="450"/>
      <c r="K767" s="451"/>
      <c r="L767" s="451"/>
      <c r="M767" s="531"/>
      <c r="N767" s="470"/>
      <c r="O767" s="531"/>
      <c r="P767" s="459"/>
      <c r="Q767" s="469"/>
      <c r="R767" s="512" t="str">
        <f>R766</f>
        <v>DELETE</v>
      </c>
    </row>
    <row r="768" spans="2:29" ht="31.5" customHeight="1" x14ac:dyDescent="0.45">
      <c r="B768" s="468"/>
      <c r="C768" s="450"/>
      <c r="K768" s="451"/>
      <c r="L768" s="451"/>
      <c r="M768" s="531"/>
      <c r="N768" s="470"/>
      <c r="O768" s="531"/>
      <c r="P768" s="459"/>
      <c r="Q768" s="469"/>
      <c r="R768" s="512" t="str">
        <f>R769</f>
        <v>DELETE</v>
      </c>
    </row>
    <row r="769" spans="2:29" ht="31.5" customHeight="1" x14ac:dyDescent="0.45">
      <c r="B769" s="468"/>
      <c r="C769" s="450" t="s">
        <v>144</v>
      </c>
      <c r="K769" s="451"/>
      <c r="L769" s="451"/>
      <c r="M769" s="531">
        <f>SUM(M772:M776)</f>
        <v>0</v>
      </c>
      <c r="N769" s="470"/>
      <c r="O769" s="531">
        <f>SUM(O772:O776)</f>
        <v>0</v>
      </c>
      <c r="P769" s="459"/>
      <c r="Q769" s="469"/>
      <c r="R769" s="512" t="str">
        <f>IF(M769=0,IF(O769=0,"DELETE"," ")," ")</f>
        <v>DELETE</v>
      </c>
    </row>
    <row r="770" spans="2:29" ht="9" customHeight="1" x14ac:dyDescent="0.45">
      <c r="B770" s="468"/>
      <c r="C770" s="450"/>
      <c r="K770" s="451"/>
      <c r="L770" s="451"/>
      <c r="M770" s="531"/>
      <c r="N770" s="470"/>
      <c r="O770" s="531"/>
      <c r="P770" s="459"/>
      <c r="Q770" s="469"/>
      <c r="R770" s="512" t="str">
        <f>R769</f>
        <v>DELETE</v>
      </c>
    </row>
    <row r="771" spans="2:29" ht="9" customHeight="1" x14ac:dyDescent="0.45">
      <c r="B771" s="468"/>
      <c r="C771" s="450"/>
      <c r="K771" s="451"/>
      <c r="L771" s="493"/>
      <c r="M771" s="546"/>
      <c r="N771" s="471"/>
      <c r="O771" s="546"/>
      <c r="P771" s="494"/>
      <c r="Q771" s="469"/>
      <c r="R771" s="512" t="str">
        <f>R770</f>
        <v>DELETE</v>
      </c>
    </row>
    <row r="772" spans="2:29" ht="31.5" customHeight="1" x14ac:dyDescent="0.45">
      <c r="B772" s="468"/>
      <c r="C772" s="450"/>
      <c r="D772" s="449" t="s">
        <v>646</v>
      </c>
      <c r="K772" s="451"/>
      <c r="L772" s="485"/>
      <c r="M772" s="548">
        <f>-TrialBalance!L170</f>
        <v>0</v>
      </c>
      <c r="N772" s="491"/>
      <c r="O772" s="548">
        <f>Criteria!F450</f>
        <v>0</v>
      </c>
      <c r="P772" s="495"/>
      <c r="Q772" s="469"/>
      <c r="R772" s="512" t="str">
        <f>IF(M772=0,IF(O772=0,"DELETE"," ")," ")</f>
        <v>DELETE</v>
      </c>
      <c r="S772" s="518">
        <f>M772</f>
        <v>0</v>
      </c>
      <c r="T772" s="518"/>
      <c r="U772" s="518">
        <f>O772</f>
        <v>0</v>
      </c>
      <c r="V772" s="518"/>
      <c r="W772" s="518"/>
      <c r="X772" s="518"/>
    </row>
    <row r="773" spans="2:29" ht="31.5" customHeight="1" x14ac:dyDescent="0.45">
      <c r="B773" s="468"/>
      <c r="C773" s="450"/>
      <c r="D773" s="463" t="str">
        <f>IF((Y773+Z773)=3,CONCATENATE("Increase / (Decrease) in share premium",AC773),IF((Y773+Z773=4),CONCATENATE("Increase in share premium",AC773),CONCATENATE("Decrease in share premium",AC773)))</f>
        <v>Increase in share premium</v>
      </c>
      <c r="K773" s="451"/>
      <c r="L773" s="485"/>
      <c r="M773" s="548">
        <f>-TrialBalance!L173-TrialBalance!L174</f>
        <v>0</v>
      </c>
      <c r="N773" s="491"/>
      <c r="O773" s="548">
        <f>Criteria!F451</f>
        <v>0</v>
      </c>
      <c r="P773" s="495"/>
      <c r="Q773" s="469"/>
      <c r="R773" s="512" t="str">
        <f t="shared" ref="R773" si="8">IF(M773=0,IF(O773=0,"DELETE"," ")," ")</f>
        <v>DELETE</v>
      </c>
      <c r="S773" s="518">
        <f t="shared" ref="S773" si="9">M773</f>
        <v>0</v>
      </c>
      <c r="T773" s="518"/>
      <c r="U773" s="518">
        <f t="shared" ref="U773" si="10">O773</f>
        <v>0</v>
      </c>
      <c r="V773" s="518"/>
      <c r="W773" s="518"/>
      <c r="X773" s="518"/>
      <c r="Y773" s="513">
        <f>IF(M773&lt;0,1,IF(M773=0,IF(O773&lt;0,1,2),2))</f>
        <v>2</v>
      </c>
      <c r="Z773" s="513">
        <f>IF(O773&lt;0,1,IF(O773=0,IF(M773&lt;0,1,2),2))</f>
        <v>2</v>
      </c>
    </row>
    <row r="774" spans="2:29" ht="31.5" customHeight="1" x14ac:dyDescent="0.45">
      <c r="B774" s="468"/>
      <c r="C774" s="450"/>
      <c r="D774" s="463" t="str">
        <f>IF((Y774+Z774)=3,CONCATENATE("Increase / (Decrease) in interest bearing ",AC774),IF((Y774+Z774=4),CONCATENATE("Increase in interest bearing ",AC774),CONCATENATE("Decrease in interest bearing ",AC774)))</f>
        <v>Increase in interest bearing borrowing</v>
      </c>
      <c r="K774" s="451"/>
      <c r="L774" s="485"/>
      <c r="M774" s="548">
        <f>SUM(TrialBalance!N184:N200)-SUM(TrialBalance!L184:L200)</f>
        <v>0</v>
      </c>
      <c r="N774" s="491"/>
      <c r="O774" s="548">
        <f>Criteria!F452</f>
        <v>0</v>
      </c>
      <c r="P774" s="495"/>
      <c r="Q774" s="469"/>
      <c r="R774" s="512" t="str">
        <f>IF(M774=0,IF(O774=0,"DELETE"," ")," ")</f>
        <v>DELETE</v>
      </c>
      <c r="S774" s="518">
        <f>M774</f>
        <v>0</v>
      </c>
      <c r="T774" s="518"/>
      <c r="U774" s="518">
        <f>O774</f>
        <v>0</v>
      </c>
      <c r="V774" s="518"/>
      <c r="W774" s="518"/>
      <c r="X774" s="518"/>
      <c r="Y774" s="513">
        <f>IF(M774&lt;0,1,IF(M774=0,IF(O774&lt;0,1,2),2))</f>
        <v>2</v>
      </c>
      <c r="Z774" s="513">
        <f>IF(O774&lt;0,1,IF(O774=0,IF(M774&lt;0,1,2),2))</f>
        <v>2</v>
      </c>
      <c r="AA774" s="513">
        <f>IF(COUNTIF(TrialBalance!L185:L199,"&lt;0")&gt;1,2,1)</f>
        <v>1</v>
      </c>
      <c r="AB774" s="39">
        <f>IF(COUNTIF(TrialBalance!N185:N199,"&lt;0")&gt;1,2,1)</f>
        <v>1</v>
      </c>
      <c r="AC774" s="514" t="str">
        <f>IF(AA774=1,IF(AB774=1,"borrowing","borrowings"),"borrowings")</f>
        <v>borrowing</v>
      </c>
    </row>
    <row r="775" spans="2:29" ht="31.5" customHeight="1" x14ac:dyDescent="0.45">
      <c r="B775" s="468"/>
      <c r="C775" s="450"/>
      <c r="D775" s="463" t="str">
        <f>IF((Y775+Z775)=3,CONCATENATE("Increase / (Decrease) in interest free ",AC775),IF((Y775+Z775=4),CONCATENATE("Increase in interest free ",AC775),CONCATENATE("Decrease in interest free ",AC775)))</f>
        <v>Increase in interest free borrowing</v>
      </c>
      <c r="K775" s="451"/>
      <c r="L775" s="485"/>
      <c r="M775" s="548">
        <f>+SUM(TrialBalance!N201:N218)-SUM(TrialBalance!L201:L218)</f>
        <v>0</v>
      </c>
      <c r="N775" s="491"/>
      <c r="O775" s="548">
        <f>Criteria!F453</f>
        <v>0</v>
      </c>
      <c r="P775" s="495"/>
      <c r="Q775" s="469"/>
      <c r="R775" s="512" t="str">
        <f>IF(M775=0,IF(O775=0,"DELETE"," ")," ")</f>
        <v>DELETE</v>
      </c>
      <c r="S775" s="518">
        <f>M775</f>
        <v>0</v>
      </c>
      <c r="T775" s="518"/>
      <c r="U775" s="518">
        <f>O775</f>
        <v>0</v>
      </c>
      <c r="V775" s="518"/>
      <c r="W775" s="518"/>
      <c r="X775" s="518"/>
      <c r="Y775" s="513">
        <f>IF(M775&lt;0,1,IF(M775=0,IF(O775&lt;0,1,2),2))</f>
        <v>2</v>
      </c>
      <c r="Z775" s="513">
        <f>IF(O775&lt;0,1,IF(O775=0,IF(M775&lt;0,1,2),2))</f>
        <v>2</v>
      </c>
      <c r="AA775" s="513">
        <f>IF(COUNTIF(TrialBalance!L202:L218,"&lt;0")&gt;1,2,1)</f>
        <v>1</v>
      </c>
      <c r="AB775" s="39">
        <f>IF(COUNTIF(TrialBalance!N202:N218,"&lt;0")&gt;1,2,1)</f>
        <v>1</v>
      </c>
      <c r="AC775" s="514" t="str">
        <f>IF(AA775=1,IF(AB775=1,"borrowing","borrowings"),"borrowings")</f>
        <v>borrowing</v>
      </c>
    </row>
    <row r="776" spans="2:29" ht="31.5" customHeight="1" x14ac:dyDescent="0.45">
      <c r="B776" s="468"/>
      <c r="C776" s="450"/>
      <c r="D776" s="463" t="str">
        <f>IF((Y776+Z776)=3,CONCATENATE("Increase / (Decrease) in short term ",AC776),IF((Y776+Z776=4),CONCATENATE("Increase in short term ",AC776),CONCATENATE("Decrease in short term ",AC776)))</f>
        <v>Increase in short term loan</v>
      </c>
      <c r="K776" s="451"/>
      <c r="L776" s="485"/>
      <c r="M776" s="548">
        <f>SUM(TrialBalance!N373:N377)-SUM(TrialBalance!L373:L377)</f>
        <v>0</v>
      </c>
      <c r="N776" s="491"/>
      <c r="O776" s="548">
        <f>Criteria!F454</f>
        <v>0</v>
      </c>
      <c r="P776" s="495"/>
      <c r="Q776" s="469"/>
      <c r="R776" s="512" t="str">
        <f>IF(M776=0,IF(O776=0,"DELETE"," ")," ")</f>
        <v>DELETE</v>
      </c>
      <c r="S776" s="518">
        <f>M776</f>
        <v>0</v>
      </c>
      <c r="T776" s="518"/>
      <c r="U776" s="518">
        <f>O776</f>
        <v>0</v>
      </c>
      <c r="V776" s="518"/>
      <c r="W776" s="518"/>
      <c r="X776" s="518"/>
      <c r="Y776" s="513">
        <f>IF(M776&lt;0,1,IF(M776=0,IF(O776&lt;0,1,2),2))</f>
        <v>2</v>
      </c>
      <c r="Z776" s="513">
        <f>IF(O776&lt;0,1,IF(O776=0,IF(M776&lt;0,1,2),2))</f>
        <v>2</v>
      </c>
      <c r="AA776" s="513">
        <f>IF(COUNTIF(TrialBalance!L374:L377,"&lt;0")&gt;1,2,1)</f>
        <v>1</v>
      </c>
      <c r="AB776" s="39">
        <f>IF(COUNTIF(TrialBalance!N374:N377,"&lt;0")&gt;1,2,1)</f>
        <v>1</v>
      </c>
      <c r="AC776" s="514" t="str">
        <f>IF(AA776=1,IF(AB776=1,"loan","loans"),"loans")</f>
        <v>loan</v>
      </c>
    </row>
    <row r="777" spans="2:29" ht="9" customHeight="1" x14ac:dyDescent="0.45">
      <c r="B777" s="468"/>
      <c r="C777" s="450"/>
      <c r="K777" s="451"/>
      <c r="L777" s="497"/>
      <c r="M777" s="535"/>
      <c r="N777" s="473"/>
      <c r="O777" s="535"/>
      <c r="P777" s="498"/>
      <c r="Q777" s="469"/>
      <c r="R777" s="512" t="str">
        <f>R769</f>
        <v>DELETE</v>
      </c>
    </row>
    <row r="778" spans="2:29" ht="9" customHeight="1" x14ac:dyDescent="0.45">
      <c r="B778" s="468"/>
      <c r="C778" s="450"/>
      <c r="K778" s="451"/>
      <c r="L778" s="483"/>
      <c r="M778" s="535"/>
      <c r="N778" s="473"/>
      <c r="O778" s="535"/>
      <c r="P778" s="484"/>
      <c r="Q778" s="469"/>
    </row>
    <row r="779" spans="2:29" ht="9" customHeight="1" x14ac:dyDescent="0.45">
      <c r="B779" s="468"/>
      <c r="C779" s="450"/>
      <c r="K779" s="451"/>
      <c r="L779" s="451"/>
      <c r="M779" s="531"/>
      <c r="N779" s="470"/>
      <c r="O779" s="531"/>
      <c r="P779" s="459"/>
      <c r="Q779" s="469"/>
    </row>
    <row r="780" spans="2:29" ht="31.5" customHeight="1" x14ac:dyDescent="0.45">
      <c r="B780" s="468"/>
      <c r="C780" s="492" t="str">
        <f>IF((Y780+Z780)=3,"NET INCREASE / (DECREASE) IN CASH AND",(IF((Y780+Z780=4),"NET INCREASE IN CASH AND","NET DECREASE IN CASH AND")))</f>
        <v>NET INCREASE IN CASH AND</v>
      </c>
      <c r="K780" s="451"/>
      <c r="L780" s="451"/>
      <c r="M780" s="531"/>
      <c r="N780" s="470"/>
      <c r="O780" s="531"/>
      <c r="P780" s="459"/>
      <c r="Q780" s="469"/>
      <c r="Y780" s="513">
        <f>IF(M781&lt;0,1,IF(M781=0,IF(O781&lt;0,1,2),2))</f>
        <v>2</v>
      </c>
      <c r="Z780" s="513">
        <f>IF(O781&lt;0,1,IF(O781=0,IF(M781&lt;0,1,2),2))</f>
        <v>2</v>
      </c>
    </row>
    <row r="781" spans="2:29" ht="31.5" customHeight="1" x14ac:dyDescent="0.45">
      <c r="B781" s="468"/>
      <c r="C781" s="450" t="s">
        <v>146</v>
      </c>
      <c r="K781" s="451"/>
      <c r="L781" s="451"/>
      <c r="M781" s="531">
        <f>SUM(S731:S777)</f>
        <v>0</v>
      </c>
      <c r="N781" s="470"/>
      <c r="O781" s="531">
        <f>SUM(U731:U777)</f>
        <v>0</v>
      </c>
      <c r="P781" s="459"/>
      <c r="Q781" s="469"/>
    </row>
    <row r="782" spans="2:29" ht="31.5" customHeight="1" x14ac:dyDescent="0.45">
      <c r="B782" s="468"/>
      <c r="C782" s="450"/>
      <c r="K782" s="451"/>
      <c r="L782" s="451"/>
      <c r="M782" s="531"/>
      <c r="N782" s="470"/>
      <c r="O782" s="531"/>
      <c r="P782" s="459"/>
      <c r="Q782" s="469"/>
    </row>
    <row r="783" spans="2:29" ht="31.5" customHeight="1" x14ac:dyDescent="0.45">
      <c r="B783" s="468"/>
      <c r="C783" s="450" t="s">
        <v>205</v>
      </c>
      <c r="K783" s="451"/>
      <c r="L783" s="451"/>
      <c r="M783" s="40"/>
      <c r="N783" s="452"/>
      <c r="O783" s="40"/>
      <c r="P783" s="459"/>
      <c r="Q783" s="469"/>
      <c r="V783" s="513" t="b">
        <f>M784=O788</f>
        <v>1</v>
      </c>
    </row>
    <row r="784" spans="2:29" ht="31.5" customHeight="1" x14ac:dyDescent="0.45">
      <c r="B784" s="468"/>
      <c r="C784" s="450"/>
      <c r="D784" s="449" t="s">
        <v>206</v>
      </c>
      <c r="K784" s="451"/>
      <c r="L784" s="451"/>
      <c r="M784" s="531">
        <f>SUM(TrialBalance!N366:N372)</f>
        <v>0</v>
      </c>
      <c r="N784" s="470"/>
      <c r="O784" s="531">
        <f>Criteria!F462</f>
        <v>0</v>
      </c>
      <c r="P784" s="459"/>
      <c r="Q784" s="469"/>
    </row>
    <row r="785" spans="2:24" ht="9" customHeight="1" x14ac:dyDescent="0.45">
      <c r="B785" s="468"/>
      <c r="C785" s="450"/>
      <c r="K785" s="451"/>
      <c r="L785" s="483"/>
      <c r="M785" s="535"/>
      <c r="N785" s="473"/>
      <c r="O785" s="535"/>
      <c r="P785" s="484"/>
      <c r="Q785" s="469"/>
    </row>
    <row r="786" spans="2:24" ht="9" customHeight="1" x14ac:dyDescent="0.45">
      <c r="B786" s="468"/>
      <c r="C786" s="450"/>
      <c r="K786" s="451"/>
      <c r="L786" s="451"/>
      <c r="M786" s="531"/>
      <c r="N786" s="470"/>
      <c r="O786" s="531"/>
      <c r="P786" s="459"/>
      <c r="Q786" s="469"/>
    </row>
    <row r="787" spans="2:24" ht="31.5" customHeight="1" x14ac:dyDescent="0.45">
      <c r="B787" s="468"/>
      <c r="C787" s="450" t="s">
        <v>205</v>
      </c>
      <c r="K787" s="451"/>
      <c r="L787" s="451"/>
      <c r="M787" s="531"/>
      <c r="N787" s="470"/>
      <c r="O787" s="531"/>
      <c r="P787" s="459"/>
      <c r="Q787" s="469"/>
    </row>
    <row r="788" spans="2:24" ht="31.5" customHeight="1" x14ac:dyDescent="0.45">
      <c r="B788" s="468"/>
      <c r="C788" s="450"/>
      <c r="D788" s="449" t="s">
        <v>207</v>
      </c>
      <c r="K788" s="451">
        <f>B2047</f>
        <v>19</v>
      </c>
      <c r="L788" s="451"/>
      <c r="M788" s="531">
        <f>SUM(M781:M786)</f>
        <v>0</v>
      </c>
      <c r="N788" s="470"/>
      <c r="O788" s="531">
        <f>SUM(O781:O786)</f>
        <v>0</v>
      </c>
      <c r="P788" s="459"/>
      <c r="Q788" s="469"/>
      <c r="V788" s="39" t="b">
        <f>M788=SUM(TrialBalance!L366:L372)</f>
        <v>1</v>
      </c>
      <c r="W788" s="514"/>
      <c r="X788" s="39" t="b">
        <f>O788=SUM(TrialBalance!N366:N372)</f>
        <v>1</v>
      </c>
    </row>
    <row r="789" spans="2:24" ht="9" customHeight="1" thickBot="1" x14ac:dyDescent="0.5">
      <c r="B789" s="468"/>
      <c r="L789" s="499"/>
      <c r="M789" s="638"/>
      <c r="N789" s="644"/>
      <c r="O789" s="638"/>
      <c r="P789" s="645"/>
      <c r="Q789" s="469"/>
      <c r="V789" s="518"/>
      <c r="W789" s="518"/>
    </row>
    <row r="790" spans="2:24" ht="9" customHeight="1" thickTop="1" x14ac:dyDescent="0.45">
      <c r="B790" s="468"/>
      <c r="M790" s="635"/>
      <c r="N790" s="621"/>
      <c r="O790" s="635"/>
      <c r="Q790" s="469"/>
    </row>
    <row r="791" spans="2:24" ht="31.5" customHeight="1" x14ac:dyDescent="0.45">
      <c r="B791" s="468"/>
      <c r="M791" s="635"/>
      <c r="N791" s="621"/>
      <c r="O791" s="635"/>
      <c r="Q791" s="469"/>
      <c r="R791" s="520"/>
      <c r="V791" s="518"/>
      <c r="W791" s="518"/>
    </row>
    <row r="792" spans="2:24" ht="31.5" customHeight="1" x14ac:dyDescent="0.45">
      <c r="B792" s="477"/>
      <c r="C792" s="461"/>
      <c r="D792" s="461"/>
      <c r="E792" s="461"/>
      <c r="F792" s="461"/>
      <c r="G792" s="461"/>
      <c r="H792" s="461"/>
      <c r="I792" s="461"/>
      <c r="J792" s="461"/>
      <c r="K792" s="461"/>
      <c r="L792" s="461"/>
      <c r="M792" s="640"/>
      <c r="N792" s="646"/>
      <c r="O792" s="640"/>
      <c r="P792" s="631"/>
      <c r="Q792" s="479"/>
    </row>
    <row r="793" spans="2:24" ht="31.5" customHeight="1" x14ac:dyDescent="0.45"/>
    <row r="794" spans="2:24" ht="31.5" customHeight="1" x14ac:dyDescent="0.45"/>
    <row r="795" spans="2:24" ht="31.5" customHeight="1" x14ac:dyDescent="0.45">
      <c r="D795" s="450" t="str">
        <f>Criteria!E9</f>
        <v>ABC COMPANY (PROPRIETARY) LIMITED</v>
      </c>
      <c r="O795" s="529" t="s">
        <v>121</v>
      </c>
      <c r="Q795" s="451">
        <f>MAX($Q$114:Q794)+1</f>
        <v>12</v>
      </c>
    </row>
    <row r="796" spans="2:24" ht="31.5" customHeight="1" x14ac:dyDescent="0.45">
      <c r="D796" s="450" t="str">
        <f>Criteria!E10</f>
        <v>T/A SEAFRONT HOTEL, SEAFRONT RESTAURANT AND RENTAL PROPERTIES</v>
      </c>
      <c r="R796" s="512" t="str">
        <f>IF(D796=0,"DELETE"," ")</f>
        <v xml:space="preserve"> </v>
      </c>
    </row>
    <row r="797" spans="2:24" ht="31.5" customHeight="1" x14ac:dyDescent="0.45"/>
    <row r="798" spans="2:24" ht="31.5" customHeight="1" x14ac:dyDescent="0.45">
      <c r="D798" s="450" t="s">
        <v>451</v>
      </c>
    </row>
    <row r="799" spans="2:24" ht="31.5" customHeight="1" x14ac:dyDescent="0.45">
      <c r="D799" s="450" t="str">
        <f>Criteria!E20</f>
        <v>29 FEBRUARY 2024</v>
      </c>
    </row>
    <row r="800" spans="2:24" ht="31.5" customHeight="1" x14ac:dyDescent="0.45"/>
    <row r="801" spans="2:18" ht="31.5" customHeight="1" x14ac:dyDescent="0.45">
      <c r="B801" s="465"/>
      <c r="C801" s="466"/>
      <c r="D801" s="466"/>
      <c r="E801" s="466"/>
      <c r="F801" s="466"/>
      <c r="G801" s="466"/>
      <c r="H801" s="466"/>
      <c r="I801" s="466"/>
      <c r="J801" s="466"/>
      <c r="K801" s="466"/>
      <c r="L801" s="466"/>
      <c r="M801" s="642"/>
      <c r="N801" s="643"/>
      <c r="O801" s="642"/>
      <c r="P801" s="643"/>
      <c r="Q801" s="467"/>
    </row>
    <row r="802" spans="2:18" ht="31.5" customHeight="1" x14ac:dyDescent="0.45">
      <c r="B802" s="563">
        <v>1</v>
      </c>
      <c r="C802" s="450" t="s">
        <v>1432</v>
      </c>
      <c r="M802" s="633"/>
      <c r="N802" s="634"/>
      <c r="O802" s="633"/>
      <c r="P802" s="634"/>
      <c r="Q802" s="469"/>
    </row>
    <row r="803" spans="2:18" ht="31.5" customHeight="1" x14ac:dyDescent="0.45">
      <c r="B803" s="563"/>
      <c r="C803" s="450"/>
      <c r="D803" s="449" t="s">
        <v>1337</v>
      </c>
      <c r="M803" s="633"/>
      <c r="N803" s="634"/>
      <c r="O803" s="633"/>
      <c r="P803" s="634"/>
      <c r="Q803" s="469"/>
    </row>
    <row r="804" spans="2:18" ht="31.5" customHeight="1" x14ac:dyDescent="0.45">
      <c r="B804" s="563"/>
      <c r="C804" s="450"/>
      <c r="D804" s="449" t="s">
        <v>1338</v>
      </c>
      <c r="M804" s="633"/>
      <c r="N804" s="634"/>
      <c r="O804" s="633"/>
      <c r="P804" s="634"/>
      <c r="Q804" s="469"/>
    </row>
    <row r="805" spans="2:18" ht="31.5" customHeight="1" x14ac:dyDescent="0.45">
      <c r="B805" s="563"/>
      <c r="C805" s="450"/>
      <c r="D805" s="449" t="s">
        <v>1427</v>
      </c>
      <c r="M805" s="633"/>
      <c r="N805" s="634"/>
      <c r="O805" s="633"/>
      <c r="P805" s="634"/>
      <c r="Q805" s="469"/>
    </row>
    <row r="806" spans="2:18" ht="31.5" customHeight="1" x14ac:dyDescent="0.45">
      <c r="B806" s="563"/>
      <c r="C806" s="450"/>
      <c r="D806" s="449" t="s">
        <v>1339</v>
      </c>
      <c r="M806" s="633"/>
      <c r="N806" s="634"/>
      <c r="O806" s="633"/>
      <c r="P806" s="634"/>
      <c r="Q806" s="469"/>
    </row>
    <row r="807" spans="2:18" ht="31.5" customHeight="1" x14ac:dyDescent="0.45">
      <c r="B807" s="563"/>
      <c r="C807" s="450"/>
      <c r="D807" s="449" t="s">
        <v>1340</v>
      </c>
      <c r="M807" s="633"/>
      <c r="N807" s="634"/>
      <c r="O807" s="633"/>
      <c r="P807" s="634"/>
      <c r="Q807" s="469"/>
    </row>
    <row r="808" spans="2:18" ht="31.5" customHeight="1" x14ac:dyDescent="0.45">
      <c r="B808" s="563"/>
      <c r="C808" s="450"/>
      <c r="M808" s="633"/>
      <c r="N808" s="634"/>
      <c r="O808" s="633"/>
      <c r="P808" s="634"/>
      <c r="Q808" s="469"/>
    </row>
    <row r="809" spans="2:18" ht="31.5" customHeight="1" x14ac:dyDescent="0.45">
      <c r="B809" s="563"/>
      <c r="C809" s="450"/>
      <c r="D809" s="449" t="str">
        <f>IF(Criteria!E120="No","Except where stated otherwise, these accounting policies are consistent with the prior year."," ")</f>
        <v>Except where stated otherwise, these accounting policies are consistent with the prior year.</v>
      </c>
      <c r="M809" s="633"/>
      <c r="N809" s="634"/>
      <c r="O809" s="633"/>
      <c r="P809" s="634"/>
      <c r="Q809" s="469"/>
      <c r="R809" s="512" t="str">
        <f>IF(D809=" ","DELETE"," ")</f>
        <v xml:space="preserve"> </v>
      </c>
    </row>
    <row r="810" spans="2:18" ht="31.5" customHeight="1" x14ac:dyDescent="0.45">
      <c r="B810" s="563"/>
      <c r="C810" s="450"/>
      <c r="D810" s="449" t="s">
        <v>1344</v>
      </c>
      <c r="M810" s="633"/>
      <c r="N810" s="634"/>
      <c r="O810" s="633"/>
      <c r="P810" s="634"/>
      <c r="Q810" s="469"/>
      <c r="R810" s="512" t="str">
        <f>IF(Criteria!E$120="NO","DELETE"," ")</f>
        <v>DELETE</v>
      </c>
    </row>
    <row r="811" spans="2:18" ht="31.5" customHeight="1" x14ac:dyDescent="0.45">
      <c r="B811" s="563"/>
      <c r="C811" s="450"/>
      <c r="D811" s="449" t="s">
        <v>1341</v>
      </c>
      <c r="M811" s="633"/>
      <c r="N811" s="634"/>
      <c r="O811" s="633"/>
      <c r="P811" s="634"/>
      <c r="Q811" s="469"/>
      <c r="R811" s="512" t="str">
        <f>IF(Criteria!E$120="NO","DELETE"," ")</f>
        <v>DELETE</v>
      </c>
    </row>
    <row r="812" spans="2:18" ht="31.5" customHeight="1" x14ac:dyDescent="0.45">
      <c r="B812" s="563"/>
      <c r="C812" s="450"/>
      <c r="D812" s="449" t="s">
        <v>1342</v>
      </c>
      <c r="M812" s="633"/>
      <c r="N812" s="634"/>
      <c r="O812" s="633"/>
      <c r="P812" s="634"/>
      <c r="Q812" s="469"/>
      <c r="R812" s="512" t="str">
        <f>IF(Criteria!E$120="NO","DELETE"," ")</f>
        <v>DELETE</v>
      </c>
    </row>
    <row r="813" spans="2:18" ht="31.5" customHeight="1" x14ac:dyDescent="0.45">
      <c r="B813" s="563"/>
      <c r="C813" s="450"/>
      <c r="D813" s="449" t="s">
        <v>1343</v>
      </c>
      <c r="M813" s="633"/>
      <c r="N813" s="634"/>
      <c r="O813" s="633"/>
      <c r="P813" s="634"/>
      <c r="Q813" s="469"/>
      <c r="R813" s="512" t="str">
        <f>IF(Criteria!E$120="NO","DELETE"," ")</f>
        <v>DELETE</v>
      </c>
    </row>
    <row r="814" spans="2:18" ht="31.5" customHeight="1" x14ac:dyDescent="0.45">
      <c r="B814" s="563"/>
      <c r="C814" s="450"/>
      <c r="M814" s="633"/>
      <c r="N814" s="634"/>
      <c r="O814" s="633"/>
      <c r="P814" s="634"/>
      <c r="Q814" s="469"/>
    </row>
    <row r="815" spans="2:18" ht="31.5" customHeight="1" x14ac:dyDescent="0.45">
      <c r="B815" s="563"/>
      <c r="C815" s="449">
        <f>B802+0.1</f>
        <v>1.1000000000000001</v>
      </c>
      <c r="D815" s="450" t="s">
        <v>60</v>
      </c>
      <c r="M815" s="633"/>
      <c r="N815" s="634"/>
      <c r="O815" s="633"/>
      <c r="P815" s="634"/>
      <c r="Q815" s="469"/>
    </row>
    <row r="816" spans="2:18" ht="31.5" customHeight="1" x14ac:dyDescent="0.45">
      <c r="B816" s="563"/>
      <c r="C816" s="450"/>
      <c r="D816" s="449" t="s">
        <v>1347</v>
      </c>
      <c r="M816" s="633"/>
      <c r="N816" s="634"/>
      <c r="O816" s="633"/>
      <c r="P816" s="634"/>
      <c r="Q816" s="469"/>
    </row>
    <row r="817" spans="2:17" ht="31.5" customHeight="1" x14ac:dyDescent="0.45">
      <c r="B817" s="563"/>
      <c r="C817" s="450"/>
      <c r="D817" s="449" t="s">
        <v>1348</v>
      </c>
      <c r="M817" s="633"/>
      <c r="N817" s="634"/>
      <c r="O817" s="633"/>
      <c r="P817" s="634"/>
      <c r="Q817" s="469"/>
    </row>
    <row r="818" spans="2:17" ht="31.5" customHeight="1" x14ac:dyDescent="0.45">
      <c r="B818" s="563"/>
      <c r="C818" s="450"/>
      <c r="D818" s="449" t="s">
        <v>1428</v>
      </c>
      <c r="M818" s="633"/>
      <c r="N818" s="634"/>
      <c r="O818" s="633"/>
      <c r="P818" s="634"/>
      <c r="Q818" s="469"/>
    </row>
    <row r="819" spans="2:17" ht="31.5" customHeight="1" x14ac:dyDescent="0.45">
      <c r="B819" s="563"/>
      <c r="C819" s="450"/>
      <c r="D819" s="462" t="s">
        <v>1308</v>
      </c>
      <c r="M819" s="633"/>
      <c r="N819" s="634"/>
      <c r="O819" s="633"/>
      <c r="P819" s="634"/>
      <c r="Q819" s="469"/>
    </row>
    <row r="820" spans="2:17" ht="31.5" customHeight="1" x14ac:dyDescent="0.45">
      <c r="B820" s="563"/>
      <c r="C820" s="450"/>
      <c r="D820" s="449" t="s">
        <v>1349</v>
      </c>
      <c r="M820" s="633"/>
      <c r="N820" s="634"/>
      <c r="O820" s="633"/>
      <c r="P820" s="634"/>
      <c r="Q820" s="469"/>
    </row>
    <row r="821" spans="2:17" ht="31.5" customHeight="1" x14ac:dyDescent="0.45">
      <c r="B821" s="563"/>
      <c r="C821" s="450"/>
      <c r="D821" s="449" t="s">
        <v>1350</v>
      </c>
      <c r="M821" s="633"/>
      <c r="N821" s="634"/>
      <c r="O821" s="633"/>
      <c r="P821" s="634"/>
      <c r="Q821" s="469"/>
    </row>
    <row r="822" spans="2:17" ht="31.5" customHeight="1" x14ac:dyDescent="0.45">
      <c r="B822" s="563"/>
      <c r="C822" s="450"/>
      <c r="D822" s="462" t="s">
        <v>1309</v>
      </c>
      <c r="M822" s="633"/>
      <c r="N822" s="634"/>
      <c r="O822" s="633"/>
      <c r="P822" s="634"/>
      <c r="Q822" s="469"/>
    </row>
    <row r="823" spans="2:17" ht="31.5" customHeight="1" x14ac:dyDescent="0.45">
      <c r="B823" s="563"/>
      <c r="C823" s="450"/>
      <c r="D823" s="449" t="s">
        <v>1351</v>
      </c>
      <c r="M823" s="633"/>
      <c r="N823" s="634"/>
      <c r="O823" s="633"/>
      <c r="P823" s="634"/>
      <c r="Q823" s="469"/>
    </row>
    <row r="824" spans="2:17" ht="31.5" customHeight="1" x14ac:dyDescent="0.45">
      <c r="B824" s="563"/>
      <c r="C824" s="450"/>
      <c r="D824" s="449" t="s">
        <v>1352</v>
      </c>
      <c r="M824" s="633"/>
      <c r="N824" s="634"/>
      <c r="O824" s="633"/>
      <c r="P824" s="634"/>
      <c r="Q824" s="469"/>
    </row>
    <row r="825" spans="2:17" ht="31.5" customHeight="1" x14ac:dyDescent="0.45">
      <c r="B825" s="563"/>
      <c r="C825" s="450"/>
      <c r="D825" s="449" t="s">
        <v>1353</v>
      </c>
      <c r="M825" s="633"/>
      <c r="N825" s="634"/>
      <c r="O825" s="633"/>
      <c r="P825" s="634"/>
      <c r="Q825" s="469"/>
    </row>
    <row r="826" spans="2:17" ht="31.5" customHeight="1" x14ac:dyDescent="0.45">
      <c r="B826" s="563"/>
      <c r="C826" s="450"/>
      <c r="M826" s="633"/>
      <c r="N826" s="634"/>
      <c r="O826" s="633"/>
      <c r="P826" s="634"/>
      <c r="Q826" s="469"/>
    </row>
    <row r="827" spans="2:17" ht="31.5" customHeight="1" x14ac:dyDescent="0.45">
      <c r="B827" s="563"/>
      <c r="C827" s="449">
        <f>MAX(C$802:C826)+0.1</f>
        <v>1.2000000000000002</v>
      </c>
      <c r="D827" s="450" t="s">
        <v>141</v>
      </c>
      <c r="M827" s="633"/>
      <c r="N827" s="634"/>
      <c r="O827" s="633"/>
      <c r="P827" s="634"/>
      <c r="Q827" s="469"/>
    </row>
    <row r="828" spans="2:17" ht="31.5" customHeight="1" x14ac:dyDescent="0.45">
      <c r="B828" s="563"/>
      <c r="C828" s="450"/>
      <c r="D828" s="462" t="s">
        <v>1354</v>
      </c>
      <c r="M828" s="633"/>
      <c r="N828" s="634"/>
      <c r="O828" s="633"/>
      <c r="P828" s="634"/>
      <c r="Q828" s="469"/>
    </row>
    <row r="829" spans="2:17" ht="31.5" customHeight="1" x14ac:dyDescent="0.45">
      <c r="B829" s="563"/>
      <c r="C829" s="450"/>
      <c r="D829" s="449" t="s">
        <v>1355</v>
      </c>
      <c r="M829" s="633"/>
      <c r="N829" s="634"/>
      <c r="O829" s="633"/>
      <c r="P829" s="634"/>
      <c r="Q829" s="469"/>
    </row>
    <row r="830" spans="2:17" ht="31.5" customHeight="1" x14ac:dyDescent="0.45">
      <c r="B830" s="563"/>
      <c r="C830" s="450"/>
      <c r="D830" s="449" t="s">
        <v>1356</v>
      </c>
      <c r="M830" s="633"/>
      <c r="N830" s="634"/>
      <c r="O830" s="633"/>
      <c r="P830" s="634"/>
      <c r="Q830" s="469"/>
    </row>
    <row r="831" spans="2:17" ht="31.5" customHeight="1" x14ac:dyDescent="0.45">
      <c r="B831" s="563"/>
      <c r="C831" s="450"/>
      <c r="D831" s="449" t="s">
        <v>1357</v>
      </c>
      <c r="M831" s="633"/>
      <c r="N831" s="634"/>
      <c r="O831" s="633"/>
      <c r="P831" s="634"/>
      <c r="Q831" s="469"/>
    </row>
    <row r="832" spans="2:17" ht="31.5" customHeight="1" x14ac:dyDescent="0.45">
      <c r="B832" s="563"/>
      <c r="C832" s="450"/>
      <c r="D832" s="449" t="s">
        <v>1358</v>
      </c>
      <c r="M832" s="633"/>
      <c r="N832" s="634"/>
      <c r="O832" s="633"/>
      <c r="P832" s="634"/>
      <c r="Q832" s="469"/>
    </row>
    <row r="833" spans="2:17" ht="31.5" customHeight="1" x14ac:dyDescent="0.45">
      <c r="B833" s="563"/>
      <c r="C833" s="450"/>
      <c r="D833" s="462" t="s">
        <v>1359</v>
      </c>
      <c r="M833" s="633"/>
      <c r="N833" s="634"/>
      <c r="O833" s="633"/>
      <c r="P833" s="634"/>
      <c r="Q833" s="469"/>
    </row>
    <row r="834" spans="2:17" ht="31.5" customHeight="1" x14ac:dyDescent="0.45">
      <c r="B834" s="563"/>
      <c r="C834" s="450"/>
      <c r="D834" s="449" t="s">
        <v>1360</v>
      </c>
      <c r="M834" s="633"/>
      <c r="N834" s="634"/>
      <c r="O834" s="633"/>
      <c r="P834" s="634"/>
      <c r="Q834" s="469"/>
    </row>
    <row r="835" spans="2:17" ht="31.5" customHeight="1" x14ac:dyDescent="0.45">
      <c r="B835" s="563"/>
      <c r="C835" s="450"/>
      <c r="D835" s="449" t="s">
        <v>1429</v>
      </c>
      <c r="M835" s="633"/>
      <c r="N835" s="634"/>
      <c r="O835" s="633"/>
      <c r="P835" s="634"/>
      <c r="Q835" s="469"/>
    </row>
    <row r="836" spans="2:17" ht="31.5" customHeight="1" x14ac:dyDescent="0.45">
      <c r="B836" s="563"/>
      <c r="C836" s="450"/>
      <c r="D836" s="449" t="s">
        <v>1361</v>
      </c>
      <c r="M836" s="633"/>
      <c r="N836" s="634"/>
      <c r="O836" s="633"/>
      <c r="P836" s="634"/>
      <c r="Q836" s="469"/>
    </row>
    <row r="837" spans="2:17" ht="31.5" customHeight="1" x14ac:dyDescent="0.45">
      <c r="B837" s="563"/>
      <c r="C837" s="450"/>
      <c r="D837" s="449" t="s">
        <v>1362</v>
      </c>
      <c r="M837" s="633"/>
      <c r="N837" s="634"/>
      <c r="O837" s="633"/>
      <c r="P837" s="634"/>
      <c r="Q837" s="469"/>
    </row>
    <row r="838" spans="2:17" ht="31.5" customHeight="1" x14ac:dyDescent="0.45">
      <c r="B838" s="563"/>
      <c r="C838" s="450"/>
      <c r="D838" s="449" t="s">
        <v>1363</v>
      </c>
      <c r="M838" s="633"/>
      <c r="N838" s="634"/>
      <c r="O838" s="633"/>
      <c r="P838" s="634"/>
      <c r="Q838" s="469"/>
    </row>
    <row r="839" spans="2:17" ht="31.5" customHeight="1" x14ac:dyDescent="0.45">
      <c r="B839" s="563"/>
      <c r="C839" s="450"/>
      <c r="D839" s="449" t="s">
        <v>1364</v>
      </c>
      <c r="M839" s="633"/>
      <c r="N839" s="634"/>
      <c r="O839" s="633"/>
      <c r="P839" s="634"/>
      <c r="Q839" s="469"/>
    </row>
    <row r="840" spans="2:17" ht="31.5" customHeight="1" x14ac:dyDescent="0.45">
      <c r="B840" s="563"/>
      <c r="C840" s="450"/>
      <c r="D840" s="449" t="s">
        <v>1365</v>
      </c>
      <c r="M840" s="633"/>
      <c r="N840" s="634"/>
      <c r="O840" s="633"/>
      <c r="P840" s="634"/>
      <c r="Q840" s="469"/>
    </row>
    <row r="841" spans="2:17" ht="31.5" customHeight="1" x14ac:dyDescent="0.45">
      <c r="B841" s="563"/>
      <c r="C841" s="450"/>
      <c r="D841" s="462" t="s">
        <v>1366</v>
      </c>
      <c r="M841" s="633"/>
      <c r="N841" s="634"/>
      <c r="O841" s="633"/>
      <c r="P841" s="634"/>
      <c r="Q841" s="469"/>
    </row>
    <row r="842" spans="2:17" ht="31.5" customHeight="1" x14ac:dyDescent="0.45">
      <c r="B842" s="563"/>
      <c r="C842" s="450"/>
      <c r="D842" s="449" t="s">
        <v>1367</v>
      </c>
      <c r="M842" s="633"/>
      <c r="N842" s="634"/>
      <c r="O842" s="633"/>
      <c r="P842" s="634"/>
      <c r="Q842" s="469"/>
    </row>
    <row r="843" spans="2:17" ht="31.5" customHeight="1" x14ac:dyDescent="0.45">
      <c r="B843" s="563"/>
      <c r="C843" s="450"/>
      <c r="D843" s="449" t="s">
        <v>1368</v>
      </c>
      <c r="M843" s="633"/>
      <c r="N843" s="634"/>
      <c r="O843" s="633"/>
      <c r="P843" s="634"/>
      <c r="Q843" s="469"/>
    </row>
    <row r="844" spans="2:17" ht="31.5" customHeight="1" x14ac:dyDescent="0.45">
      <c r="B844" s="563"/>
      <c r="C844" s="450"/>
      <c r="M844" s="633"/>
      <c r="N844" s="634"/>
      <c r="O844" s="633"/>
      <c r="P844" s="634"/>
      <c r="Q844" s="469"/>
    </row>
    <row r="845" spans="2:17" ht="31.5" customHeight="1" x14ac:dyDescent="0.45">
      <c r="B845" s="563"/>
      <c r="C845" s="452"/>
      <c r="D845" s="452"/>
      <c r="E845" s="452"/>
      <c r="F845" s="452"/>
      <c r="G845" s="452"/>
      <c r="H845" s="452"/>
      <c r="I845" s="452"/>
      <c r="J845" s="452"/>
      <c r="K845" s="452"/>
      <c r="L845" s="452"/>
      <c r="M845" s="452"/>
      <c r="N845" s="452"/>
      <c r="O845" s="452"/>
      <c r="P845" s="452"/>
      <c r="Q845" s="667"/>
    </row>
    <row r="846" spans="2:17" ht="31.5" customHeight="1" x14ac:dyDescent="0.45">
      <c r="B846" s="563"/>
      <c r="C846" s="450"/>
      <c r="M846" s="633"/>
      <c r="N846" s="634"/>
      <c r="O846" s="633"/>
      <c r="P846" s="634"/>
      <c r="Q846" s="469"/>
    </row>
    <row r="847" spans="2:17" ht="31.5" customHeight="1" x14ac:dyDescent="0.45">
      <c r="B847" s="477"/>
      <c r="C847" s="461"/>
      <c r="D847" s="461"/>
      <c r="E847" s="461"/>
      <c r="F847" s="461"/>
      <c r="G847" s="461"/>
      <c r="H847" s="461"/>
      <c r="I847" s="461"/>
      <c r="J847" s="461"/>
      <c r="K847" s="461"/>
      <c r="L847" s="461"/>
      <c r="M847" s="640"/>
      <c r="N847" s="646"/>
      <c r="O847" s="640"/>
      <c r="P847" s="631"/>
      <c r="Q847" s="479"/>
    </row>
    <row r="848" spans="2:17" ht="31.5" customHeight="1" x14ac:dyDescent="0.45"/>
    <row r="849" spans="2:18" ht="31.5" customHeight="1" x14ac:dyDescent="0.45"/>
    <row r="850" spans="2:18" ht="31.5" customHeight="1" x14ac:dyDescent="0.45">
      <c r="D850" s="450" t="str">
        <f>Criteria!E9</f>
        <v>ABC COMPANY (PROPRIETARY) LIMITED</v>
      </c>
      <c r="O850" s="529" t="s">
        <v>121</v>
      </c>
      <c r="Q850" s="451">
        <f>MAX($Q$114:Q849)+1</f>
        <v>13</v>
      </c>
    </row>
    <row r="851" spans="2:18" ht="31.5" customHeight="1" x14ac:dyDescent="0.45">
      <c r="D851" s="450" t="str">
        <f>Criteria!E10</f>
        <v>T/A SEAFRONT HOTEL, SEAFRONT RESTAURANT AND RENTAL PROPERTIES</v>
      </c>
      <c r="R851" s="512" t="str">
        <f>IF(D851=0,"DELETE"," ")</f>
        <v xml:space="preserve"> </v>
      </c>
    </row>
    <row r="852" spans="2:18" ht="31.5" customHeight="1" x14ac:dyDescent="0.45"/>
    <row r="853" spans="2:18" ht="31.5" customHeight="1" x14ac:dyDescent="0.45">
      <c r="D853" s="450" t="s">
        <v>451</v>
      </c>
    </row>
    <row r="854" spans="2:18" ht="31.5" customHeight="1" x14ac:dyDescent="0.45">
      <c r="D854" s="450" t="str">
        <f>Criteria!E20</f>
        <v>29 FEBRUARY 2024</v>
      </c>
      <c r="J854" s="449" t="s">
        <v>303</v>
      </c>
    </row>
    <row r="855" spans="2:18" ht="31.5" customHeight="1" x14ac:dyDescent="0.45"/>
    <row r="856" spans="2:18" ht="31.5" customHeight="1" x14ac:dyDescent="0.45">
      <c r="B856" s="465"/>
      <c r="C856" s="466"/>
      <c r="D856" s="466"/>
      <c r="E856" s="466"/>
      <c r="F856" s="466"/>
      <c r="G856" s="466"/>
      <c r="H856" s="466"/>
      <c r="I856" s="466"/>
      <c r="J856" s="466"/>
      <c r="K856" s="466"/>
      <c r="L856" s="466"/>
      <c r="M856" s="642"/>
      <c r="N856" s="643"/>
      <c r="O856" s="642"/>
      <c r="P856" s="643"/>
      <c r="Q856" s="467"/>
    </row>
    <row r="857" spans="2:18" ht="31.5" customHeight="1" x14ac:dyDescent="0.45">
      <c r="B857" s="468"/>
      <c r="C857" s="449">
        <f>MAX(C$802:C856)+0.1</f>
        <v>1.3000000000000003</v>
      </c>
      <c r="D857" s="450" t="s">
        <v>1040</v>
      </c>
      <c r="Q857" s="469"/>
    </row>
    <row r="858" spans="2:18" ht="31.5" customHeight="1" x14ac:dyDescent="0.45">
      <c r="B858" s="468"/>
      <c r="C858" s="450"/>
      <c r="D858" s="449" t="s">
        <v>1372</v>
      </c>
      <c r="Q858" s="469"/>
    </row>
    <row r="859" spans="2:18" ht="31.5" customHeight="1" x14ac:dyDescent="0.45">
      <c r="B859" s="468"/>
      <c r="C859" s="450"/>
      <c r="D859" s="449" t="s">
        <v>1373</v>
      </c>
      <c r="Q859" s="469"/>
    </row>
    <row r="860" spans="2:18" ht="31.5" customHeight="1" x14ac:dyDescent="0.45">
      <c r="B860" s="468"/>
      <c r="C860" s="452"/>
      <c r="D860" s="449" t="s">
        <v>1369</v>
      </c>
      <c r="Q860" s="469"/>
    </row>
    <row r="861" spans="2:18" ht="31.5" customHeight="1" x14ac:dyDescent="0.45">
      <c r="B861" s="468"/>
      <c r="C861" s="450"/>
      <c r="D861" s="449" t="s">
        <v>1370</v>
      </c>
      <c r="Q861" s="469"/>
    </row>
    <row r="862" spans="2:18" ht="31.5" customHeight="1" x14ac:dyDescent="0.45">
      <c r="B862" s="468"/>
      <c r="C862" s="450"/>
      <c r="D862" s="449" t="s">
        <v>1371</v>
      </c>
      <c r="Q862" s="469"/>
    </row>
    <row r="863" spans="2:18" ht="31.5" customHeight="1" x14ac:dyDescent="0.45">
      <c r="B863" s="468"/>
      <c r="C863" s="450"/>
      <c r="D863" s="449" t="s">
        <v>1374</v>
      </c>
      <c r="Q863" s="469"/>
    </row>
    <row r="864" spans="2:18" ht="31.5" customHeight="1" x14ac:dyDescent="0.45">
      <c r="B864" s="468"/>
      <c r="C864" s="450"/>
      <c r="D864" s="449" t="s">
        <v>1375</v>
      </c>
      <c r="Q864" s="469"/>
    </row>
    <row r="865" spans="2:18" ht="31.5" customHeight="1" x14ac:dyDescent="0.45">
      <c r="B865" s="468"/>
      <c r="M865" s="633"/>
      <c r="N865" s="634"/>
      <c r="O865" s="633"/>
      <c r="P865" s="634"/>
      <c r="Q865" s="469"/>
    </row>
    <row r="866" spans="2:18" ht="31.5" customHeight="1" x14ac:dyDescent="0.45">
      <c r="B866" s="468"/>
      <c r="M866" s="633"/>
      <c r="N866" s="634"/>
      <c r="O866" s="633"/>
      <c r="P866" s="634"/>
      <c r="Q866" s="469"/>
    </row>
    <row r="867" spans="2:18" ht="31.5" customHeight="1" x14ac:dyDescent="0.45">
      <c r="B867" s="477"/>
      <c r="C867" s="461"/>
      <c r="D867" s="461"/>
      <c r="E867" s="461"/>
      <c r="F867" s="461"/>
      <c r="G867" s="461"/>
      <c r="H867" s="461"/>
      <c r="I867" s="461"/>
      <c r="J867" s="461"/>
      <c r="K867" s="461"/>
      <c r="L867" s="461"/>
      <c r="M867" s="630"/>
      <c r="N867" s="631"/>
      <c r="O867" s="630"/>
      <c r="P867" s="631"/>
      <c r="Q867" s="479"/>
    </row>
    <row r="868" spans="2:18" ht="31.5" customHeight="1" x14ac:dyDescent="0.45"/>
    <row r="869" spans="2:18" ht="31.5" customHeight="1" x14ac:dyDescent="0.45"/>
    <row r="870" spans="2:18" ht="31.5" customHeight="1" x14ac:dyDescent="0.45">
      <c r="D870" s="450" t="str">
        <f>Criteria!E9</f>
        <v>ABC COMPANY (PROPRIETARY) LIMITED</v>
      </c>
      <c r="O870" s="529" t="s">
        <v>121</v>
      </c>
      <c r="Q870" s="451">
        <f>MAX($Q$114:Q869)+1</f>
        <v>14</v>
      </c>
    </row>
    <row r="871" spans="2:18" ht="31.5" customHeight="1" x14ac:dyDescent="0.45">
      <c r="D871" s="450" t="str">
        <f>Criteria!E10</f>
        <v>T/A SEAFRONT HOTEL, SEAFRONT RESTAURANT AND RENTAL PROPERTIES</v>
      </c>
      <c r="R871" s="512" t="str">
        <f>IF(D871=0,"DELETE"," ")</f>
        <v xml:space="preserve"> </v>
      </c>
    </row>
    <row r="872" spans="2:18" ht="31.5" customHeight="1" x14ac:dyDescent="0.45"/>
    <row r="873" spans="2:18" ht="31.5" customHeight="1" x14ac:dyDescent="0.45">
      <c r="D873" s="450" t="s">
        <v>451</v>
      </c>
    </row>
    <row r="874" spans="2:18" ht="31.5" customHeight="1" x14ac:dyDescent="0.45">
      <c r="D874" s="450" t="str">
        <f>Criteria!E20</f>
        <v>29 FEBRUARY 2024</v>
      </c>
      <c r="J874" s="449" t="s">
        <v>303</v>
      </c>
    </row>
    <row r="875" spans="2:18" ht="31.5" customHeight="1" x14ac:dyDescent="0.45"/>
    <row r="876" spans="2:18" ht="31.5" customHeight="1" x14ac:dyDescent="0.45">
      <c r="B876" s="465"/>
      <c r="C876" s="466"/>
      <c r="D876" s="466"/>
      <c r="E876" s="466"/>
      <c r="F876" s="466"/>
      <c r="G876" s="466"/>
      <c r="H876" s="466"/>
      <c r="I876" s="466"/>
      <c r="J876" s="466"/>
      <c r="K876" s="466"/>
      <c r="L876" s="466"/>
      <c r="M876" s="642"/>
      <c r="N876" s="643"/>
      <c r="O876" s="642"/>
      <c r="P876" s="643"/>
      <c r="Q876" s="467"/>
    </row>
    <row r="877" spans="2:18" ht="31.5" customHeight="1" x14ac:dyDescent="0.45">
      <c r="B877" s="563"/>
      <c r="C877" s="450"/>
      <c r="D877" s="449" t="s">
        <v>1376</v>
      </c>
      <c r="Q877" s="469"/>
    </row>
    <row r="878" spans="2:18" ht="31.5" customHeight="1" x14ac:dyDescent="0.45">
      <c r="B878" s="563"/>
      <c r="C878" s="450"/>
      <c r="D878" s="449" t="s">
        <v>1377</v>
      </c>
      <c r="Q878" s="469"/>
    </row>
    <row r="879" spans="2:18" ht="31.5" customHeight="1" x14ac:dyDescent="0.45">
      <c r="B879" s="563"/>
      <c r="C879" s="450"/>
      <c r="D879" s="449" t="s">
        <v>1378</v>
      </c>
      <c r="Q879" s="469"/>
    </row>
    <row r="880" spans="2:18" ht="31.5" customHeight="1" x14ac:dyDescent="0.45">
      <c r="B880" s="563"/>
      <c r="C880" s="450"/>
      <c r="D880" s="449" t="str">
        <f>CONCATENATE("- ",Criteria!F221)</f>
        <v>- Property</v>
      </c>
      <c r="J880" s="500">
        <f>Criteria!F222</f>
        <v>0.02</v>
      </c>
      <c r="K880" s="449" t="str">
        <f>Criteria!F223</f>
        <v>Straight line</v>
      </c>
      <c r="Q880" s="469"/>
    </row>
    <row r="881" spans="2:17" ht="31.5" customHeight="1" x14ac:dyDescent="0.45">
      <c r="B881" s="563"/>
      <c r="C881" s="450"/>
      <c r="D881" s="449" t="str">
        <f>CONCATENATE("- ",Criteria!G220," ",Criteria!G221)</f>
        <v>- Plant and equipment</v>
      </c>
      <c r="J881" s="500">
        <f>Criteria!G222</f>
        <v>0.2</v>
      </c>
      <c r="K881" s="641" t="str">
        <f>Criteria!G223</f>
        <v>Straight line</v>
      </c>
      <c r="Q881" s="469"/>
    </row>
    <row r="882" spans="2:17" ht="31.5" customHeight="1" x14ac:dyDescent="0.45">
      <c r="B882" s="563"/>
      <c r="C882" s="450"/>
      <c r="D882" s="449" t="str">
        <f>CONCATENATE("- ",Criteria!H220," ",Criteria!H221)</f>
        <v>- Motor vehicles</v>
      </c>
      <c r="J882" s="500">
        <f>Criteria!H222</f>
        <v>0.2</v>
      </c>
      <c r="K882" s="641" t="str">
        <f>Criteria!H223</f>
        <v>Straight line</v>
      </c>
      <c r="Q882" s="469"/>
    </row>
    <row r="883" spans="2:17" ht="31.5" customHeight="1" x14ac:dyDescent="0.45">
      <c r="B883" s="563"/>
      <c r="C883" s="450"/>
      <c r="D883" s="449" t="str">
        <f>CONCATENATE("- ",Criteria!I220," ",Criteria!I221)</f>
        <v>- Electronic equipment</v>
      </c>
      <c r="J883" s="500">
        <f>Criteria!I222</f>
        <v>0.33339999999999997</v>
      </c>
      <c r="K883" s="641" t="str">
        <f>Criteria!I223</f>
        <v>Straight line</v>
      </c>
      <c r="Q883" s="469"/>
    </row>
    <row r="884" spans="2:17" ht="31.5" customHeight="1" x14ac:dyDescent="0.45">
      <c r="B884" s="563"/>
      <c r="C884" s="450"/>
      <c r="D884" s="449" t="str">
        <f>CONCATENATE("- ",Criteria!J220," ",Criteria!J221)</f>
        <v>- Furniture and fittings</v>
      </c>
      <c r="J884" s="500">
        <f>Criteria!J222</f>
        <v>0.2</v>
      </c>
      <c r="K884" s="641" t="str">
        <f>Criteria!J223</f>
        <v>Straight line</v>
      </c>
      <c r="Q884" s="469"/>
    </row>
    <row r="885" spans="2:17" ht="31.5" customHeight="1" x14ac:dyDescent="0.45">
      <c r="B885" s="563"/>
      <c r="C885" s="450"/>
      <c r="Q885" s="469"/>
    </row>
    <row r="886" spans="2:17" ht="31.5" customHeight="1" x14ac:dyDescent="0.45">
      <c r="B886" s="563"/>
      <c r="C886" s="450"/>
      <c r="D886" s="449" t="s">
        <v>1295</v>
      </c>
      <c r="Q886" s="469"/>
    </row>
    <row r="887" spans="2:17" ht="31.5" customHeight="1" x14ac:dyDescent="0.45">
      <c r="B887" s="563"/>
      <c r="C887" s="450"/>
      <c r="D887" s="449" t="s">
        <v>1297</v>
      </c>
      <c r="Q887" s="469"/>
    </row>
    <row r="888" spans="2:17" ht="31.5" customHeight="1" x14ac:dyDescent="0.45">
      <c r="B888" s="563"/>
      <c r="C888" s="450"/>
      <c r="D888" s="449" t="s">
        <v>1296</v>
      </c>
      <c r="Q888" s="469"/>
    </row>
    <row r="889" spans="2:17" ht="31.5" customHeight="1" x14ac:dyDescent="0.45">
      <c r="B889" s="563"/>
      <c r="C889" s="450"/>
      <c r="Q889" s="469"/>
    </row>
    <row r="890" spans="2:17" ht="31.5" customHeight="1" x14ac:dyDescent="0.45">
      <c r="B890" s="563"/>
      <c r="C890" s="450"/>
      <c r="D890" s="449" t="s">
        <v>1380</v>
      </c>
      <c r="Q890" s="469"/>
    </row>
    <row r="891" spans="2:17" ht="31.5" customHeight="1" x14ac:dyDescent="0.45">
      <c r="B891" s="563"/>
      <c r="C891" s="450"/>
      <c r="Q891" s="469"/>
    </row>
    <row r="892" spans="2:17" ht="31.5" customHeight="1" x14ac:dyDescent="0.45">
      <c r="B892" s="563"/>
      <c r="C892" s="450"/>
      <c r="Q892" s="469"/>
    </row>
    <row r="893" spans="2:17" ht="31.5" customHeight="1" x14ac:dyDescent="0.45">
      <c r="B893" s="477"/>
      <c r="C893" s="461"/>
      <c r="D893" s="461"/>
      <c r="E893" s="461"/>
      <c r="F893" s="461"/>
      <c r="G893" s="461"/>
      <c r="H893" s="461"/>
      <c r="I893" s="461"/>
      <c r="J893" s="461"/>
      <c r="K893" s="461"/>
      <c r="L893" s="461"/>
      <c r="M893" s="640"/>
      <c r="N893" s="646"/>
      <c r="O893" s="640"/>
      <c r="P893" s="631"/>
      <c r="Q893" s="479"/>
    </row>
    <row r="894" spans="2:17" ht="31.5" customHeight="1" x14ac:dyDescent="0.45"/>
    <row r="895" spans="2:17" ht="31.5" customHeight="1" x14ac:dyDescent="0.45"/>
    <row r="896" spans="2:17" ht="31.5" customHeight="1" x14ac:dyDescent="0.45">
      <c r="D896" s="450" t="str">
        <f>Criteria!E9</f>
        <v>ABC COMPANY (PROPRIETARY) LIMITED</v>
      </c>
      <c r="O896" s="529" t="s">
        <v>121</v>
      </c>
      <c r="Q896" s="451">
        <f>MAX($Q$114:Q895)+1</f>
        <v>15</v>
      </c>
    </row>
    <row r="897" spans="2:18" ht="31.5" customHeight="1" x14ac:dyDescent="0.45">
      <c r="D897" s="450" t="str">
        <f>Criteria!E10</f>
        <v>T/A SEAFRONT HOTEL, SEAFRONT RESTAURANT AND RENTAL PROPERTIES</v>
      </c>
      <c r="R897" s="512" t="str">
        <f>IF(D897=0,"DELETE"," ")</f>
        <v xml:space="preserve"> </v>
      </c>
    </row>
    <row r="898" spans="2:18" ht="31.5" customHeight="1" x14ac:dyDescent="0.45"/>
    <row r="899" spans="2:18" ht="31.5" customHeight="1" x14ac:dyDescent="0.45">
      <c r="D899" s="450" t="s">
        <v>451</v>
      </c>
    </row>
    <row r="900" spans="2:18" ht="31.5" customHeight="1" x14ac:dyDescent="0.45">
      <c r="D900" s="450" t="str">
        <f>Criteria!E20</f>
        <v>29 FEBRUARY 2024</v>
      </c>
      <c r="J900" s="449" t="s">
        <v>303</v>
      </c>
    </row>
    <row r="901" spans="2:18" ht="31.5" customHeight="1" x14ac:dyDescent="0.45"/>
    <row r="902" spans="2:18" ht="31.5" customHeight="1" x14ac:dyDescent="0.45">
      <c r="B902" s="465"/>
      <c r="C902" s="466"/>
      <c r="D902" s="466"/>
      <c r="E902" s="466"/>
      <c r="F902" s="466"/>
      <c r="G902" s="466"/>
      <c r="H902" s="466"/>
      <c r="I902" s="466"/>
      <c r="J902" s="466"/>
      <c r="K902" s="466"/>
      <c r="L902" s="466"/>
      <c r="M902" s="642"/>
      <c r="N902" s="643"/>
      <c r="O902" s="642"/>
      <c r="P902" s="643"/>
      <c r="Q902" s="467"/>
    </row>
    <row r="903" spans="2:18" ht="31.5" customHeight="1" x14ac:dyDescent="0.45">
      <c r="B903" s="563"/>
      <c r="C903" s="449">
        <f>MAX(C$802:C902)+0.1</f>
        <v>1.4000000000000004</v>
      </c>
      <c r="D903" s="450" t="s">
        <v>1381</v>
      </c>
      <c r="Q903" s="469"/>
    </row>
    <row r="904" spans="2:18" ht="31.5" customHeight="1" x14ac:dyDescent="0.45">
      <c r="B904" s="563"/>
      <c r="C904" s="450"/>
      <c r="D904" s="449" t="s">
        <v>1382</v>
      </c>
      <c r="Q904" s="469"/>
    </row>
    <row r="905" spans="2:18" ht="31.5" customHeight="1" x14ac:dyDescent="0.45">
      <c r="B905" s="563"/>
      <c r="C905" s="450"/>
      <c r="D905" s="449" t="s">
        <v>1383</v>
      </c>
      <c r="Q905" s="469"/>
    </row>
    <row r="906" spans="2:18" ht="31.5" customHeight="1" x14ac:dyDescent="0.45">
      <c r="B906" s="563"/>
      <c r="C906" s="450"/>
      <c r="D906" s="449" t="s">
        <v>1384</v>
      </c>
      <c r="Q906" s="469"/>
    </row>
    <row r="907" spans="2:18" ht="31.5" customHeight="1" x14ac:dyDescent="0.45">
      <c r="B907" s="563"/>
      <c r="C907" s="450"/>
      <c r="D907" s="449" t="s">
        <v>1385</v>
      </c>
      <c r="Q907" s="469"/>
    </row>
    <row r="908" spans="2:18" ht="31.5" customHeight="1" x14ac:dyDescent="0.45">
      <c r="B908" s="563"/>
      <c r="C908" s="450"/>
      <c r="Q908" s="469"/>
    </row>
    <row r="909" spans="2:18" ht="31.5" customHeight="1" x14ac:dyDescent="0.45">
      <c r="B909" s="563"/>
      <c r="C909" s="450"/>
      <c r="Q909" s="469"/>
    </row>
    <row r="910" spans="2:18" ht="31.5" customHeight="1" x14ac:dyDescent="0.45">
      <c r="B910" s="477"/>
      <c r="C910" s="461"/>
      <c r="D910" s="461"/>
      <c r="E910" s="461"/>
      <c r="F910" s="461"/>
      <c r="G910" s="461"/>
      <c r="H910" s="461"/>
      <c r="I910" s="461"/>
      <c r="J910" s="461"/>
      <c r="K910" s="461"/>
      <c r="L910" s="461"/>
      <c r="M910" s="640"/>
      <c r="N910" s="646"/>
      <c r="O910" s="640"/>
      <c r="P910" s="631"/>
      <c r="Q910" s="479"/>
    </row>
    <row r="911" spans="2:18" ht="31.5" customHeight="1" x14ac:dyDescent="0.45"/>
    <row r="912" spans="2:18" ht="31.5" customHeight="1" x14ac:dyDescent="0.45"/>
    <row r="913" spans="2:18" ht="31.5" customHeight="1" x14ac:dyDescent="0.45">
      <c r="D913" s="450" t="str">
        <f>Criteria!E9</f>
        <v>ABC COMPANY (PROPRIETARY) LIMITED</v>
      </c>
      <c r="O913" s="529" t="s">
        <v>121</v>
      </c>
      <c r="Q913" s="451">
        <f>MAX($Q$114:Q912)+1</f>
        <v>16</v>
      </c>
    </row>
    <row r="914" spans="2:18" ht="31.5" customHeight="1" x14ac:dyDescent="0.45">
      <c r="D914" s="450" t="str">
        <f>Criteria!E10</f>
        <v>T/A SEAFRONT HOTEL, SEAFRONT RESTAURANT AND RENTAL PROPERTIES</v>
      </c>
      <c r="R914" s="512" t="str">
        <f>IF(D914=0,"DELETE"," ")</f>
        <v xml:space="preserve"> </v>
      </c>
    </row>
    <row r="915" spans="2:18" ht="31.5" customHeight="1" x14ac:dyDescent="0.45"/>
    <row r="916" spans="2:18" ht="31.5" customHeight="1" x14ac:dyDescent="0.45">
      <c r="D916" s="450" t="s">
        <v>451</v>
      </c>
    </row>
    <row r="917" spans="2:18" ht="31.5" customHeight="1" x14ac:dyDescent="0.45">
      <c r="D917" s="450" t="str">
        <f>Criteria!E20</f>
        <v>29 FEBRUARY 2024</v>
      </c>
      <c r="J917" s="449" t="s">
        <v>303</v>
      </c>
    </row>
    <row r="918" spans="2:18" ht="31.5" customHeight="1" x14ac:dyDescent="0.45"/>
    <row r="919" spans="2:18" ht="31.5" customHeight="1" x14ac:dyDescent="0.45">
      <c r="B919" s="465"/>
      <c r="C919" s="466"/>
      <c r="D919" s="466"/>
      <c r="E919" s="466"/>
      <c r="F919" s="466"/>
      <c r="G919" s="466"/>
      <c r="H919" s="466"/>
      <c r="I919" s="466"/>
      <c r="J919" s="466"/>
      <c r="K919" s="466"/>
      <c r="L919" s="466"/>
      <c r="M919" s="642"/>
      <c r="N919" s="643"/>
      <c r="O919" s="642"/>
      <c r="P919" s="643"/>
      <c r="Q919" s="467"/>
    </row>
    <row r="920" spans="2:18" ht="31.5" customHeight="1" x14ac:dyDescent="0.45">
      <c r="B920" s="563"/>
      <c r="C920" s="449">
        <f>MAX(C$802:C919)+0.1</f>
        <v>1.5000000000000004</v>
      </c>
      <c r="D920" s="450" t="s">
        <v>57</v>
      </c>
      <c r="Q920" s="469"/>
    </row>
    <row r="921" spans="2:18" ht="31.5" customHeight="1" x14ac:dyDescent="0.45">
      <c r="B921" s="563"/>
      <c r="C921" s="450"/>
      <c r="D921" s="449" t="s">
        <v>1389</v>
      </c>
      <c r="Q921" s="469"/>
    </row>
    <row r="922" spans="2:18" ht="31.5" customHeight="1" x14ac:dyDescent="0.45">
      <c r="B922" s="563"/>
      <c r="C922" s="450"/>
      <c r="D922" s="462" t="s">
        <v>1390</v>
      </c>
      <c r="Q922" s="469"/>
    </row>
    <row r="923" spans="2:18" ht="31.5" customHeight="1" x14ac:dyDescent="0.45">
      <c r="B923" s="563"/>
      <c r="C923" s="450"/>
      <c r="D923" s="449" t="s">
        <v>1391</v>
      </c>
      <c r="Q923" s="469"/>
    </row>
    <row r="924" spans="2:18" ht="31.5" customHeight="1" x14ac:dyDescent="0.45">
      <c r="B924" s="563"/>
      <c r="C924" s="450"/>
      <c r="D924" s="449" t="s">
        <v>1392</v>
      </c>
      <c r="Q924" s="469"/>
    </row>
    <row r="925" spans="2:18" ht="31.5" customHeight="1" x14ac:dyDescent="0.45">
      <c r="B925" s="563"/>
      <c r="C925" s="450"/>
      <c r="D925" s="449" t="s">
        <v>1393</v>
      </c>
      <c r="Q925" s="469"/>
    </row>
    <row r="926" spans="2:18" ht="31.5" customHeight="1" x14ac:dyDescent="0.45">
      <c r="B926" s="563"/>
      <c r="C926" s="450"/>
      <c r="Q926" s="469"/>
    </row>
    <row r="927" spans="2:18" ht="31.5" customHeight="1" x14ac:dyDescent="0.45">
      <c r="B927" s="563"/>
      <c r="C927" s="450"/>
      <c r="Q927" s="469"/>
    </row>
    <row r="928" spans="2:18" ht="31.5" customHeight="1" x14ac:dyDescent="0.45">
      <c r="B928" s="477"/>
      <c r="C928" s="461"/>
      <c r="D928" s="461"/>
      <c r="E928" s="461"/>
      <c r="F928" s="461"/>
      <c r="G928" s="461"/>
      <c r="H928" s="461"/>
      <c r="I928" s="461"/>
      <c r="J928" s="461"/>
      <c r="K928" s="461"/>
      <c r="L928" s="461"/>
      <c r="M928" s="640"/>
      <c r="N928" s="646"/>
      <c r="O928" s="640"/>
      <c r="P928" s="631"/>
      <c r="Q928" s="479"/>
    </row>
    <row r="929" spans="2:18" ht="31.5" customHeight="1" x14ac:dyDescent="0.45"/>
    <row r="930" spans="2:18" ht="31.5" customHeight="1" x14ac:dyDescent="0.45"/>
    <row r="931" spans="2:18" ht="31.5" customHeight="1" x14ac:dyDescent="0.45">
      <c r="D931" s="450" t="str">
        <f>Criteria!E9</f>
        <v>ABC COMPANY (PROPRIETARY) LIMITED</v>
      </c>
      <c r="O931" s="529" t="s">
        <v>121</v>
      </c>
      <c r="Q931" s="451">
        <f>MAX($Q$114:Q930)+1</f>
        <v>17</v>
      </c>
    </row>
    <row r="932" spans="2:18" ht="31.5" customHeight="1" x14ac:dyDescent="0.45">
      <c r="D932" s="450" t="str">
        <f>Criteria!E10</f>
        <v>T/A SEAFRONT HOTEL, SEAFRONT RESTAURANT AND RENTAL PROPERTIES</v>
      </c>
      <c r="R932" s="512" t="str">
        <f>IF(D932=0,"DELETE"," ")</f>
        <v xml:space="preserve"> </v>
      </c>
    </row>
    <row r="933" spans="2:18" ht="31.5" customHeight="1" x14ac:dyDescent="0.45"/>
    <row r="934" spans="2:18" ht="31.5" customHeight="1" x14ac:dyDescent="0.45">
      <c r="D934" s="450" t="s">
        <v>451</v>
      </c>
    </row>
    <row r="935" spans="2:18" ht="31.5" customHeight="1" x14ac:dyDescent="0.45">
      <c r="D935" s="450" t="str">
        <f>Criteria!E20</f>
        <v>29 FEBRUARY 2024</v>
      </c>
      <c r="J935" s="449" t="s">
        <v>303</v>
      </c>
    </row>
    <row r="936" spans="2:18" ht="31.5" customHeight="1" x14ac:dyDescent="0.45"/>
    <row r="937" spans="2:18" ht="31.5" customHeight="1" x14ac:dyDescent="0.45">
      <c r="B937" s="465"/>
      <c r="C937" s="466"/>
      <c r="D937" s="466"/>
      <c r="E937" s="466"/>
      <c r="F937" s="466"/>
      <c r="G937" s="466"/>
      <c r="H937" s="466"/>
      <c r="I937" s="466"/>
      <c r="J937" s="466"/>
      <c r="K937" s="466"/>
      <c r="L937" s="466"/>
      <c r="M937" s="642"/>
      <c r="N937" s="643"/>
      <c r="O937" s="642"/>
      <c r="P937" s="643"/>
      <c r="Q937" s="467"/>
    </row>
    <row r="938" spans="2:18" ht="31.5" customHeight="1" x14ac:dyDescent="0.45">
      <c r="B938" s="563"/>
      <c r="C938" s="450"/>
      <c r="D938" s="462" t="s">
        <v>1386</v>
      </c>
      <c r="Q938" s="469"/>
    </row>
    <row r="939" spans="2:18" ht="31.5" customHeight="1" x14ac:dyDescent="0.45">
      <c r="B939" s="563"/>
      <c r="C939" s="450"/>
      <c r="D939" s="449" t="s">
        <v>1394</v>
      </c>
      <c r="Q939" s="469"/>
    </row>
    <row r="940" spans="2:18" ht="31.5" customHeight="1" x14ac:dyDescent="0.45">
      <c r="B940" s="563"/>
      <c r="C940" s="450"/>
      <c r="D940" s="449" t="s">
        <v>1395</v>
      </c>
      <c r="Q940" s="469"/>
    </row>
    <row r="941" spans="2:18" ht="31.5" customHeight="1" x14ac:dyDescent="0.45">
      <c r="B941" s="563"/>
      <c r="C941" s="450"/>
      <c r="D941" s="449" t="s">
        <v>1396</v>
      </c>
      <c r="Q941" s="469"/>
    </row>
    <row r="942" spans="2:18" ht="31.5" customHeight="1" x14ac:dyDescent="0.45">
      <c r="B942" s="563"/>
      <c r="C942" s="450"/>
      <c r="D942" s="449" t="s">
        <v>1397</v>
      </c>
      <c r="Q942" s="469"/>
    </row>
    <row r="943" spans="2:18" ht="31.5" customHeight="1" x14ac:dyDescent="0.45">
      <c r="B943" s="563"/>
      <c r="C943" s="450"/>
      <c r="D943" s="449" t="str">
        <f>CONCATENATE("- ",Criteria!F243," years")</f>
        <v>- 10 years</v>
      </c>
      <c r="Q943" s="469"/>
    </row>
    <row r="944" spans="2:18" ht="31.5" customHeight="1" x14ac:dyDescent="0.45">
      <c r="B944" s="563"/>
      <c r="C944" s="450"/>
      <c r="Q944" s="469"/>
    </row>
    <row r="945" spans="2:18" ht="31.5" customHeight="1" x14ac:dyDescent="0.45">
      <c r="B945" s="563"/>
      <c r="C945" s="450"/>
      <c r="Q945" s="469"/>
    </row>
    <row r="946" spans="2:18" ht="31.5" customHeight="1" x14ac:dyDescent="0.45">
      <c r="B946" s="477"/>
      <c r="C946" s="461"/>
      <c r="D946" s="461"/>
      <c r="E946" s="461"/>
      <c r="F946" s="461"/>
      <c r="G946" s="461"/>
      <c r="H946" s="461"/>
      <c r="I946" s="461"/>
      <c r="J946" s="461"/>
      <c r="K946" s="461"/>
      <c r="L946" s="461"/>
      <c r="M946" s="640"/>
      <c r="N946" s="646"/>
      <c r="O946" s="640"/>
      <c r="P946" s="631"/>
      <c r="Q946" s="479"/>
    </row>
    <row r="947" spans="2:18" ht="31.5" customHeight="1" x14ac:dyDescent="0.45"/>
    <row r="948" spans="2:18" ht="31.5" customHeight="1" x14ac:dyDescent="0.45"/>
    <row r="949" spans="2:18" ht="31.5" customHeight="1" x14ac:dyDescent="0.45">
      <c r="D949" s="450" t="str">
        <f>Criteria!E9</f>
        <v>ABC COMPANY (PROPRIETARY) LIMITED</v>
      </c>
      <c r="O949" s="529" t="s">
        <v>121</v>
      </c>
      <c r="Q949" s="451">
        <f>MAX($Q$114:Q948)+1</f>
        <v>18</v>
      </c>
    </row>
    <row r="950" spans="2:18" ht="31.5" customHeight="1" x14ac:dyDescent="0.45">
      <c r="D950" s="450" t="str">
        <f>Criteria!E10</f>
        <v>T/A SEAFRONT HOTEL, SEAFRONT RESTAURANT AND RENTAL PROPERTIES</v>
      </c>
      <c r="R950" s="512" t="str">
        <f>IF(D950=0,"DELETE"," ")</f>
        <v xml:space="preserve"> </v>
      </c>
    </row>
    <row r="951" spans="2:18" ht="31.5" customHeight="1" x14ac:dyDescent="0.45"/>
    <row r="952" spans="2:18" ht="31.5" customHeight="1" x14ac:dyDescent="0.45">
      <c r="D952" s="450" t="s">
        <v>451</v>
      </c>
    </row>
    <row r="953" spans="2:18" ht="31.5" customHeight="1" x14ac:dyDescent="0.45">
      <c r="D953" s="450" t="str">
        <f>Criteria!E20</f>
        <v>29 FEBRUARY 2024</v>
      </c>
      <c r="J953" s="449" t="s">
        <v>303</v>
      </c>
    </row>
    <row r="954" spans="2:18" ht="31.5" customHeight="1" x14ac:dyDescent="0.45"/>
    <row r="955" spans="2:18" ht="31.5" customHeight="1" x14ac:dyDescent="0.45">
      <c r="B955" s="465"/>
      <c r="C955" s="466"/>
      <c r="D955" s="466"/>
      <c r="E955" s="466"/>
      <c r="F955" s="466"/>
      <c r="G955" s="466"/>
      <c r="H955" s="466"/>
      <c r="I955" s="466"/>
      <c r="J955" s="466"/>
      <c r="K955" s="466"/>
      <c r="L955" s="466"/>
      <c r="M955" s="642"/>
      <c r="N955" s="643"/>
      <c r="O955" s="642"/>
      <c r="P955" s="643"/>
      <c r="Q955" s="467"/>
    </row>
    <row r="956" spans="2:18" ht="31.5" customHeight="1" x14ac:dyDescent="0.45">
      <c r="B956" s="563"/>
      <c r="C956" s="449">
        <f>MAX(C$802:C955)+0.1</f>
        <v>1.6000000000000005</v>
      </c>
      <c r="D956" s="450" t="s">
        <v>1398</v>
      </c>
      <c r="Q956" s="469"/>
    </row>
    <row r="957" spans="2:18" ht="33" customHeight="1" x14ac:dyDescent="0.45">
      <c r="B957" s="563"/>
      <c r="C957" s="450"/>
      <c r="D957" s="449" t="s">
        <v>1399</v>
      </c>
      <c r="Q957" s="469"/>
    </row>
    <row r="958" spans="2:18" ht="31.5" customHeight="1" x14ac:dyDescent="0.45">
      <c r="B958" s="563"/>
      <c r="C958" s="450"/>
      <c r="D958" s="449" t="s">
        <v>1400</v>
      </c>
      <c r="Q958" s="469"/>
    </row>
    <row r="959" spans="2:18" ht="31.5" customHeight="1" x14ac:dyDescent="0.45">
      <c r="B959" s="563"/>
      <c r="C959" s="450"/>
      <c r="D959" s="449" t="s">
        <v>1401</v>
      </c>
      <c r="Q959" s="469"/>
    </row>
    <row r="960" spans="2:18" ht="31.5" customHeight="1" x14ac:dyDescent="0.45">
      <c r="B960" s="563"/>
      <c r="C960" s="450"/>
      <c r="D960" s="462" t="s">
        <v>1402</v>
      </c>
      <c r="Q960" s="469"/>
    </row>
    <row r="961" spans="2:18" ht="31.5" customHeight="1" x14ac:dyDescent="0.45">
      <c r="B961" s="563"/>
      <c r="C961" s="450"/>
      <c r="D961" s="449" t="s">
        <v>1403</v>
      </c>
      <c r="Q961" s="469"/>
    </row>
    <row r="962" spans="2:18" ht="31.5" customHeight="1" x14ac:dyDescent="0.45">
      <c r="B962" s="563"/>
      <c r="C962" s="450"/>
      <c r="D962" s="449" t="s">
        <v>1431</v>
      </c>
      <c r="Q962" s="469"/>
    </row>
    <row r="963" spans="2:18" ht="31.5" customHeight="1" x14ac:dyDescent="0.45">
      <c r="B963" s="563"/>
      <c r="C963" s="450"/>
      <c r="D963" s="462" t="s">
        <v>1404</v>
      </c>
      <c r="Q963" s="469"/>
    </row>
    <row r="964" spans="2:18" ht="31.5" customHeight="1" x14ac:dyDescent="0.45">
      <c r="B964" s="563"/>
      <c r="C964" s="450"/>
      <c r="D964" s="449" t="s">
        <v>1405</v>
      </c>
      <c r="Q964" s="469"/>
    </row>
    <row r="965" spans="2:18" ht="31.5" customHeight="1" x14ac:dyDescent="0.45">
      <c r="B965" s="563"/>
      <c r="C965" s="450"/>
      <c r="D965" s="449" t="s">
        <v>1406</v>
      </c>
      <c r="Q965" s="469"/>
    </row>
    <row r="966" spans="2:18" ht="31.5" customHeight="1" x14ac:dyDescent="0.45">
      <c r="B966" s="563"/>
      <c r="C966" s="450"/>
      <c r="Q966" s="469"/>
    </row>
    <row r="967" spans="2:18" ht="31.5" customHeight="1" x14ac:dyDescent="0.45">
      <c r="B967" s="563"/>
      <c r="C967" s="450"/>
      <c r="Q967" s="469"/>
    </row>
    <row r="968" spans="2:18" ht="31.5" customHeight="1" x14ac:dyDescent="0.45">
      <c r="B968" s="477"/>
      <c r="C968" s="461"/>
      <c r="D968" s="461"/>
      <c r="E968" s="461"/>
      <c r="F968" s="461"/>
      <c r="G968" s="461"/>
      <c r="H968" s="461"/>
      <c r="I968" s="461"/>
      <c r="J968" s="461"/>
      <c r="K968" s="461"/>
      <c r="L968" s="461"/>
      <c r="M968" s="640"/>
      <c r="N968" s="646"/>
      <c r="O968" s="640"/>
      <c r="P968" s="631"/>
      <c r="Q968" s="479"/>
    </row>
    <row r="969" spans="2:18" ht="31.5" customHeight="1" x14ac:dyDescent="0.45"/>
    <row r="970" spans="2:18" ht="31.5" customHeight="1" x14ac:dyDescent="0.45"/>
    <row r="971" spans="2:18" ht="31.5" customHeight="1" x14ac:dyDescent="0.45">
      <c r="D971" s="450" t="str">
        <f>Criteria!E9</f>
        <v>ABC COMPANY (PROPRIETARY) LIMITED</v>
      </c>
      <c r="O971" s="529" t="s">
        <v>121</v>
      </c>
      <c r="Q971" s="451">
        <f>MAX($Q$114:Q970)+1</f>
        <v>19</v>
      </c>
    </row>
    <row r="972" spans="2:18" ht="31.5" customHeight="1" x14ac:dyDescent="0.45">
      <c r="D972" s="450" t="str">
        <f>Criteria!E10</f>
        <v>T/A SEAFRONT HOTEL, SEAFRONT RESTAURANT AND RENTAL PROPERTIES</v>
      </c>
      <c r="R972" s="512" t="str">
        <f>IF(D972=0,"DELETE"," ")</f>
        <v xml:space="preserve"> </v>
      </c>
    </row>
    <row r="973" spans="2:18" ht="31.5" customHeight="1" x14ac:dyDescent="0.45"/>
    <row r="974" spans="2:18" ht="31.5" customHeight="1" x14ac:dyDescent="0.45">
      <c r="D974" s="450" t="s">
        <v>451</v>
      </c>
    </row>
    <row r="975" spans="2:18" ht="31.5" customHeight="1" x14ac:dyDescent="0.45">
      <c r="D975" s="450" t="str">
        <f>Criteria!E20</f>
        <v>29 FEBRUARY 2024</v>
      </c>
      <c r="J975" s="449" t="s">
        <v>303</v>
      </c>
    </row>
    <row r="976" spans="2:18" ht="31.5" customHeight="1" x14ac:dyDescent="0.45"/>
    <row r="977" spans="2:18" ht="31.5" customHeight="1" x14ac:dyDescent="0.45">
      <c r="B977" s="465"/>
      <c r="C977" s="466"/>
      <c r="D977" s="466"/>
      <c r="E977" s="466"/>
      <c r="F977" s="466"/>
      <c r="G977" s="466"/>
      <c r="H977" s="466"/>
      <c r="I977" s="466"/>
      <c r="J977" s="466"/>
      <c r="K977" s="466"/>
      <c r="L977" s="466"/>
      <c r="M977" s="642"/>
      <c r="N977" s="643"/>
      <c r="O977" s="642"/>
      <c r="P977" s="643"/>
      <c r="Q977" s="467"/>
    </row>
    <row r="978" spans="2:18" ht="31.5" customHeight="1" x14ac:dyDescent="0.45">
      <c r="B978" s="563"/>
      <c r="C978" s="449">
        <f>MAX(C$802:C977)+0.1</f>
        <v>1.7000000000000006</v>
      </c>
      <c r="D978" s="450" t="s">
        <v>1316</v>
      </c>
      <c r="Q978" s="469"/>
    </row>
    <row r="979" spans="2:18" ht="31.5" customHeight="1" x14ac:dyDescent="0.45">
      <c r="B979" s="563"/>
      <c r="C979" s="450"/>
      <c r="D979" s="449" t="s">
        <v>1407</v>
      </c>
      <c r="Q979" s="469"/>
    </row>
    <row r="980" spans="2:18" ht="31.5" customHeight="1" x14ac:dyDescent="0.45">
      <c r="B980" s="563"/>
      <c r="C980" s="450"/>
      <c r="D980" s="449" t="s">
        <v>1408</v>
      </c>
      <c r="Q980" s="469"/>
    </row>
    <row r="981" spans="2:18" ht="31.5" customHeight="1" x14ac:dyDescent="0.45">
      <c r="B981" s="563"/>
      <c r="C981" s="450"/>
      <c r="Q981" s="469"/>
    </row>
    <row r="982" spans="2:18" ht="31.5" customHeight="1" x14ac:dyDescent="0.45">
      <c r="B982" s="563"/>
      <c r="C982" s="450"/>
      <c r="Q982" s="469"/>
    </row>
    <row r="983" spans="2:18" ht="31.5" customHeight="1" x14ac:dyDescent="0.45">
      <c r="B983" s="477"/>
      <c r="C983" s="461"/>
      <c r="D983" s="461"/>
      <c r="E983" s="461"/>
      <c r="F983" s="461"/>
      <c r="G983" s="461"/>
      <c r="H983" s="461"/>
      <c r="I983" s="461"/>
      <c r="J983" s="461"/>
      <c r="K983" s="461"/>
      <c r="L983" s="461"/>
      <c r="M983" s="640"/>
      <c r="N983" s="646"/>
      <c r="O983" s="640"/>
      <c r="P983" s="631"/>
      <c r="Q983" s="479"/>
    </row>
    <row r="984" spans="2:18" ht="31.5" customHeight="1" x14ac:dyDescent="0.45"/>
    <row r="985" spans="2:18" ht="31.5" customHeight="1" x14ac:dyDescent="0.45"/>
    <row r="986" spans="2:18" ht="31.5" customHeight="1" x14ac:dyDescent="0.45">
      <c r="D986" s="450" t="str">
        <f>Criteria!E9</f>
        <v>ABC COMPANY (PROPRIETARY) LIMITED</v>
      </c>
      <c r="O986" s="529" t="s">
        <v>121</v>
      </c>
      <c r="Q986" s="451">
        <f>MAX($Q$114:Q985)+1</f>
        <v>20</v>
      </c>
    </row>
    <row r="987" spans="2:18" ht="31.5" customHeight="1" x14ac:dyDescent="0.45">
      <c r="D987" s="450" t="str">
        <f>Criteria!E10</f>
        <v>T/A SEAFRONT HOTEL, SEAFRONT RESTAURANT AND RENTAL PROPERTIES</v>
      </c>
      <c r="R987" s="512" t="str">
        <f>IF(D987=0,"DELETE"," ")</f>
        <v xml:space="preserve"> </v>
      </c>
    </row>
    <row r="988" spans="2:18" ht="31.5" customHeight="1" x14ac:dyDescent="0.45"/>
    <row r="989" spans="2:18" ht="31.5" customHeight="1" x14ac:dyDescent="0.45">
      <c r="D989" s="450" t="s">
        <v>451</v>
      </c>
    </row>
    <row r="990" spans="2:18" ht="31.5" customHeight="1" x14ac:dyDescent="0.45">
      <c r="D990" s="450" t="str">
        <f>Criteria!E20</f>
        <v>29 FEBRUARY 2024</v>
      </c>
      <c r="J990" s="449" t="s">
        <v>303</v>
      </c>
    </row>
    <row r="991" spans="2:18" ht="31.5" customHeight="1" x14ac:dyDescent="0.45"/>
    <row r="992" spans="2:18" ht="31.5" customHeight="1" x14ac:dyDescent="0.45">
      <c r="B992" s="465"/>
      <c r="C992" s="466"/>
      <c r="D992" s="466"/>
      <c r="E992" s="466"/>
      <c r="F992" s="466"/>
      <c r="G992" s="466"/>
      <c r="H992" s="466"/>
      <c r="I992" s="466"/>
      <c r="J992" s="466"/>
      <c r="K992" s="466"/>
      <c r="L992" s="466"/>
      <c r="M992" s="642"/>
      <c r="N992" s="643"/>
      <c r="O992" s="642"/>
      <c r="P992" s="643"/>
      <c r="Q992" s="467"/>
    </row>
    <row r="993" spans="2:18" ht="31.5" customHeight="1" x14ac:dyDescent="0.45">
      <c r="B993" s="563"/>
      <c r="C993" s="449">
        <f>MAX(C$802:C992)+0.1</f>
        <v>1.8000000000000007</v>
      </c>
      <c r="D993" s="450" t="s">
        <v>308</v>
      </c>
      <c r="Q993" s="469"/>
    </row>
    <row r="994" spans="2:18" ht="31.5" customHeight="1" x14ac:dyDescent="0.45">
      <c r="B994" s="563"/>
      <c r="C994" s="450"/>
      <c r="D994" s="462" t="s">
        <v>1045</v>
      </c>
      <c r="Q994" s="469"/>
    </row>
    <row r="995" spans="2:18" ht="31.5" customHeight="1" x14ac:dyDescent="0.45">
      <c r="B995" s="563"/>
      <c r="C995" s="450"/>
      <c r="D995" s="449" t="s">
        <v>1417</v>
      </c>
      <c r="Q995" s="469"/>
    </row>
    <row r="996" spans="2:18" ht="31.5" customHeight="1" x14ac:dyDescent="0.45">
      <c r="B996" s="563"/>
      <c r="C996" s="450"/>
      <c r="D996" s="449" t="s">
        <v>1298</v>
      </c>
      <c r="Q996" s="469"/>
    </row>
    <row r="997" spans="2:18" ht="31.5" customHeight="1" x14ac:dyDescent="0.45">
      <c r="B997" s="563"/>
      <c r="C997" s="450"/>
      <c r="D997" s="449" t="s">
        <v>1418</v>
      </c>
      <c r="Q997" s="469"/>
    </row>
    <row r="998" spans="2:18" ht="31.5" customHeight="1" x14ac:dyDescent="0.45">
      <c r="B998" s="563"/>
      <c r="C998" s="450"/>
      <c r="D998" s="449" t="s">
        <v>1419</v>
      </c>
      <c r="Q998" s="469"/>
    </row>
    <row r="999" spans="2:18" ht="31.5" customHeight="1" x14ac:dyDescent="0.45">
      <c r="B999" s="563"/>
      <c r="C999" s="450"/>
      <c r="D999" s="449" t="s">
        <v>1299</v>
      </c>
      <c r="Q999" s="469"/>
    </row>
    <row r="1000" spans="2:18" ht="31.5" customHeight="1" x14ac:dyDescent="0.45">
      <c r="B1000" s="563"/>
      <c r="C1000" s="450"/>
      <c r="Q1000" s="469"/>
    </row>
    <row r="1001" spans="2:18" ht="31.5" customHeight="1" x14ac:dyDescent="0.45">
      <c r="B1001" s="563"/>
      <c r="C1001" s="450"/>
      <c r="Q1001" s="469"/>
    </row>
    <row r="1002" spans="2:18" ht="31.5" customHeight="1" x14ac:dyDescent="0.45">
      <c r="B1002" s="477"/>
      <c r="C1002" s="461"/>
      <c r="D1002" s="461"/>
      <c r="E1002" s="461"/>
      <c r="F1002" s="461"/>
      <c r="G1002" s="461"/>
      <c r="H1002" s="461"/>
      <c r="I1002" s="461"/>
      <c r="J1002" s="461"/>
      <c r="K1002" s="461"/>
      <c r="L1002" s="461"/>
      <c r="M1002" s="640"/>
      <c r="N1002" s="646"/>
      <c r="O1002" s="640"/>
      <c r="P1002" s="631"/>
      <c r="Q1002" s="479"/>
    </row>
    <row r="1003" spans="2:18" ht="31.5" customHeight="1" x14ac:dyDescent="0.45"/>
    <row r="1004" spans="2:18" ht="31.5" customHeight="1" x14ac:dyDescent="0.45"/>
    <row r="1005" spans="2:18" ht="31.5" customHeight="1" x14ac:dyDescent="0.45">
      <c r="D1005" s="450" t="str">
        <f>Criteria!E9</f>
        <v>ABC COMPANY (PROPRIETARY) LIMITED</v>
      </c>
      <c r="O1005" s="529" t="s">
        <v>121</v>
      </c>
      <c r="Q1005" s="451">
        <f>MAX($Q$114:Q1004)+1</f>
        <v>21</v>
      </c>
    </row>
    <row r="1006" spans="2:18" ht="31.5" customHeight="1" x14ac:dyDescent="0.45">
      <c r="D1006" s="450" t="str">
        <f>Criteria!E10</f>
        <v>T/A SEAFRONT HOTEL, SEAFRONT RESTAURANT AND RENTAL PROPERTIES</v>
      </c>
      <c r="R1006" s="512" t="str">
        <f>IF(D1006=0,"DELETE"," ")</f>
        <v xml:space="preserve"> </v>
      </c>
    </row>
    <row r="1007" spans="2:18" ht="31.5" customHeight="1" x14ac:dyDescent="0.45"/>
    <row r="1008" spans="2:18" ht="31.5" customHeight="1" x14ac:dyDescent="0.45">
      <c r="D1008" s="450" t="s">
        <v>451</v>
      </c>
    </row>
    <row r="1009" spans="2:17" ht="31.5" customHeight="1" x14ac:dyDescent="0.45">
      <c r="D1009" s="450" t="str">
        <f>Criteria!E20</f>
        <v>29 FEBRUARY 2024</v>
      </c>
      <c r="J1009" s="449" t="s">
        <v>303</v>
      </c>
    </row>
    <row r="1010" spans="2:17" ht="31.5" customHeight="1" x14ac:dyDescent="0.45"/>
    <row r="1011" spans="2:17" ht="31.5" customHeight="1" x14ac:dyDescent="0.45">
      <c r="B1011" s="465"/>
      <c r="C1011" s="466"/>
      <c r="D1011" s="466"/>
      <c r="E1011" s="466"/>
      <c r="F1011" s="466"/>
      <c r="G1011" s="466"/>
      <c r="H1011" s="466"/>
      <c r="I1011" s="466"/>
      <c r="J1011" s="466"/>
      <c r="K1011" s="466"/>
      <c r="L1011" s="466"/>
      <c r="M1011" s="642"/>
      <c r="N1011" s="643"/>
      <c r="O1011" s="642"/>
      <c r="P1011" s="643"/>
      <c r="Q1011" s="467"/>
    </row>
    <row r="1012" spans="2:17" ht="31.5" customHeight="1" x14ac:dyDescent="0.45">
      <c r="B1012" s="563"/>
      <c r="C1012" s="450"/>
      <c r="D1012" s="462" t="s">
        <v>1424</v>
      </c>
      <c r="Q1012" s="469"/>
    </row>
    <row r="1013" spans="2:17" ht="31.5" customHeight="1" x14ac:dyDescent="0.45">
      <c r="B1013" s="563"/>
      <c r="C1013" s="450"/>
      <c r="D1013" s="449" t="s">
        <v>1300</v>
      </c>
      <c r="Q1013" s="469"/>
    </row>
    <row r="1014" spans="2:17" ht="31.5" customHeight="1" x14ac:dyDescent="0.45">
      <c r="B1014" s="563"/>
      <c r="C1014" s="450"/>
      <c r="D1014" s="449" t="s">
        <v>1301</v>
      </c>
      <c r="Q1014" s="469"/>
    </row>
    <row r="1015" spans="2:17" ht="31.5" customHeight="1" x14ac:dyDescent="0.45">
      <c r="B1015" s="563"/>
      <c r="C1015" s="450"/>
      <c r="D1015" s="449" t="s">
        <v>1420</v>
      </c>
      <c r="Q1015" s="469"/>
    </row>
    <row r="1016" spans="2:17" ht="31.5" customHeight="1" x14ac:dyDescent="0.45">
      <c r="B1016" s="563"/>
      <c r="C1016" s="450"/>
      <c r="D1016" s="449" t="s">
        <v>1421</v>
      </c>
      <c r="Q1016" s="469"/>
    </row>
    <row r="1017" spans="2:17" ht="31.5" customHeight="1" x14ac:dyDescent="0.45">
      <c r="B1017" s="563"/>
      <c r="C1017" s="450"/>
      <c r="D1017" s="449" t="s">
        <v>1422</v>
      </c>
      <c r="Q1017" s="469"/>
    </row>
    <row r="1018" spans="2:17" ht="31.5" customHeight="1" x14ac:dyDescent="0.45">
      <c r="B1018" s="563"/>
      <c r="C1018" s="450"/>
      <c r="D1018" s="449" t="s">
        <v>1423</v>
      </c>
      <c r="Q1018" s="469"/>
    </row>
    <row r="1019" spans="2:17" ht="31.5" customHeight="1" x14ac:dyDescent="0.45">
      <c r="B1019" s="563"/>
      <c r="C1019" s="450"/>
      <c r="D1019" s="449" t="s">
        <v>1430</v>
      </c>
      <c r="Q1019" s="469"/>
    </row>
    <row r="1020" spans="2:17" ht="31.5" customHeight="1" x14ac:dyDescent="0.45">
      <c r="B1020" s="563"/>
      <c r="C1020" s="450"/>
      <c r="D1020" s="449" t="s">
        <v>1302</v>
      </c>
      <c r="Q1020" s="469"/>
    </row>
    <row r="1021" spans="2:17" ht="31.5" customHeight="1" x14ac:dyDescent="0.45">
      <c r="B1021" s="563"/>
      <c r="C1021" s="450"/>
      <c r="Q1021" s="469"/>
    </row>
    <row r="1022" spans="2:17" ht="31.5" customHeight="1" x14ac:dyDescent="0.45">
      <c r="B1022" s="563"/>
      <c r="C1022" s="450"/>
      <c r="Q1022" s="469"/>
    </row>
    <row r="1023" spans="2:17" ht="31.5" customHeight="1" x14ac:dyDescent="0.45">
      <c r="B1023" s="477"/>
      <c r="C1023" s="461"/>
      <c r="D1023" s="461"/>
      <c r="E1023" s="461"/>
      <c r="F1023" s="461"/>
      <c r="G1023" s="461"/>
      <c r="H1023" s="461"/>
      <c r="I1023" s="461"/>
      <c r="J1023" s="461"/>
      <c r="K1023" s="461"/>
      <c r="L1023" s="461"/>
      <c r="M1023" s="640"/>
      <c r="N1023" s="646"/>
      <c r="O1023" s="640"/>
      <c r="P1023" s="631"/>
      <c r="Q1023" s="479"/>
    </row>
    <row r="1024" spans="2:17" ht="31.5" customHeight="1" x14ac:dyDescent="0.45"/>
    <row r="1025" spans="2:18" ht="31.5" customHeight="1" x14ac:dyDescent="0.45"/>
    <row r="1026" spans="2:18" ht="31.5" customHeight="1" x14ac:dyDescent="0.45">
      <c r="D1026" s="450" t="str">
        <f>Criteria!E9</f>
        <v>ABC COMPANY (PROPRIETARY) LIMITED</v>
      </c>
      <c r="O1026" s="529" t="s">
        <v>121</v>
      </c>
      <c r="Q1026" s="451">
        <f>MAX($Q$114:Q1025)+1</f>
        <v>22</v>
      </c>
    </row>
    <row r="1027" spans="2:18" ht="31.5" customHeight="1" x14ac:dyDescent="0.45">
      <c r="D1027" s="450" t="str">
        <f>Criteria!E10</f>
        <v>T/A SEAFRONT HOTEL, SEAFRONT RESTAURANT AND RENTAL PROPERTIES</v>
      </c>
      <c r="R1027" s="512" t="str">
        <f>IF(D1027=0,"DELETE"," ")</f>
        <v xml:space="preserve"> </v>
      </c>
    </row>
    <row r="1028" spans="2:18" ht="31.5" customHeight="1" x14ac:dyDescent="0.45"/>
    <row r="1029" spans="2:18" ht="31.5" customHeight="1" x14ac:dyDescent="0.45">
      <c r="D1029" s="450" t="s">
        <v>451</v>
      </c>
    </row>
    <row r="1030" spans="2:18" ht="31.5" customHeight="1" x14ac:dyDescent="0.45">
      <c r="D1030" s="450" t="str">
        <f>Criteria!E20</f>
        <v>29 FEBRUARY 2024</v>
      </c>
      <c r="J1030" s="449" t="s">
        <v>303</v>
      </c>
    </row>
    <row r="1031" spans="2:18" ht="31.5" customHeight="1" x14ac:dyDescent="0.45"/>
    <row r="1032" spans="2:18" ht="31.5" customHeight="1" x14ac:dyDescent="0.45">
      <c r="B1032" s="465"/>
      <c r="C1032" s="466"/>
      <c r="D1032" s="466"/>
      <c r="E1032" s="466"/>
      <c r="F1032" s="466"/>
      <c r="G1032" s="466"/>
      <c r="H1032" s="466"/>
      <c r="I1032" s="466"/>
      <c r="J1032" s="466"/>
      <c r="K1032" s="466"/>
      <c r="L1032" s="466"/>
      <c r="M1032" s="642"/>
      <c r="N1032" s="643"/>
      <c r="O1032" s="642"/>
      <c r="P1032" s="643"/>
      <c r="Q1032" s="467"/>
    </row>
    <row r="1033" spans="2:18" ht="31.5" customHeight="1" x14ac:dyDescent="0.45">
      <c r="B1033" s="563"/>
      <c r="C1033" s="449">
        <f>MAX(C$802:C1032)+0.1</f>
        <v>1.9000000000000008</v>
      </c>
      <c r="D1033" s="450" t="s">
        <v>61</v>
      </c>
      <c r="Q1033" s="469"/>
    </row>
    <row r="1034" spans="2:18" ht="31.5" customHeight="1" x14ac:dyDescent="0.45">
      <c r="B1034" s="563"/>
      <c r="C1034" s="450"/>
      <c r="D1034" s="449" t="s">
        <v>1425</v>
      </c>
      <c r="Q1034" s="469"/>
    </row>
    <row r="1035" spans="2:18" ht="31.5" customHeight="1" x14ac:dyDescent="0.45">
      <c r="B1035" s="563"/>
      <c r="C1035" s="450"/>
      <c r="Q1035" s="469"/>
    </row>
    <row r="1036" spans="2:18" ht="31.5" customHeight="1" x14ac:dyDescent="0.45">
      <c r="B1036" s="563"/>
      <c r="C1036" s="450"/>
      <c r="Q1036" s="469"/>
    </row>
    <row r="1037" spans="2:18" ht="31.5" customHeight="1" x14ac:dyDescent="0.45">
      <c r="B1037" s="477"/>
      <c r="C1037" s="461"/>
      <c r="D1037" s="461"/>
      <c r="E1037" s="461"/>
      <c r="F1037" s="461"/>
      <c r="G1037" s="461"/>
      <c r="H1037" s="461"/>
      <c r="I1037" s="461"/>
      <c r="J1037" s="461"/>
      <c r="K1037" s="461"/>
      <c r="L1037" s="461"/>
      <c r="M1037" s="640"/>
      <c r="N1037" s="646"/>
      <c r="O1037" s="640"/>
      <c r="P1037" s="631"/>
      <c r="Q1037" s="479"/>
    </row>
    <row r="1038" spans="2:18" ht="31.5" customHeight="1" x14ac:dyDescent="0.45"/>
    <row r="1039" spans="2:18" ht="31.5" customHeight="1" x14ac:dyDescent="0.45"/>
    <row r="1040" spans="2:18" ht="31.5" customHeight="1" x14ac:dyDescent="0.45">
      <c r="D1040" s="450" t="str">
        <f>Criteria!E9</f>
        <v>ABC COMPANY (PROPRIETARY) LIMITED</v>
      </c>
      <c r="O1040" s="529" t="s">
        <v>121</v>
      </c>
      <c r="Q1040" s="451">
        <f>MAX($Q$114:Q1039)+1</f>
        <v>23</v>
      </c>
    </row>
    <row r="1041" spans="2:18" ht="31.5" customHeight="1" x14ac:dyDescent="0.45">
      <c r="D1041" s="450" t="str">
        <f>Criteria!E10</f>
        <v>T/A SEAFRONT HOTEL, SEAFRONT RESTAURANT AND RENTAL PROPERTIES</v>
      </c>
      <c r="R1041" s="512" t="str">
        <f>IF(D1041=0,"DELETE"," ")</f>
        <v xml:space="preserve"> </v>
      </c>
    </row>
    <row r="1042" spans="2:18" ht="31.5" customHeight="1" x14ac:dyDescent="0.45"/>
    <row r="1043" spans="2:18" ht="31.5" customHeight="1" x14ac:dyDescent="0.45">
      <c r="D1043" s="450" t="s">
        <v>451</v>
      </c>
    </row>
    <row r="1044" spans="2:18" ht="31.5" customHeight="1" x14ac:dyDescent="0.45">
      <c r="D1044" s="450" t="str">
        <f>Criteria!E20</f>
        <v>29 FEBRUARY 2024</v>
      </c>
      <c r="J1044" s="449" t="s">
        <v>303</v>
      </c>
    </row>
    <row r="1045" spans="2:18" ht="31.5" customHeight="1" x14ac:dyDescent="0.45"/>
    <row r="1046" spans="2:18" ht="31.5" customHeight="1" x14ac:dyDescent="0.45">
      <c r="B1046" s="465"/>
      <c r="C1046" s="466"/>
      <c r="D1046" s="466"/>
      <c r="E1046" s="466"/>
      <c r="F1046" s="466"/>
      <c r="G1046" s="466"/>
      <c r="H1046" s="466"/>
      <c r="I1046" s="466"/>
      <c r="J1046" s="466"/>
      <c r="K1046" s="466"/>
      <c r="L1046" s="466"/>
      <c r="M1046" s="642"/>
      <c r="N1046" s="643"/>
      <c r="O1046" s="642"/>
      <c r="P1046" s="643"/>
      <c r="Q1046" s="467"/>
    </row>
    <row r="1047" spans="2:18" ht="31.5" customHeight="1" x14ac:dyDescent="0.45">
      <c r="B1047" s="563">
        <f>MAX(B$802:B1046)+1</f>
        <v>2</v>
      </c>
      <c r="C1047" s="450" t="s">
        <v>1345</v>
      </c>
      <c r="Q1047" s="469"/>
    </row>
    <row r="1048" spans="2:18" ht="31.5" customHeight="1" x14ac:dyDescent="0.45">
      <c r="B1048" s="563"/>
      <c r="C1048" s="450"/>
      <c r="D1048" s="449">
        <f>Criteria!F125</f>
        <v>0</v>
      </c>
      <c r="Q1048" s="469"/>
      <c r="R1048" s="512" t="str">
        <f>IF(D1048=0,"DELETE"," ")</f>
        <v>DELETE</v>
      </c>
    </row>
    <row r="1049" spans="2:18" ht="31.5" customHeight="1" x14ac:dyDescent="0.45">
      <c r="B1049" s="563"/>
      <c r="C1049" s="450"/>
      <c r="D1049" s="449">
        <f>Criteria!F126</f>
        <v>0</v>
      </c>
      <c r="Q1049" s="469"/>
      <c r="R1049" s="512" t="str">
        <f t="shared" ref="R1049:R1052" si="11">IF(D1049=0,"DELETE"," ")</f>
        <v>DELETE</v>
      </c>
    </row>
    <row r="1050" spans="2:18" ht="31.5" customHeight="1" x14ac:dyDescent="0.45">
      <c r="B1050" s="563"/>
      <c r="C1050" s="450"/>
      <c r="D1050" s="449">
        <f>Criteria!F127</f>
        <v>0</v>
      </c>
      <c r="Q1050" s="469"/>
      <c r="R1050" s="512" t="str">
        <f t="shared" si="11"/>
        <v>DELETE</v>
      </c>
    </row>
    <row r="1051" spans="2:18" ht="31.5" customHeight="1" x14ac:dyDescent="0.45">
      <c r="B1051" s="563"/>
      <c r="C1051" s="450"/>
      <c r="D1051" s="449">
        <f>Criteria!F128</f>
        <v>0</v>
      </c>
      <c r="Q1051" s="469"/>
      <c r="R1051" s="512" t="str">
        <f t="shared" si="11"/>
        <v>DELETE</v>
      </c>
    </row>
    <row r="1052" spans="2:18" ht="31.5" customHeight="1" x14ac:dyDescent="0.45">
      <c r="B1052" s="563"/>
      <c r="C1052" s="450"/>
      <c r="D1052" s="449">
        <f>Criteria!F129</f>
        <v>0</v>
      </c>
      <c r="Q1052" s="469"/>
      <c r="R1052" s="512" t="str">
        <f t="shared" si="11"/>
        <v>DELETE</v>
      </c>
    </row>
    <row r="1053" spans="2:18" ht="31.5" customHeight="1" x14ac:dyDescent="0.45">
      <c r="B1053" s="563"/>
      <c r="C1053" s="450"/>
      <c r="Q1053" s="469"/>
      <c r="R1053" s="512" t="str">
        <f>R1048</f>
        <v>DELETE</v>
      </c>
    </row>
    <row r="1054" spans="2:18" ht="31.5" customHeight="1" x14ac:dyDescent="0.45">
      <c r="B1054" s="563"/>
      <c r="C1054" s="450"/>
      <c r="D1054" s="449" t="str">
        <f>CONCATENATE("No",IF(Criteria!F123="Yes"," other "," "),"material changes to the accounting policies were identified and the comparative")</f>
        <v>No material changes to the accounting policies were identified and the comparative</v>
      </c>
      <c r="Q1054" s="469"/>
    </row>
    <row r="1055" spans="2:18" ht="31.5" customHeight="1" x14ac:dyDescent="0.45">
      <c r="B1055" s="563"/>
      <c r="C1055" s="450"/>
      <c r="D1055" s="449" t="s">
        <v>1346</v>
      </c>
      <c r="Q1055" s="469"/>
    </row>
    <row r="1056" spans="2:18" ht="31.5" customHeight="1" x14ac:dyDescent="0.45">
      <c r="B1056" s="563"/>
      <c r="C1056" s="450"/>
      <c r="Q1056" s="469"/>
    </row>
    <row r="1057" spans="2:18" ht="31.5" customHeight="1" x14ac:dyDescent="0.45">
      <c r="B1057" s="563"/>
      <c r="C1057" s="450"/>
      <c r="Q1057" s="469"/>
    </row>
    <row r="1058" spans="2:18" ht="31.5" customHeight="1" x14ac:dyDescent="0.45">
      <c r="B1058" s="567"/>
      <c r="C1058" s="502"/>
      <c r="D1058" s="461"/>
      <c r="E1058" s="461"/>
      <c r="F1058" s="461"/>
      <c r="G1058" s="461"/>
      <c r="H1058" s="461"/>
      <c r="I1058" s="461"/>
      <c r="J1058" s="461"/>
      <c r="K1058" s="461"/>
      <c r="L1058" s="461"/>
      <c r="M1058" s="630"/>
      <c r="N1058" s="631"/>
      <c r="O1058" s="630"/>
      <c r="P1058" s="631"/>
      <c r="Q1058" s="479"/>
    </row>
    <row r="1059" spans="2:18" ht="31.5" customHeight="1" x14ac:dyDescent="0.45">
      <c r="C1059" s="450"/>
    </row>
    <row r="1060" spans="2:18" ht="31.5" customHeight="1" x14ac:dyDescent="0.45"/>
    <row r="1061" spans="2:18" ht="31.5" customHeight="1" x14ac:dyDescent="0.45">
      <c r="D1061" s="450" t="str">
        <f>Criteria!E9</f>
        <v>ABC COMPANY (PROPRIETARY) LIMITED</v>
      </c>
      <c r="O1061" s="529" t="s">
        <v>121</v>
      </c>
      <c r="Q1061" s="451">
        <f>MAX($Q$114:Q1060)+1</f>
        <v>24</v>
      </c>
    </row>
    <row r="1062" spans="2:18" ht="31.5" customHeight="1" x14ac:dyDescent="0.45">
      <c r="D1062" s="450" t="str">
        <f>Criteria!E10</f>
        <v>T/A SEAFRONT HOTEL, SEAFRONT RESTAURANT AND RENTAL PROPERTIES</v>
      </c>
      <c r="R1062" s="512" t="str">
        <f>IF(D1062=0,"DELETE"," ")</f>
        <v xml:space="preserve"> </v>
      </c>
    </row>
    <row r="1063" spans="2:18" ht="31.5" customHeight="1" x14ac:dyDescent="0.45"/>
    <row r="1064" spans="2:18" ht="31.5" customHeight="1" x14ac:dyDescent="0.45">
      <c r="D1064" s="450" t="s">
        <v>451</v>
      </c>
    </row>
    <row r="1065" spans="2:18" ht="31.5" customHeight="1" x14ac:dyDescent="0.45">
      <c r="D1065" s="450" t="str">
        <f>Criteria!E20</f>
        <v>29 FEBRUARY 2024</v>
      </c>
      <c r="J1065" s="449" t="s">
        <v>303</v>
      </c>
    </row>
    <row r="1066" spans="2:18" ht="31.5" customHeight="1" x14ac:dyDescent="0.45">
      <c r="D1066" s="450"/>
    </row>
    <row r="1067" spans="2:18" ht="31.5" customHeight="1" x14ac:dyDescent="0.45">
      <c r="B1067" s="465"/>
      <c r="C1067" s="466"/>
      <c r="D1067" s="503"/>
      <c r="E1067" s="466"/>
      <c r="F1067" s="466"/>
      <c r="G1067" s="466"/>
      <c r="H1067" s="466"/>
      <c r="I1067" s="466"/>
      <c r="J1067" s="466"/>
      <c r="K1067" s="466"/>
      <c r="L1067" s="466"/>
      <c r="M1067" s="642"/>
      <c r="N1067" s="643"/>
      <c r="O1067" s="642"/>
      <c r="P1067" s="643"/>
      <c r="Q1067" s="467"/>
    </row>
    <row r="1068" spans="2:18" ht="31.5" customHeight="1" x14ac:dyDescent="0.45">
      <c r="B1068" s="468"/>
      <c r="D1068" s="450"/>
      <c r="M1068" s="549">
        <f>Criteria!E22</f>
        <v>2024</v>
      </c>
      <c r="N1068" s="508"/>
      <c r="O1068" s="549">
        <f>Criteria!E27</f>
        <v>2023</v>
      </c>
      <c r="P1068" s="634"/>
      <c r="Q1068" s="469"/>
    </row>
    <row r="1069" spans="2:18" ht="31.5" customHeight="1" x14ac:dyDescent="0.45">
      <c r="B1069" s="468"/>
      <c r="D1069" s="450"/>
      <c r="M1069" s="633"/>
      <c r="N1069" s="634"/>
      <c r="O1069" s="633"/>
      <c r="P1069" s="634"/>
      <c r="Q1069" s="469"/>
    </row>
    <row r="1070" spans="2:18" ht="31.5" customHeight="1" x14ac:dyDescent="0.45">
      <c r="B1070" s="563">
        <f>MAX(B$802:B1069)+1</f>
        <v>3</v>
      </c>
      <c r="C1070" s="450" t="s">
        <v>137</v>
      </c>
      <c r="D1070" s="450"/>
      <c r="M1070" s="633"/>
      <c r="N1070" s="634"/>
      <c r="O1070" s="633"/>
      <c r="P1070" s="634"/>
      <c r="Q1070" s="469"/>
    </row>
    <row r="1071" spans="2:18" ht="31.5" customHeight="1" x14ac:dyDescent="0.45">
      <c r="B1071" s="468"/>
      <c r="D1071" s="449" t="str">
        <f>TrialBalance!C5</f>
        <v>Sale of goods</v>
      </c>
      <c r="M1071" s="639">
        <f>-TrialBalance!L5-TrialBalanceA!I5-TrialBalanceB!I5-TrialBalanceC!I5</f>
        <v>0</v>
      </c>
      <c r="N1071" s="647"/>
      <c r="O1071" s="639">
        <f>-TrialBalance!N5-TrialBalanceA!K5-TrialBalanceB!K5-TrialBalanceC!K5</f>
        <v>0</v>
      </c>
      <c r="P1071" s="634"/>
      <c r="Q1071" s="469"/>
      <c r="R1071" s="512" t="str">
        <f>IF(M1071+O1071=0,IF(SUM(M1072:M1077)+SUM(O1072:O1077)&gt;0,"DELETE"," ")," ")</f>
        <v xml:space="preserve"> </v>
      </c>
    </row>
    <row r="1072" spans="2:18" ht="31.5" customHeight="1" x14ac:dyDescent="0.45">
      <c r="B1072" s="468"/>
      <c r="D1072" s="449" t="str">
        <f>TrialBalance!C6</f>
        <v>Rendering of services</v>
      </c>
      <c r="M1072" s="639">
        <f>-TrialBalance!L6-TrialBalanceA!I6-TrialBalanceB!I6-TrialBalanceC!I6</f>
        <v>0</v>
      </c>
      <c r="N1072" s="647"/>
      <c r="O1072" s="639">
        <f>-TrialBalance!N6-TrialBalanceA!K6-TrialBalanceB!K6-TrialBalanceC!K6</f>
        <v>0</v>
      </c>
      <c r="P1072" s="634"/>
      <c r="Q1072" s="469"/>
      <c r="R1072" s="512" t="str">
        <f t="shared" ref="R1072:R1077" si="12">IF(M1072+O1072=0,"DELETE"," ")</f>
        <v>DELETE</v>
      </c>
    </row>
    <row r="1073" spans="2:18" ht="31.5" customHeight="1" x14ac:dyDescent="0.45">
      <c r="B1073" s="468"/>
      <c r="D1073" s="449" t="str">
        <f>TrialBalance!C7</f>
        <v>Commissions received</v>
      </c>
      <c r="M1073" s="639">
        <f>-TrialBalance!L7-TrialBalanceA!I7-TrialBalanceB!I7-TrialBalanceC!I7</f>
        <v>0</v>
      </c>
      <c r="N1073" s="647"/>
      <c r="O1073" s="639">
        <f>-TrialBalance!N7-TrialBalanceA!K7-TrialBalanceB!K7-TrialBalanceC!K7</f>
        <v>0</v>
      </c>
      <c r="P1073" s="634"/>
      <c r="Q1073" s="469"/>
      <c r="R1073" s="512" t="str">
        <f t="shared" si="12"/>
        <v>DELETE</v>
      </c>
    </row>
    <row r="1074" spans="2:18" ht="31.5" customHeight="1" x14ac:dyDescent="0.45">
      <c r="B1074" s="468"/>
      <c r="D1074" s="449">
        <f>TrialBalance!C8</f>
        <v>0</v>
      </c>
      <c r="M1074" s="639">
        <f>-TrialBalance!L8-TrialBalanceA!I8-TrialBalanceB!I8-TrialBalanceC!I8</f>
        <v>0</v>
      </c>
      <c r="N1074" s="647"/>
      <c r="O1074" s="639">
        <f>-TrialBalance!N8-TrialBalanceA!K8-TrialBalanceB!K8-TrialBalanceC!K8</f>
        <v>0</v>
      </c>
      <c r="P1074" s="634"/>
      <c r="Q1074" s="469"/>
      <c r="R1074" s="512" t="str">
        <f t="shared" si="12"/>
        <v>DELETE</v>
      </c>
    </row>
    <row r="1075" spans="2:18" ht="31.5" customHeight="1" x14ac:dyDescent="0.45">
      <c r="B1075" s="468"/>
      <c r="D1075" s="449">
        <f>TrialBalance!C9</f>
        <v>0</v>
      </c>
      <c r="M1075" s="639">
        <f>-TrialBalance!L9-TrialBalanceA!I9-TrialBalanceB!I9-TrialBalanceC!I9</f>
        <v>0</v>
      </c>
      <c r="N1075" s="647"/>
      <c r="O1075" s="639">
        <f>-TrialBalance!N9-TrialBalanceA!K9-TrialBalanceB!K9-TrialBalanceC!K9</f>
        <v>0</v>
      </c>
      <c r="P1075" s="634"/>
      <c r="Q1075" s="469"/>
      <c r="R1075" s="512" t="str">
        <f t="shared" si="12"/>
        <v>DELETE</v>
      </c>
    </row>
    <row r="1076" spans="2:18" ht="31.5" customHeight="1" x14ac:dyDescent="0.45">
      <c r="B1076" s="468"/>
      <c r="D1076" s="449">
        <f>TrialBalance!C10</f>
        <v>0</v>
      </c>
      <c r="M1076" s="639">
        <f>-TrialBalance!L10-TrialBalanceA!I10-TrialBalanceB!I10-TrialBalanceC!I10</f>
        <v>0</v>
      </c>
      <c r="N1076" s="647"/>
      <c r="O1076" s="639">
        <f>-TrialBalance!N10-TrialBalanceA!K10-TrialBalanceB!K10-TrialBalanceC!K10</f>
        <v>0</v>
      </c>
      <c r="P1076" s="634"/>
      <c r="Q1076" s="469"/>
      <c r="R1076" s="512" t="str">
        <f t="shared" si="12"/>
        <v>DELETE</v>
      </c>
    </row>
    <row r="1077" spans="2:18" ht="31.5" customHeight="1" x14ac:dyDescent="0.45">
      <c r="B1077" s="468"/>
      <c r="D1077" s="449" t="str">
        <f>TrialBalance!C11</f>
        <v>Rent received</v>
      </c>
      <c r="M1077" s="639">
        <f>-TrialBalance!L11-TrialBalanceA!I11-TrialBalanceB!I11-TrialBalanceC!I11</f>
        <v>0</v>
      </c>
      <c r="N1077" s="647"/>
      <c r="O1077" s="639">
        <f>-TrialBalance!N11-TrialBalanceA!K11-TrialBalanceB!K11-TrialBalanceC!K11</f>
        <v>0</v>
      </c>
      <c r="P1077" s="634"/>
      <c r="Q1077" s="469"/>
      <c r="R1077" s="512" t="str">
        <f t="shared" si="12"/>
        <v>DELETE</v>
      </c>
    </row>
    <row r="1078" spans="2:18" ht="9" customHeight="1" x14ac:dyDescent="0.45">
      <c r="B1078" s="468"/>
      <c r="D1078" s="450"/>
      <c r="M1078" s="640"/>
      <c r="N1078" s="646"/>
      <c r="O1078" s="640"/>
      <c r="P1078" s="634"/>
      <c r="Q1078" s="469"/>
    </row>
    <row r="1079" spans="2:18" ht="9" customHeight="1" x14ac:dyDescent="0.45">
      <c r="B1079" s="468"/>
      <c r="D1079" s="450"/>
      <c r="M1079" s="639"/>
      <c r="N1079" s="647"/>
      <c r="O1079" s="639"/>
      <c r="P1079" s="634"/>
      <c r="Q1079" s="469"/>
    </row>
    <row r="1080" spans="2:18" ht="31.5" customHeight="1" x14ac:dyDescent="0.45">
      <c r="B1080" s="468"/>
      <c r="D1080" s="450"/>
      <c r="M1080" s="639">
        <f>SUM(M1071:M1079)</f>
        <v>0</v>
      </c>
      <c r="N1080" s="647"/>
      <c r="O1080" s="639">
        <f>SUM(O1071:O1079)</f>
        <v>0</v>
      </c>
      <c r="P1080" s="634"/>
      <c r="Q1080" s="469"/>
    </row>
    <row r="1081" spans="2:18" ht="9" customHeight="1" thickBot="1" x14ac:dyDescent="0.5">
      <c r="B1081" s="468"/>
      <c r="D1081" s="450"/>
      <c r="M1081" s="638"/>
      <c r="N1081" s="644"/>
      <c r="O1081" s="638"/>
      <c r="P1081" s="634"/>
      <c r="Q1081" s="469"/>
    </row>
    <row r="1082" spans="2:18" ht="9" customHeight="1" thickTop="1" x14ac:dyDescent="0.45">
      <c r="B1082" s="468"/>
      <c r="D1082" s="450"/>
      <c r="M1082" s="633"/>
      <c r="N1082" s="634"/>
      <c r="O1082" s="633"/>
      <c r="P1082" s="634"/>
      <c r="Q1082" s="469"/>
    </row>
    <row r="1083" spans="2:18" ht="31.5" customHeight="1" x14ac:dyDescent="0.45">
      <c r="B1083" s="468"/>
      <c r="D1083" s="450"/>
      <c r="M1083" s="633"/>
      <c r="N1083" s="634"/>
      <c r="O1083" s="633"/>
      <c r="P1083" s="634"/>
      <c r="Q1083" s="469"/>
    </row>
    <row r="1084" spans="2:18" ht="31.5" customHeight="1" x14ac:dyDescent="0.45">
      <c r="B1084" s="468"/>
      <c r="D1084" s="450"/>
      <c r="M1084" s="633"/>
      <c r="N1084" s="634"/>
      <c r="O1084" s="633"/>
      <c r="P1084" s="634"/>
      <c r="Q1084" s="469"/>
    </row>
    <row r="1085" spans="2:18" ht="31.5" customHeight="1" x14ac:dyDescent="0.45">
      <c r="B1085" s="567"/>
      <c r="C1085" s="502"/>
      <c r="D1085" s="461"/>
      <c r="E1085" s="461"/>
      <c r="F1085" s="461"/>
      <c r="G1085" s="461"/>
      <c r="H1085" s="461"/>
      <c r="I1085" s="461"/>
      <c r="J1085" s="461"/>
      <c r="K1085" s="461"/>
      <c r="L1085" s="461"/>
      <c r="M1085" s="630"/>
      <c r="N1085" s="631"/>
      <c r="O1085" s="630"/>
      <c r="P1085" s="631"/>
      <c r="Q1085" s="479"/>
    </row>
    <row r="1086" spans="2:18" ht="31.5" customHeight="1" x14ac:dyDescent="0.45">
      <c r="C1086" s="450"/>
    </row>
    <row r="1087" spans="2:18" ht="31.5" customHeight="1" x14ac:dyDescent="0.45">
      <c r="R1087" s="512" t="str">
        <f t="shared" ref="R1087:R1088" si="13">R$1124</f>
        <v>DELETE</v>
      </c>
    </row>
    <row r="1088" spans="2:18" ht="31.5" customHeight="1" x14ac:dyDescent="0.45">
      <c r="D1088" s="450" t="str">
        <f>Criteria!E9</f>
        <v>ABC COMPANY (PROPRIETARY) LIMITED</v>
      </c>
      <c r="O1088" s="529" t="s">
        <v>121</v>
      </c>
      <c r="Q1088" s="451">
        <f>MAX($Q$114:Q1087)+1</f>
        <v>25</v>
      </c>
      <c r="R1088" s="512" t="str">
        <f t="shared" si="13"/>
        <v>DELETE</v>
      </c>
    </row>
    <row r="1089" spans="2:18" ht="31.5" customHeight="1" x14ac:dyDescent="0.45">
      <c r="D1089" s="450" t="str">
        <f>Criteria!E10</f>
        <v>T/A SEAFRONT HOTEL, SEAFRONT RESTAURANT AND RENTAL PROPERTIES</v>
      </c>
      <c r="R1089" s="512" t="str">
        <f>IF(R$1124="DELETE","DELETE",IF(D1089=0,"DELETE"," "))</f>
        <v>DELETE</v>
      </c>
    </row>
    <row r="1090" spans="2:18" ht="31.5" customHeight="1" x14ac:dyDescent="0.45">
      <c r="R1090" s="512" t="str">
        <f t="shared" ref="R1090:R1096" si="14">R$1124</f>
        <v>DELETE</v>
      </c>
    </row>
    <row r="1091" spans="2:18" ht="31.5" customHeight="1" x14ac:dyDescent="0.45">
      <c r="D1091" s="450" t="s">
        <v>451</v>
      </c>
      <c r="R1091" s="512" t="str">
        <f t="shared" si="14"/>
        <v>DELETE</v>
      </c>
    </row>
    <row r="1092" spans="2:18" ht="31.5" customHeight="1" x14ac:dyDescent="0.45">
      <c r="D1092" s="450" t="str">
        <f>Criteria!E20</f>
        <v>29 FEBRUARY 2024</v>
      </c>
      <c r="J1092" s="449" t="s">
        <v>303</v>
      </c>
      <c r="R1092" s="512" t="str">
        <f t="shared" si="14"/>
        <v>DELETE</v>
      </c>
    </row>
    <row r="1093" spans="2:18" ht="31.5" customHeight="1" x14ac:dyDescent="0.45">
      <c r="D1093" s="450"/>
      <c r="R1093" s="512" t="str">
        <f t="shared" si="14"/>
        <v>DELETE</v>
      </c>
    </row>
    <row r="1094" spans="2:18" ht="31.5" customHeight="1" x14ac:dyDescent="0.45">
      <c r="B1094" s="465"/>
      <c r="C1094" s="466"/>
      <c r="D1094" s="503"/>
      <c r="E1094" s="466"/>
      <c r="F1094" s="466"/>
      <c r="G1094" s="466"/>
      <c r="H1094" s="466"/>
      <c r="I1094" s="466"/>
      <c r="J1094" s="466"/>
      <c r="K1094" s="466"/>
      <c r="L1094" s="466"/>
      <c r="M1094" s="642"/>
      <c r="N1094" s="643"/>
      <c r="O1094" s="642"/>
      <c r="P1094" s="643"/>
      <c r="Q1094" s="467"/>
      <c r="R1094" s="512" t="str">
        <f t="shared" si="14"/>
        <v>DELETE</v>
      </c>
    </row>
    <row r="1095" spans="2:18" ht="31.5" customHeight="1" x14ac:dyDescent="0.45">
      <c r="B1095" s="468"/>
      <c r="D1095" s="450"/>
      <c r="M1095" s="549">
        <f>Criteria!E22</f>
        <v>2024</v>
      </c>
      <c r="N1095" s="508"/>
      <c r="O1095" s="549">
        <f>Criteria!E27</f>
        <v>2023</v>
      </c>
      <c r="P1095" s="634"/>
      <c r="Q1095" s="469"/>
      <c r="R1095" s="512" t="str">
        <f t="shared" si="14"/>
        <v>DELETE</v>
      </c>
    </row>
    <row r="1096" spans="2:18" ht="31.5" customHeight="1" x14ac:dyDescent="0.45">
      <c r="B1096" s="468"/>
      <c r="D1096" s="450"/>
      <c r="M1096" s="633"/>
      <c r="N1096" s="634"/>
      <c r="O1096" s="633"/>
      <c r="P1096" s="634"/>
      <c r="Q1096" s="469"/>
      <c r="R1096" s="512" t="str">
        <f t="shared" si="14"/>
        <v>DELETE</v>
      </c>
    </row>
    <row r="1097" spans="2:18" ht="31.5" customHeight="1" x14ac:dyDescent="0.45">
      <c r="B1097" s="563">
        <f>MAX(B$802:B1096)+1</f>
        <v>4</v>
      </c>
      <c r="C1097" s="450" t="s">
        <v>385</v>
      </c>
      <c r="M1097" s="548"/>
      <c r="N1097" s="491"/>
      <c r="O1097" s="548"/>
      <c r="P1097" s="634"/>
      <c r="Q1097" s="469"/>
      <c r="R1097" s="512" t="str">
        <f>R$1124</f>
        <v>DELETE</v>
      </c>
    </row>
    <row r="1098" spans="2:18" ht="31.5" customHeight="1" x14ac:dyDescent="0.45">
      <c r="B1098" s="563"/>
      <c r="C1098" s="450"/>
      <c r="D1098" s="449" t="str">
        <f>TrialBalance!C28</f>
        <v>Insurance claims - Seafront Hotel</v>
      </c>
      <c r="M1098" s="548">
        <f>-TrialBalance!L28</f>
        <v>0</v>
      </c>
      <c r="N1098" s="491"/>
      <c r="O1098" s="548">
        <f>-TrialBalance!N28</f>
        <v>0</v>
      </c>
      <c r="P1098" s="634"/>
      <c r="Q1098" s="469"/>
      <c r="R1098" s="512" t="str">
        <f t="shared" ref="R1098:R1103" si="15">IF(M1098+O1098=0,"DELETE"," ")</f>
        <v>DELETE</v>
      </c>
    </row>
    <row r="1099" spans="2:18" ht="31.5" customHeight="1" x14ac:dyDescent="0.45">
      <c r="B1099" s="563"/>
      <c r="C1099" s="450"/>
      <c r="D1099" s="449" t="str">
        <f>TrialBalance!C29</f>
        <v>Government grants received</v>
      </c>
      <c r="M1099" s="548">
        <f>-TrialBalance!L29</f>
        <v>0</v>
      </c>
      <c r="N1099" s="491"/>
      <c r="O1099" s="548">
        <f>-TrialBalance!N29</f>
        <v>0</v>
      </c>
      <c r="P1099" s="634"/>
      <c r="Q1099" s="469"/>
      <c r="R1099" s="512" t="str">
        <f t="shared" si="15"/>
        <v>DELETE</v>
      </c>
    </row>
    <row r="1100" spans="2:18" ht="31.5" customHeight="1" x14ac:dyDescent="0.45">
      <c r="B1100" s="563"/>
      <c r="C1100" s="450"/>
      <c r="D1100" s="449">
        <f>TrialBalance!C30</f>
        <v>0</v>
      </c>
      <c r="M1100" s="548">
        <f>-TrialBalance!L30</f>
        <v>0</v>
      </c>
      <c r="N1100" s="491"/>
      <c r="O1100" s="548">
        <f>-TrialBalance!N30</f>
        <v>0</v>
      </c>
      <c r="P1100" s="634"/>
      <c r="Q1100" s="469"/>
      <c r="R1100" s="512" t="str">
        <f t="shared" si="15"/>
        <v>DELETE</v>
      </c>
    </row>
    <row r="1101" spans="2:18" ht="31.5" customHeight="1" x14ac:dyDescent="0.45">
      <c r="B1101" s="563"/>
      <c r="C1101" s="450"/>
      <c r="D1101" s="449">
        <f>TrialBalance!C31</f>
        <v>0</v>
      </c>
      <c r="M1101" s="548">
        <f>-TrialBalance!L31</f>
        <v>0</v>
      </c>
      <c r="N1101" s="491"/>
      <c r="O1101" s="548">
        <f>-TrialBalance!N31</f>
        <v>0</v>
      </c>
      <c r="P1101" s="634"/>
      <c r="Q1101" s="469"/>
      <c r="R1101" s="512" t="str">
        <f t="shared" si="15"/>
        <v>DELETE</v>
      </c>
    </row>
    <row r="1102" spans="2:18" ht="31.5" customHeight="1" x14ac:dyDescent="0.45">
      <c r="B1102" s="563"/>
      <c r="C1102" s="450"/>
      <c r="D1102" s="449">
        <f>TrialBalance!C32</f>
        <v>0</v>
      </c>
      <c r="M1102" s="548">
        <f>-TrialBalance!L32</f>
        <v>0</v>
      </c>
      <c r="N1102" s="491"/>
      <c r="O1102" s="548">
        <f>-TrialBalance!N32</f>
        <v>0</v>
      </c>
      <c r="P1102" s="634"/>
      <c r="Q1102" s="469"/>
      <c r="R1102" s="512" t="str">
        <f t="shared" si="15"/>
        <v>DELETE</v>
      </c>
    </row>
    <row r="1103" spans="2:18" ht="31.5" customHeight="1" x14ac:dyDescent="0.45">
      <c r="B1103" s="563"/>
      <c r="C1103" s="450"/>
      <c r="D1103" s="449" t="str">
        <f>TrialBalance!C33</f>
        <v>Recoupment of depreciation</v>
      </c>
      <c r="M1103" s="548">
        <f>-TrialBalance!L33</f>
        <v>0</v>
      </c>
      <c r="N1103" s="491"/>
      <c r="O1103" s="548">
        <f>-TrialBalance!N33</f>
        <v>0</v>
      </c>
      <c r="P1103" s="634"/>
      <c r="Q1103" s="469"/>
      <c r="R1103" s="512" t="str">
        <f t="shared" si="15"/>
        <v>DELETE</v>
      </c>
    </row>
    <row r="1104" spans="2:18" ht="31.5" customHeight="1" x14ac:dyDescent="0.45">
      <c r="B1104" s="563"/>
      <c r="C1104" s="450"/>
      <c r="D1104" s="449" t="str">
        <f>TrialBalanceA!C28</f>
        <v>Insurance claims - Seafront Restaurant</v>
      </c>
      <c r="M1104" s="548">
        <f>-TrialBalanceA!I28</f>
        <v>0</v>
      </c>
      <c r="N1104" s="491"/>
      <c r="O1104" s="548">
        <f>-TrialBalanceA!K28</f>
        <v>0</v>
      </c>
      <c r="P1104" s="634"/>
      <c r="Q1104" s="469"/>
      <c r="R1104" s="512" t="str">
        <f t="shared" ref="R1104:R1110" si="16">IF(M1104+O1104=0,"DELETE"," ")</f>
        <v>DELETE</v>
      </c>
    </row>
    <row r="1105" spans="2:18" ht="31.5" customHeight="1" x14ac:dyDescent="0.45">
      <c r="B1105" s="563"/>
      <c r="C1105" s="450"/>
      <c r="D1105" s="449" t="str">
        <f>TrialBalanceA!C29</f>
        <v>Government grants received</v>
      </c>
      <c r="M1105" s="548">
        <f>-TrialBalanceA!I29</f>
        <v>0</v>
      </c>
      <c r="N1105" s="491"/>
      <c r="O1105" s="548">
        <f>-TrialBalanceA!K29</f>
        <v>0</v>
      </c>
      <c r="P1105" s="634"/>
      <c r="Q1105" s="469"/>
      <c r="R1105" s="512" t="str">
        <f t="shared" si="16"/>
        <v>DELETE</v>
      </c>
    </row>
    <row r="1106" spans="2:18" ht="31.5" customHeight="1" x14ac:dyDescent="0.45">
      <c r="B1106" s="563"/>
      <c r="C1106" s="450"/>
      <c r="D1106" s="449">
        <f>TrialBalanceA!C30</f>
        <v>0</v>
      </c>
      <c r="M1106" s="548">
        <f>-TrialBalanceA!I30</f>
        <v>0</v>
      </c>
      <c r="N1106" s="491"/>
      <c r="O1106" s="548">
        <f>-TrialBalanceA!K30</f>
        <v>0</v>
      </c>
      <c r="P1106" s="634"/>
      <c r="Q1106" s="469"/>
      <c r="R1106" s="512" t="str">
        <f t="shared" si="16"/>
        <v>DELETE</v>
      </c>
    </row>
    <row r="1107" spans="2:18" ht="31.5" customHeight="1" x14ac:dyDescent="0.45">
      <c r="B1107" s="563"/>
      <c r="C1107" s="450"/>
      <c r="D1107" s="449">
        <f>TrialBalanceA!C31</f>
        <v>0</v>
      </c>
      <c r="M1107" s="548">
        <f>-TrialBalanceA!I31</f>
        <v>0</v>
      </c>
      <c r="N1107" s="491"/>
      <c r="O1107" s="548">
        <f>-TrialBalanceA!K31</f>
        <v>0</v>
      </c>
      <c r="P1107" s="634"/>
      <c r="Q1107" s="469"/>
      <c r="R1107" s="512" t="str">
        <f t="shared" si="16"/>
        <v>DELETE</v>
      </c>
    </row>
    <row r="1108" spans="2:18" ht="31.5" customHeight="1" x14ac:dyDescent="0.45">
      <c r="B1108" s="563"/>
      <c r="C1108" s="450"/>
      <c r="D1108" s="449">
        <f>TrialBalanceA!C32</f>
        <v>0</v>
      </c>
      <c r="M1108" s="548">
        <f>-TrialBalanceA!I32</f>
        <v>0</v>
      </c>
      <c r="N1108" s="491"/>
      <c r="O1108" s="548">
        <f>-TrialBalanceA!K32</f>
        <v>0</v>
      </c>
      <c r="P1108" s="634"/>
      <c r="Q1108" s="469"/>
      <c r="R1108" s="512" t="str">
        <f t="shared" si="16"/>
        <v>DELETE</v>
      </c>
    </row>
    <row r="1109" spans="2:18" ht="31.5" customHeight="1" x14ac:dyDescent="0.45">
      <c r="B1109" s="563"/>
      <c r="C1109" s="450"/>
      <c r="D1109" s="449" t="str">
        <f>TrialBalanceA!C33</f>
        <v>Recoupment of depreciation</v>
      </c>
      <c r="M1109" s="548">
        <f>-TrialBalanceA!I33</f>
        <v>0</v>
      </c>
      <c r="N1109" s="491"/>
      <c r="O1109" s="548">
        <f>-TrialBalanceA!K33</f>
        <v>0</v>
      </c>
      <c r="P1109" s="634"/>
      <c r="Q1109" s="469"/>
      <c r="R1109" s="512" t="str">
        <f t="shared" ref="R1109" si="17">IF(M1109+O1109=0,"DELETE"," ")</f>
        <v>DELETE</v>
      </c>
    </row>
    <row r="1110" spans="2:18" ht="31.5" customHeight="1" x14ac:dyDescent="0.45">
      <c r="B1110" s="563"/>
      <c r="C1110" s="450"/>
      <c r="D1110" s="449" t="str">
        <f>TrialBalanceB!C28</f>
        <v>Insurance claims - Rental Properties</v>
      </c>
      <c r="M1110" s="548">
        <f>-TrialBalanceB!I28</f>
        <v>0</v>
      </c>
      <c r="N1110" s="491"/>
      <c r="O1110" s="548">
        <f>-TrialBalanceB!K28</f>
        <v>0</v>
      </c>
      <c r="P1110" s="634"/>
      <c r="Q1110" s="469"/>
      <c r="R1110" s="512" t="str">
        <f t="shared" si="16"/>
        <v>DELETE</v>
      </c>
    </row>
    <row r="1111" spans="2:18" ht="31.5" customHeight="1" x14ac:dyDescent="0.45">
      <c r="B1111" s="563"/>
      <c r="C1111" s="450"/>
      <c r="D1111" s="449" t="str">
        <f>TrialBalanceB!C29</f>
        <v>Government grants received</v>
      </c>
      <c r="M1111" s="548">
        <f>-TrialBalanceB!I29</f>
        <v>0</v>
      </c>
      <c r="N1111" s="491"/>
      <c r="O1111" s="548">
        <f>-TrialBalanceB!K29</f>
        <v>0</v>
      </c>
      <c r="P1111" s="634"/>
      <c r="Q1111" s="469"/>
      <c r="R1111" s="512" t="str">
        <f t="shared" ref="R1111:R1116" si="18">IF(M1111+O1111=0,"DELETE"," ")</f>
        <v>DELETE</v>
      </c>
    </row>
    <row r="1112" spans="2:18" ht="31.5" customHeight="1" x14ac:dyDescent="0.45">
      <c r="B1112" s="563"/>
      <c r="C1112" s="450"/>
      <c r="D1112" s="449">
        <f>TrialBalanceB!C30</f>
        <v>0</v>
      </c>
      <c r="M1112" s="548">
        <f>-TrialBalanceB!I30</f>
        <v>0</v>
      </c>
      <c r="N1112" s="491"/>
      <c r="O1112" s="548">
        <f>-TrialBalanceB!K30</f>
        <v>0</v>
      </c>
      <c r="P1112" s="634"/>
      <c r="Q1112" s="469"/>
      <c r="R1112" s="512" t="str">
        <f t="shared" si="18"/>
        <v>DELETE</v>
      </c>
    </row>
    <row r="1113" spans="2:18" ht="31.5" customHeight="1" x14ac:dyDescent="0.45">
      <c r="B1113" s="563"/>
      <c r="C1113" s="450"/>
      <c r="D1113" s="449">
        <f>TrialBalanceB!C31</f>
        <v>0</v>
      </c>
      <c r="M1113" s="548">
        <f>-TrialBalanceB!I31</f>
        <v>0</v>
      </c>
      <c r="N1113" s="491"/>
      <c r="O1113" s="548">
        <f>-TrialBalanceB!K31</f>
        <v>0</v>
      </c>
      <c r="P1113" s="634"/>
      <c r="Q1113" s="469"/>
      <c r="R1113" s="512" t="str">
        <f t="shared" si="18"/>
        <v>DELETE</v>
      </c>
    </row>
    <row r="1114" spans="2:18" ht="31.5" customHeight="1" x14ac:dyDescent="0.45">
      <c r="B1114" s="563"/>
      <c r="C1114" s="450"/>
      <c r="D1114" s="449">
        <f>TrialBalanceB!C32</f>
        <v>0</v>
      </c>
      <c r="M1114" s="548">
        <f>-TrialBalanceB!I32</f>
        <v>0</v>
      </c>
      <c r="N1114" s="491"/>
      <c r="O1114" s="548">
        <f>-TrialBalanceB!K32</f>
        <v>0</v>
      </c>
      <c r="P1114" s="634"/>
      <c r="Q1114" s="469"/>
      <c r="R1114" s="512" t="str">
        <f t="shared" si="18"/>
        <v>DELETE</v>
      </c>
    </row>
    <row r="1115" spans="2:18" ht="31.5" customHeight="1" x14ac:dyDescent="0.45">
      <c r="B1115" s="563"/>
      <c r="C1115" s="450"/>
      <c r="D1115" s="449" t="str">
        <f>TrialBalanceB!C33</f>
        <v>Recoupment of depreciation</v>
      </c>
      <c r="M1115" s="548">
        <f>-TrialBalanceB!I33</f>
        <v>0</v>
      </c>
      <c r="N1115" s="491"/>
      <c r="O1115" s="548">
        <f>-TrialBalanceB!K33</f>
        <v>0</v>
      </c>
      <c r="P1115" s="634"/>
      <c r="Q1115" s="469"/>
      <c r="R1115" s="512" t="str">
        <f t="shared" ref="R1115" si="19">IF(M1115+O1115=0,"DELETE"," ")</f>
        <v>DELETE</v>
      </c>
    </row>
    <row r="1116" spans="2:18" ht="31.5" customHeight="1" x14ac:dyDescent="0.45">
      <c r="B1116" s="563"/>
      <c r="C1116" s="450"/>
      <c r="D1116" s="449" t="str">
        <f>TrialBalanceC!C28</f>
        <v xml:space="preserve">Insurance claims - </v>
      </c>
      <c r="M1116" s="548">
        <f>-TrialBalanceC!I28</f>
        <v>0</v>
      </c>
      <c r="N1116" s="491"/>
      <c r="O1116" s="548">
        <f>-TrialBalanceC!K28</f>
        <v>0</v>
      </c>
      <c r="P1116" s="634"/>
      <c r="Q1116" s="469"/>
      <c r="R1116" s="512" t="str">
        <f t="shared" si="18"/>
        <v>DELETE</v>
      </c>
    </row>
    <row r="1117" spans="2:18" ht="31.5" customHeight="1" x14ac:dyDescent="0.45">
      <c r="B1117" s="563"/>
      <c r="C1117" s="450"/>
      <c r="D1117" s="449" t="str">
        <f>TrialBalanceC!C29</f>
        <v>Government grants received</v>
      </c>
      <c r="M1117" s="548">
        <f>-TrialBalanceC!I29</f>
        <v>0</v>
      </c>
      <c r="N1117" s="491"/>
      <c r="O1117" s="548">
        <f>-TrialBalanceC!K29</f>
        <v>0</v>
      </c>
      <c r="P1117" s="634"/>
      <c r="Q1117" s="469"/>
      <c r="R1117" s="512" t="str">
        <f t="shared" ref="R1117:R1120" si="20">IF(M1117+O1117=0,"DELETE"," ")</f>
        <v>DELETE</v>
      </c>
    </row>
    <row r="1118" spans="2:18" ht="31.5" customHeight="1" x14ac:dyDescent="0.45">
      <c r="B1118" s="563"/>
      <c r="C1118" s="450"/>
      <c r="D1118" s="449">
        <f>TrialBalanceC!C30</f>
        <v>0</v>
      </c>
      <c r="M1118" s="548">
        <f>-TrialBalanceC!I30</f>
        <v>0</v>
      </c>
      <c r="N1118" s="491"/>
      <c r="O1118" s="548">
        <f>-TrialBalanceC!K30</f>
        <v>0</v>
      </c>
      <c r="P1118" s="634"/>
      <c r="Q1118" s="469"/>
      <c r="R1118" s="512" t="str">
        <f t="shared" si="20"/>
        <v>DELETE</v>
      </c>
    </row>
    <row r="1119" spans="2:18" ht="31.5" customHeight="1" x14ac:dyDescent="0.45">
      <c r="B1119" s="563"/>
      <c r="C1119" s="450"/>
      <c r="D1119" s="449">
        <f>TrialBalanceC!C31</f>
        <v>0</v>
      </c>
      <c r="M1119" s="548">
        <f>-TrialBalanceC!I31</f>
        <v>0</v>
      </c>
      <c r="N1119" s="491"/>
      <c r="O1119" s="548">
        <f>-TrialBalanceC!K31</f>
        <v>0</v>
      </c>
      <c r="P1119" s="634"/>
      <c r="Q1119" s="469"/>
      <c r="R1119" s="512" t="str">
        <f t="shared" si="20"/>
        <v>DELETE</v>
      </c>
    </row>
    <row r="1120" spans="2:18" ht="31.5" customHeight="1" x14ac:dyDescent="0.45">
      <c r="B1120" s="563"/>
      <c r="C1120" s="450"/>
      <c r="D1120" s="449">
        <f>TrialBalanceC!C32</f>
        <v>0</v>
      </c>
      <c r="M1120" s="548">
        <f>-TrialBalanceC!I32</f>
        <v>0</v>
      </c>
      <c r="N1120" s="491"/>
      <c r="O1120" s="548">
        <f>-TrialBalanceC!K32</f>
        <v>0</v>
      </c>
      <c r="P1120" s="634"/>
      <c r="Q1120" s="469"/>
      <c r="R1120" s="512" t="str">
        <f t="shared" si="20"/>
        <v>DELETE</v>
      </c>
    </row>
    <row r="1121" spans="2:18" ht="31.5" customHeight="1" x14ac:dyDescent="0.45">
      <c r="B1121" s="563"/>
      <c r="C1121" s="450"/>
      <c r="D1121" s="449" t="str">
        <f>TrialBalanceC!C33</f>
        <v>Recoupment of depreciation</v>
      </c>
      <c r="M1121" s="548">
        <f>-TrialBalanceC!I33</f>
        <v>0</v>
      </c>
      <c r="N1121" s="491"/>
      <c r="O1121" s="548">
        <f>-TrialBalanceC!K33</f>
        <v>0</v>
      </c>
      <c r="P1121" s="634"/>
      <c r="Q1121" s="469"/>
      <c r="R1121" s="512" t="str">
        <f t="shared" ref="R1121" si="21">IF(M1121+O1121=0,"DELETE"," ")</f>
        <v>DELETE</v>
      </c>
    </row>
    <row r="1122" spans="2:18" ht="9" customHeight="1" x14ac:dyDescent="0.45">
      <c r="B1122" s="563"/>
      <c r="C1122" s="450"/>
      <c r="M1122" s="535"/>
      <c r="N1122" s="473"/>
      <c r="O1122" s="535"/>
      <c r="P1122" s="634"/>
      <c r="Q1122" s="469"/>
      <c r="R1122" s="512" t="str">
        <f>R$1124</f>
        <v>DELETE</v>
      </c>
    </row>
    <row r="1123" spans="2:18" ht="9" customHeight="1" x14ac:dyDescent="0.45">
      <c r="B1123" s="563"/>
      <c r="C1123" s="450"/>
      <c r="M1123" s="548"/>
      <c r="N1123" s="491"/>
      <c r="O1123" s="548"/>
      <c r="P1123" s="634"/>
      <c r="Q1123" s="469"/>
      <c r="R1123" s="512" t="str">
        <f>R$1124</f>
        <v>DELETE</v>
      </c>
    </row>
    <row r="1124" spans="2:18" ht="31.5" customHeight="1" x14ac:dyDescent="0.45">
      <c r="B1124" s="563"/>
      <c r="C1124" s="450"/>
      <c r="M1124" s="548">
        <f>SUM(M1098:M1123)</f>
        <v>0</v>
      </c>
      <c r="N1124" s="491"/>
      <c r="O1124" s="548">
        <f>SUM(O1098:O1123)</f>
        <v>0</v>
      </c>
      <c r="P1124" s="634"/>
      <c r="Q1124" s="469"/>
      <c r="R1124" s="512" t="str">
        <f>IF(M1124+O1124=0,"DELETE"," ")</f>
        <v>DELETE</v>
      </c>
    </row>
    <row r="1125" spans="2:18" ht="9" customHeight="1" thickBot="1" x14ac:dyDescent="0.5">
      <c r="B1125" s="563"/>
      <c r="C1125" s="450"/>
      <c r="M1125" s="536"/>
      <c r="N1125" s="474"/>
      <c r="O1125" s="536"/>
      <c r="P1125" s="634"/>
      <c r="Q1125" s="469"/>
      <c r="R1125" s="512" t="str">
        <f>R$1124</f>
        <v>DELETE</v>
      </c>
    </row>
    <row r="1126" spans="2:18" ht="9" customHeight="1" thickTop="1" x14ac:dyDescent="0.45">
      <c r="B1126" s="563"/>
      <c r="C1126" s="450"/>
      <c r="M1126" s="548"/>
      <c r="N1126" s="491"/>
      <c r="O1126" s="548"/>
      <c r="P1126" s="634"/>
      <c r="Q1126" s="469"/>
      <c r="R1126" s="512" t="str">
        <f>R$1124</f>
        <v>DELETE</v>
      </c>
    </row>
    <row r="1127" spans="2:18" ht="31.5" customHeight="1" x14ac:dyDescent="0.45">
      <c r="B1127" s="563"/>
      <c r="C1127" s="450"/>
      <c r="M1127" s="548"/>
      <c r="N1127" s="491"/>
      <c r="O1127" s="548"/>
      <c r="P1127" s="634"/>
      <c r="Q1127" s="469"/>
      <c r="R1127" s="512" t="str">
        <f>R$1124</f>
        <v>DELETE</v>
      </c>
    </row>
    <row r="1128" spans="2:18" ht="31.5" customHeight="1" x14ac:dyDescent="0.45">
      <c r="B1128" s="563"/>
      <c r="C1128" s="450"/>
      <c r="M1128" s="548"/>
      <c r="N1128" s="491"/>
      <c r="O1128" s="548"/>
      <c r="P1128" s="634"/>
      <c r="Q1128" s="469"/>
      <c r="R1128" s="512" t="str">
        <f t="shared" ref="R1128:R1130" si="22">R$1124</f>
        <v>DELETE</v>
      </c>
    </row>
    <row r="1129" spans="2:18" ht="31.5" customHeight="1" x14ac:dyDescent="0.45">
      <c r="B1129" s="567"/>
      <c r="C1129" s="502"/>
      <c r="D1129" s="461"/>
      <c r="E1129" s="461"/>
      <c r="F1129" s="461"/>
      <c r="G1129" s="461"/>
      <c r="H1129" s="461"/>
      <c r="I1129" s="461"/>
      <c r="J1129" s="461"/>
      <c r="K1129" s="461"/>
      <c r="L1129" s="461"/>
      <c r="M1129" s="630"/>
      <c r="N1129" s="631"/>
      <c r="O1129" s="630"/>
      <c r="P1129" s="631"/>
      <c r="Q1129" s="479"/>
      <c r="R1129" s="512" t="str">
        <f t="shared" si="22"/>
        <v>DELETE</v>
      </c>
    </row>
    <row r="1130" spans="2:18" ht="31.5" customHeight="1" x14ac:dyDescent="0.45">
      <c r="C1130" s="450"/>
      <c r="R1130" s="512" t="str">
        <f t="shared" si="22"/>
        <v>DELETE</v>
      </c>
    </row>
    <row r="1131" spans="2:18" ht="31.5" customHeight="1" x14ac:dyDescent="0.45"/>
    <row r="1132" spans="2:18" ht="31.5" customHeight="1" x14ac:dyDescent="0.45">
      <c r="D1132" s="450" t="str">
        <f>Criteria!E9</f>
        <v>ABC COMPANY (PROPRIETARY) LIMITED</v>
      </c>
      <c r="O1132" s="529" t="s">
        <v>121</v>
      </c>
      <c r="Q1132" s="451">
        <f>MAX($Q$114:Q1131)+1</f>
        <v>26</v>
      </c>
    </row>
    <row r="1133" spans="2:18" ht="31.5" customHeight="1" x14ac:dyDescent="0.45">
      <c r="D1133" s="450" t="str">
        <f>Criteria!E10</f>
        <v>T/A SEAFRONT HOTEL, SEAFRONT RESTAURANT AND RENTAL PROPERTIES</v>
      </c>
      <c r="R1133" s="512" t="str">
        <f>IF(D1133=0,"DELETE"," ")</f>
        <v xml:space="preserve"> </v>
      </c>
    </row>
    <row r="1134" spans="2:18" ht="31.5" customHeight="1" x14ac:dyDescent="0.45"/>
    <row r="1135" spans="2:18" ht="31.5" customHeight="1" x14ac:dyDescent="0.45">
      <c r="D1135" s="450" t="s">
        <v>451</v>
      </c>
    </row>
    <row r="1136" spans="2:18" ht="31.5" customHeight="1" x14ac:dyDescent="0.45">
      <c r="D1136" s="450" t="str">
        <f>Criteria!E20</f>
        <v>29 FEBRUARY 2024</v>
      </c>
      <c r="J1136" s="449" t="s">
        <v>303</v>
      </c>
    </row>
    <row r="1137" spans="2:26" ht="31.5" customHeight="1" x14ac:dyDescent="0.45">
      <c r="D1137" s="450"/>
    </row>
    <row r="1138" spans="2:26" ht="31.5" customHeight="1" x14ac:dyDescent="0.45">
      <c r="B1138" s="465"/>
      <c r="C1138" s="466"/>
      <c r="D1138" s="503"/>
      <c r="E1138" s="466"/>
      <c r="F1138" s="466"/>
      <c r="G1138" s="466"/>
      <c r="H1138" s="466"/>
      <c r="I1138" s="466"/>
      <c r="J1138" s="466"/>
      <c r="K1138" s="466"/>
      <c r="L1138" s="466"/>
      <c r="M1138" s="642"/>
      <c r="N1138" s="643"/>
      <c r="O1138" s="642"/>
      <c r="P1138" s="643"/>
      <c r="Q1138" s="467"/>
    </row>
    <row r="1139" spans="2:26" ht="31.5" customHeight="1" x14ac:dyDescent="0.45">
      <c r="B1139" s="468"/>
      <c r="D1139" s="450"/>
      <c r="M1139" s="549">
        <f>Criteria!E22</f>
        <v>2024</v>
      </c>
      <c r="N1139" s="508"/>
      <c r="O1139" s="549">
        <f>Criteria!E27</f>
        <v>2023</v>
      </c>
      <c r="P1139" s="634"/>
      <c r="Q1139" s="469"/>
    </row>
    <row r="1140" spans="2:26" ht="31.5" customHeight="1" x14ac:dyDescent="0.45">
      <c r="B1140" s="563"/>
      <c r="C1140" s="450"/>
      <c r="M1140" s="548"/>
      <c r="N1140" s="491"/>
      <c r="O1140" s="548"/>
      <c r="P1140" s="634"/>
      <c r="Q1140" s="469"/>
    </row>
    <row r="1141" spans="2:26" ht="31.5" customHeight="1" x14ac:dyDescent="0.45">
      <c r="B1141" s="563">
        <f>MAX(B$802:B1140)+1</f>
        <v>5</v>
      </c>
      <c r="C1141" s="592" t="str">
        <f>IF((Y1141+Z1141)=3,"OPERATING PROFIT/(LOSS)",(IF((Y1141+Z1141=4),"OPERATING PROFIT","OPERATING LOSS")))</f>
        <v>OPERATING PROFIT</v>
      </c>
      <c r="M1141" s="548"/>
      <c r="N1141" s="491"/>
      <c r="O1141" s="548"/>
      <c r="P1141" s="634"/>
      <c r="Q1141" s="469"/>
      <c r="Y1141" s="513">
        <f>IF(SUM(S525:S539)&lt;0,1,IF(SUM(S525:S539)=0,IF(SUM(U525:U539)&lt;0,1,2),2))</f>
        <v>2</v>
      </c>
      <c r="Z1141" s="513">
        <f>IF(SUM(U525:U539)&lt;0,1,IF(SUM(U525:U539)=0,IF(SUM(S525:S539)&lt;0,1,2),2))</f>
        <v>2</v>
      </c>
    </row>
    <row r="1142" spans="2:26" ht="31.5" customHeight="1" x14ac:dyDescent="0.45">
      <c r="B1142" s="563"/>
      <c r="C1142" s="450"/>
      <c r="D1142" s="509" t="str">
        <f>IF((Y1142+Z1142)=3,"The following items have been charged in arriving at the operating profit/(loss):",(IF((Y1142+Z1142=4),"The following items have been charged in arriving at the operating profit:","The following items have been charged in arriving at the operating loss:")))</f>
        <v>The following items have been charged in arriving at the operating profit:</v>
      </c>
      <c r="M1142" s="548"/>
      <c r="N1142" s="491"/>
      <c r="O1142" s="548"/>
      <c r="P1142" s="634"/>
      <c r="Q1142" s="469"/>
      <c r="Y1142" s="513">
        <f>IF(SUM(S525:S539)&lt;0,1,IF(SUM(S525:S539)=0,IF(SUM(U525:U539)&lt;0,1,2),2))</f>
        <v>2</v>
      </c>
      <c r="Z1142" s="513">
        <f>IF(SUM(U525:U539)&lt;0,1,IF(SUM(U525:U539)=0,IF(SUM(S525:S539)&lt;0,1,2),2))</f>
        <v>2</v>
      </c>
    </row>
    <row r="1143" spans="2:26" ht="31.5" customHeight="1" x14ac:dyDescent="0.45">
      <c r="B1143" s="563"/>
      <c r="C1143" s="450"/>
      <c r="M1143" s="548"/>
      <c r="N1143" s="491"/>
      <c r="O1143" s="548"/>
      <c r="P1143" s="634"/>
      <c r="Q1143" s="469"/>
    </row>
    <row r="1144" spans="2:26" ht="31.5" customHeight="1" x14ac:dyDescent="0.45">
      <c r="B1144" s="563"/>
      <c r="C1144" s="587">
        <f>B1141+0.1</f>
        <v>5.0999999999999996</v>
      </c>
      <c r="D1144" s="449" t="str">
        <f>IF(MAX(Criteria!I41:I45)&gt;1,"DIRECTORS' REMUNERATION","DIRECTOR'S REMUNERATION")</f>
        <v>DIRECTORS' REMUNERATION</v>
      </c>
      <c r="M1144" s="548"/>
      <c r="N1144" s="491"/>
      <c r="O1144" s="548"/>
      <c r="P1144" s="634"/>
      <c r="Q1144" s="469"/>
    </row>
    <row r="1145" spans="2:26" ht="31.5" customHeight="1" x14ac:dyDescent="0.45">
      <c r="B1145" s="563"/>
      <c r="C1145" s="584"/>
      <c r="D1145" s="510" t="str">
        <f>TrialBalance!C111</f>
        <v>A Director</v>
      </c>
      <c r="M1145" s="548">
        <f>TrialBalance!L111+TrialBalanceA!I111+TrialBalanceB!I111+TrialBalanceC!I111</f>
        <v>0</v>
      </c>
      <c r="N1145" s="491"/>
      <c r="O1145" s="548">
        <f>TrialBalance!N111+TrialBalanceA!K111+TrialBalanceB!K111+TrialBalanceC!K111</f>
        <v>0</v>
      </c>
      <c r="P1145" s="634"/>
      <c r="Q1145" s="469"/>
      <c r="R1145" s="512" t="str">
        <f>IF(M1145+O1145=0,"DELETE"," ")</f>
        <v>DELETE</v>
      </c>
    </row>
    <row r="1146" spans="2:26" ht="31.5" customHeight="1" x14ac:dyDescent="0.45">
      <c r="B1146" s="563"/>
      <c r="C1146" s="584"/>
      <c r="D1146" s="510" t="str">
        <f>TrialBalance!C112</f>
        <v>C Director</v>
      </c>
      <c r="M1146" s="548">
        <f>TrialBalance!L112+TrialBalanceA!I112+TrialBalanceB!I112+TrialBalanceC!I112</f>
        <v>0</v>
      </c>
      <c r="N1146" s="491"/>
      <c r="O1146" s="548">
        <f>TrialBalance!N112+TrialBalanceA!K112+TrialBalanceB!K112+TrialBalanceC!K112</f>
        <v>0</v>
      </c>
      <c r="P1146" s="634"/>
      <c r="Q1146" s="469"/>
      <c r="R1146" s="512" t="str">
        <f>IF(M1146+O1146=0,"DELETE"," ")</f>
        <v>DELETE</v>
      </c>
    </row>
    <row r="1147" spans="2:26" ht="31.5" customHeight="1" x14ac:dyDescent="0.45">
      <c r="B1147" s="563"/>
      <c r="C1147" s="584"/>
      <c r="D1147" s="510">
        <f>TrialBalance!C113</f>
        <v>0</v>
      </c>
      <c r="M1147" s="548">
        <f>TrialBalance!L113+TrialBalanceA!I113+TrialBalanceB!I113+TrialBalanceC!I113</f>
        <v>0</v>
      </c>
      <c r="N1147" s="491"/>
      <c r="O1147" s="548">
        <f>TrialBalance!N113+TrialBalanceA!K113+TrialBalanceB!K113+TrialBalanceC!K113</f>
        <v>0</v>
      </c>
      <c r="P1147" s="634"/>
      <c r="Q1147" s="469"/>
      <c r="R1147" s="512" t="str">
        <f>IF(M1147+O1147=0,"DELETE"," ")</f>
        <v>DELETE</v>
      </c>
    </row>
    <row r="1148" spans="2:26" ht="31.5" customHeight="1" x14ac:dyDescent="0.45">
      <c r="B1148" s="563"/>
      <c r="C1148" s="584"/>
      <c r="D1148" s="510">
        <f>TrialBalance!C114</f>
        <v>0</v>
      </c>
      <c r="M1148" s="548">
        <f>TrialBalance!L114+TrialBalanceA!I114+TrialBalanceB!I114+TrialBalanceC!I114</f>
        <v>0</v>
      </c>
      <c r="N1148" s="491"/>
      <c r="O1148" s="548">
        <f>TrialBalance!N114+TrialBalanceA!K114+TrialBalanceB!K114+TrialBalanceC!K114</f>
        <v>0</v>
      </c>
      <c r="P1148" s="634"/>
      <c r="Q1148" s="469"/>
      <c r="R1148" s="512" t="str">
        <f>IF(M1148+O1148=0,"DELETE"," ")</f>
        <v>DELETE</v>
      </c>
    </row>
    <row r="1149" spans="2:26" ht="31.5" customHeight="1" x14ac:dyDescent="0.45">
      <c r="B1149" s="563"/>
      <c r="C1149" s="584"/>
      <c r="D1149" s="510">
        <f>TrialBalance!C115</f>
        <v>0</v>
      </c>
      <c r="M1149" s="548">
        <f>TrialBalance!L115+TrialBalanceA!I115+TrialBalanceB!I115+TrialBalanceC!I115</f>
        <v>0</v>
      </c>
      <c r="N1149" s="491"/>
      <c r="O1149" s="548">
        <f>TrialBalance!N115+TrialBalanceA!K115+TrialBalanceB!K115+TrialBalanceC!K115</f>
        <v>0</v>
      </c>
      <c r="P1149" s="634"/>
      <c r="Q1149" s="469"/>
      <c r="R1149" s="512" t="str">
        <f>IF(M1149+O1149=0,"DELETE"," ")</f>
        <v>DELETE</v>
      </c>
    </row>
    <row r="1150" spans="2:26" ht="9" customHeight="1" x14ac:dyDescent="0.45">
      <c r="B1150" s="563"/>
      <c r="C1150" s="584"/>
      <c r="M1150" s="535"/>
      <c r="N1150" s="473"/>
      <c r="O1150" s="535"/>
      <c r="P1150" s="634"/>
      <c r="Q1150" s="469"/>
      <c r="R1150" s="512" t="str">
        <f>R1152</f>
        <v>DELETE</v>
      </c>
    </row>
    <row r="1151" spans="2:26" ht="9" customHeight="1" x14ac:dyDescent="0.45">
      <c r="B1151" s="563"/>
      <c r="C1151" s="584"/>
      <c r="M1151" s="548"/>
      <c r="N1151" s="491"/>
      <c r="O1151" s="548"/>
      <c r="P1151" s="634"/>
      <c r="Q1151" s="469"/>
      <c r="R1151" s="512" t="str">
        <f>R1152</f>
        <v>DELETE</v>
      </c>
    </row>
    <row r="1152" spans="2:26" ht="31.5" customHeight="1" x14ac:dyDescent="0.45">
      <c r="B1152" s="563"/>
      <c r="C1152" s="584"/>
      <c r="M1152" s="548">
        <f>SUM(M1145:M1151)</f>
        <v>0</v>
      </c>
      <c r="N1152" s="491"/>
      <c r="O1152" s="548">
        <f>SUM(O1145:O1151)</f>
        <v>0</v>
      </c>
      <c r="P1152" s="634"/>
      <c r="Q1152" s="469"/>
      <c r="R1152" s="512" t="str">
        <f>IF(M1152+O1152=0,"DELETE"," ")</f>
        <v>DELETE</v>
      </c>
      <c r="V1152" s="513" t="b">
        <f>M1152=SUM(TrialBalance!L111:L115)+SUM(TrialBalanceA!I111:I115)+SUM(TrialBalanceB!I111:I115)+SUM(TrialBalanceC!I111:I115)</f>
        <v>1</v>
      </c>
      <c r="X1152" s="513" t="b">
        <f>O1152=SUM(TrialBalance!N111:N115)+SUM(TrialBalanceA!K111:K115)+SUM(TrialBalanceB!K111:K115)+SUM(TrialBalanceC!K111:K115)</f>
        <v>1</v>
      </c>
    </row>
    <row r="1153" spans="2:18" ht="9" customHeight="1" thickBot="1" x14ac:dyDescent="0.5">
      <c r="B1153" s="563"/>
      <c r="C1153" s="584"/>
      <c r="M1153" s="536"/>
      <c r="N1153" s="474"/>
      <c r="O1153" s="536"/>
      <c r="P1153" s="634"/>
      <c r="Q1153" s="469"/>
      <c r="R1153" s="512" t="str">
        <f>R1152</f>
        <v>DELETE</v>
      </c>
    </row>
    <row r="1154" spans="2:18" ht="9" customHeight="1" thickTop="1" x14ac:dyDescent="0.45">
      <c r="B1154" s="563"/>
      <c r="C1154" s="584"/>
      <c r="M1154" s="548"/>
      <c r="N1154" s="491"/>
      <c r="O1154" s="548"/>
      <c r="P1154" s="634"/>
      <c r="Q1154" s="469"/>
      <c r="R1154" s="512" t="str">
        <f>R1153</f>
        <v>DELETE</v>
      </c>
    </row>
    <row r="1155" spans="2:18" ht="31.5" customHeight="1" x14ac:dyDescent="0.45">
      <c r="B1155" s="563"/>
      <c r="C1155" s="584"/>
      <c r="M1155" s="548"/>
      <c r="N1155" s="491"/>
      <c r="O1155" s="548"/>
      <c r="P1155" s="634"/>
      <c r="Q1155" s="469"/>
      <c r="R1155" s="512" t="str">
        <f>R1152</f>
        <v>DELETE</v>
      </c>
    </row>
    <row r="1156" spans="2:18" ht="31.5" customHeight="1" x14ac:dyDescent="0.45">
      <c r="B1156" s="563"/>
      <c r="C1156" s="584"/>
      <c r="D1156" s="449" t="str">
        <f>IF(SUM(TrialBalance!L111:L115)+SUM(TrialBalance!N111:N115)+SUM(TrialBalanceA!I111:I115)+SUM(TrialBalanceA!K111:K115)+SUM(TrialBalanceB!I111:I115)+SUM(TrialBalanceB!K111:K115)+SUM(TrialBalanceC!I111:I115)+SUM(TrialBalanceC!K111:K115)&gt;0," ",IF(MAX(Criteria!I41:I45)&gt;1,"No remuneration was paid to the directors during the periods under review.","No remuneration was paid to the director during the periods under review."))</f>
        <v>No remuneration was paid to the directors during the periods under review.</v>
      </c>
      <c r="M1156" s="548"/>
      <c r="N1156" s="491"/>
      <c r="O1156" s="548"/>
      <c r="P1156" s="634"/>
      <c r="Q1156" s="469"/>
      <c r="R1156" s="512" t="str">
        <f>IF(D1156=" ","DELETE"," ")</f>
        <v xml:space="preserve"> </v>
      </c>
    </row>
    <row r="1157" spans="2:18" ht="31.5" customHeight="1" x14ac:dyDescent="0.45">
      <c r="B1157" s="563"/>
      <c r="C1157" s="584"/>
      <c r="M1157" s="548"/>
      <c r="N1157" s="491"/>
      <c r="O1157" s="548"/>
      <c r="P1157" s="634"/>
      <c r="Q1157" s="469"/>
    </row>
    <row r="1158" spans="2:18" ht="31.5" customHeight="1" x14ac:dyDescent="0.45">
      <c r="B1158" s="563"/>
      <c r="C1158" s="584"/>
      <c r="M1158" s="548"/>
      <c r="N1158" s="491"/>
      <c r="O1158" s="548"/>
      <c r="P1158" s="634"/>
      <c r="Q1158" s="469"/>
    </row>
    <row r="1159" spans="2:18" ht="31.5" customHeight="1" x14ac:dyDescent="0.45">
      <c r="B1159" s="564"/>
      <c r="C1159" s="585"/>
      <c r="D1159" s="461"/>
      <c r="E1159" s="461"/>
      <c r="F1159" s="461"/>
      <c r="G1159" s="461"/>
      <c r="H1159" s="461"/>
      <c r="I1159" s="461"/>
      <c r="J1159" s="461"/>
      <c r="K1159" s="461"/>
      <c r="L1159" s="461"/>
      <c r="M1159" s="535"/>
      <c r="N1159" s="473"/>
      <c r="O1159" s="535"/>
      <c r="P1159" s="631"/>
      <c r="Q1159" s="479"/>
    </row>
    <row r="1160" spans="2:18" ht="31.5" customHeight="1" x14ac:dyDescent="0.45">
      <c r="B1160" s="526"/>
      <c r="C1160" s="584"/>
      <c r="M1160" s="531"/>
      <c r="N1160" s="470"/>
      <c r="O1160" s="531"/>
    </row>
    <row r="1161" spans="2:18" ht="31.5" customHeight="1" x14ac:dyDescent="0.45">
      <c r="B1161" s="526"/>
      <c r="C1161" s="584"/>
      <c r="M1161" s="531"/>
      <c r="N1161" s="470"/>
      <c r="O1161" s="531"/>
      <c r="R1161" s="512" t="str">
        <f>R$1186</f>
        <v>DELETE</v>
      </c>
    </row>
    <row r="1162" spans="2:18" ht="31.5" customHeight="1" x14ac:dyDescent="0.45">
      <c r="B1162" s="527"/>
      <c r="C1162" s="583"/>
      <c r="D1162" s="450" t="str">
        <f>Criteria!E9</f>
        <v>ABC COMPANY (PROPRIETARY) LIMITED</v>
      </c>
      <c r="M1162" s="635"/>
      <c r="N1162" s="621"/>
      <c r="O1162" s="531" t="s">
        <v>121</v>
      </c>
      <c r="Q1162" s="451">
        <f>MAX($Q$114:Q1161)+1</f>
        <v>27</v>
      </c>
      <c r="R1162" s="512" t="str">
        <f>R$1186</f>
        <v>DELETE</v>
      </c>
    </row>
    <row r="1163" spans="2:18" ht="31.5" customHeight="1" x14ac:dyDescent="0.45">
      <c r="B1163" s="527"/>
      <c r="C1163" s="583"/>
      <c r="D1163" s="450" t="str">
        <f>Criteria!E10</f>
        <v>T/A SEAFRONT HOTEL, SEAFRONT RESTAURANT AND RENTAL PROPERTIES</v>
      </c>
      <c r="M1163" s="635"/>
      <c r="N1163" s="621"/>
      <c r="O1163" s="635"/>
      <c r="R1163" s="512" t="str">
        <f>IF(R$1186="DELETE","DELETE",IF(D1163=0,"DELETE"," "))</f>
        <v>DELETE</v>
      </c>
    </row>
    <row r="1164" spans="2:18" ht="31.5" customHeight="1" x14ac:dyDescent="0.45">
      <c r="B1164" s="527"/>
      <c r="C1164" s="583"/>
      <c r="M1164" s="635"/>
      <c r="N1164" s="621"/>
      <c r="O1164" s="635"/>
      <c r="R1164" s="512" t="str">
        <f t="shared" ref="R1164:R1171" si="23">R$1186</f>
        <v>DELETE</v>
      </c>
    </row>
    <row r="1165" spans="2:18" ht="31.5" customHeight="1" x14ac:dyDescent="0.45">
      <c r="B1165" s="527"/>
      <c r="C1165" s="583"/>
      <c r="D1165" s="450" t="s">
        <v>451</v>
      </c>
      <c r="M1165" s="635"/>
      <c r="N1165" s="621"/>
      <c r="O1165" s="635"/>
      <c r="R1165" s="512" t="str">
        <f t="shared" si="23"/>
        <v>DELETE</v>
      </c>
    </row>
    <row r="1166" spans="2:18" ht="31.5" customHeight="1" x14ac:dyDescent="0.45">
      <c r="B1166" s="527"/>
      <c r="C1166" s="583"/>
      <c r="D1166" s="450" t="str">
        <f>Criteria!E20</f>
        <v>29 FEBRUARY 2024</v>
      </c>
      <c r="J1166" s="449" t="s">
        <v>303</v>
      </c>
      <c r="M1166" s="635"/>
      <c r="N1166" s="621"/>
      <c r="O1166" s="635"/>
      <c r="R1166" s="512" t="str">
        <f t="shared" si="23"/>
        <v>DELETE</v>
      </c>
    </row>
    <row r="1167" spans="2:18" ht="31.5" customHeight="1" x14ac:dyDescent="0.45">
      <c r="B1167" s="527"/>
      <c r="C1167" s="583"/>
      <c r="D1167" s="450"/>
      <c r="M1167" s="635"/>
      <c r="N1167" s="621"/>
      <c r="O1167" s="635"/>
      <c r="R1167" s="512" t="str">
        <f t="shared" si="23"/>
        <v>DELETE</v>
      </c>
    </row>
    <row r="1168" spans="2:18" ht="31.5" customHeight="1" x14ac:dyDescent="0.45">
      <c r="B1168" s="565"/>
      <c r="C1168" s="586"/>
      <c r="D1168" s="466"/>
      <c r="E1168" s="466"/>
      <c r="F1168" s="466"/>
      <c r="G1168" s="466"/>
      <c r="H1168" s="466"/>
      <c r="I1168" s="466"/>
      <c r="J1168" s="466"/>
      <c r="K1168" s="466"/>
      <c r="L1168" s="466"/>
      <c r="M1168" s="546"/>
      <c r="N1168" s="471"/>
      <c r="O1168" s="546"/>
      <c r="P1168" s="643"/>
      <c r="Q1168" s="467"/>
      <c r="R1168" s="512" t="str">
        <f t="shared" si="23"/>
        <v>DELETE</v>
      </c>
    </row>
    <row r="1169" spans="2:18" ht="31.5" customHeight="1" x14ac:dyDescent="0.45">
      <c r="B1169" s="563"/>
      <c r="C1169" s="584"/>
      <c r="M1169" s="525">
        <f>Criteria!E22</f>
        <v>2024</v>
      </c>
      <c r="N1169" s="458"/>
      <c r="O1169" s="525">
        <f>Criteria!E27</f>
        <v>2023</v>
      </c>
      <c r="Q1169" s="469"/>
      <c r="R1169" s="512" t="str">
        <f t="shared" si="23"/>
        <v>DELETE</v>
      </c>
    </row>
    <row r="1170" spans="2:18" ht="31.5" customHeight="1" x14ac:dyDescent="0.45">
      <c r="B1170" s="563"/>
      <c r="C1170" s="584"/>
      <c r="M1170" s="531"/>
      <c r="N1170" s="470"/>
      <c r="O1170" s="531"/>
      <c r="Q1170" s="469"/>
      <c r="R1170" s="512" t="str">
        <f t="shared" si="23"/>
        <v>DELETE</v>
      </c>
    </row>
    <row r="1171" spans="2:18" ht="31.5" customHeight="1" x14ac:dyDescent="0.45">
      <c r="B1171" s="563"/>
      <c r="C1171" s="587">
        <f>MAX(C1142:C1170)+0.1</f>
        <v>5.1999999999999993</v>
      </c>
      <c r="D1171" s="449" t="s">
        <v>322</v>
      </c>
      <c r="M1171" s="531"/>
      <c r="N1171" s="470"/>
      <c r="O1171" s="531"/>
      <c r="Q1171" s="469"/>
      <c r="R1171" s="512" t="str">
        <f t="shared" si="23"/>
        <v>DELETE</v>
      </c>
    </row>
    <row r="1172" spans="2:18" ht="31.5" customHeight="1" x14ac:dyDescent="0.45">
      <c r="B1172" s="563"/>
      <c r="C1172" s="587"/>
      <c r="D1172" s="449" t="str">
        <f>TrialBalance!C61</f>
        <v>Premises</v>
      </c>
      <c r="M1172" s="531">
        <f>TrialBalance!L61</f>
        <v>0</v>
      </c>
      <c r="N1172" s="470"/>
      <c r="O1172" s="531">
        <f>TrialBalance!N61</f>
        <v>0</v>
      </c>
      <c r="Q1172" s="469"/>
      <c r="R1172" s="512" t="str">
        <f>IF(M1172+O1172=0,"DELETE"," ")</f>
        <v>DELETE</v>
      </c>
    </row>
    <row r="1173" spans="2:18" ht="31.5" customHeight="1" x14ac:dyDescent="0.45">
      <c r="B1173" s="563"/>
      <c r="C1173" s="587"/>
      <c r="D1173" s="449">
        <f>TrialBalance!C62</f>
        <v>0</v>
      </c>
      <c r="M1173" s="531">
        <f>TrialBalance!L62</f>
        <v>0</v>
      </c>
      <c r="N1173" s="470"/>
      <c r="O1173" s="531">
        <f>TrialBalance!N62</f>
        <v>0</v>
      </c>
      <c r="Q1173" s="469"/>
      <c r="R1173" s="512" t="str">
        <f>IF(M1173+O1173=0,"DELETE"," ")</f>
        <v>DELETE</v>
      </c>
    </row>
    <row r="1174" spans="2:18" ht="31.5" customHeight="1" x14ac:dyDescent="0.45">
      <c r="B1174" s="563"/>
      <c r="C1174" s="587"/>
      <c r="D1174" s="449">
        <f>TrialBalance!C63</f>
        <v>0</v>
      </c>
      <c r="M1174" s="531">
        <f>TrialBalance!L63</f>
        <v>0</v>
      </c>
      <c r="N1174" s="470"/>
      <c r="O1174" s="531">
        <f>TrialBalance!N63</f>
        <v>0</v>
      </c>
      <c r="Q1174" s="469"/>
      <c r="R1174" s="512" t="str">
        <f>IF(M1174+O1174=0,"DELETE"," ")</f>
        <v>DELETE</v>
      </c>
    </row>
    <row r="1175" spans="2:18" ht="31.5" customHeight="1" x14ac:dyDescent="0.45">
      <c r="B1175" s="563"/>
      <c r="C1175" s="587"/>
      <c r="D1175" s="449">
        <f>TrialBalanceA!C61</f>
        <v>0</v>
      </c>
      <c r="M1175" s="531">
        <f>TrialBalanceA!I61</f>
        <v>0</v>
      </c>
      <c r="N1175" s="470"/>
      <c r="O1175" s="531">
        <f>TrialBalanceA!K61</f>
        <v>0</v>
      </c>
      <c r="Q1175" s="469"/>
      <c r="R1175" s="512" t="str">
        <f t="shared" ref="R1175:R1178" si="24">IF(M1175+O1175=0,"DELETE"," ")</f>
        <v>DELETE</v>
      </c>
    </row>
    <row r="1176" spans="2:18" ht="31.5" customHeight="1" x14ac:dyDescent="0.45">
      <c r="B1176" s="563"/>
      <c r="C1176" s="587"/>
      <c r="D1176" s="449">
        <f>TrialBalanceA!C62</f>
        <v>0</v>
      </c>
      <c r="M1176" s="531">
        <f>TrialBalanceA!I62</f>
        <v>0</v>
      </c>
      <c r="N1176" s="470"/>
      <c r="O1176" s="531">
        <f>TrialBalanceA!K62</f>
        <v>0</v>
      </c>
      <c r="Q1176" s="469"/>
      <c r="R1176" s="512" t="str">
        <f t="shared" si="24"/>
        <v>DELETE</v>
      </c>
    </row>
    <row r="1177" spans="2:18" ht="31.5" customHeight="1" x14ac:dyDescent="0.45">
      <c r="B1177" s="563"/>
      <c r="C1177" s="587"/>
      <c r="D1177" s="449">
        <f>TrialBalanceA!C63</f>
        <v>0</v>
      </c>
      <c r="M1177" s="531">
        <f>TrialBalanceA!I63</f>
        <v>0</v>
      </c>
      <c r="N1177" s="470"/>
      <c r="O1177" s="531">
        <f>TrialBalanceA!K63</f>
        <v>0</v>
      </c>
      <c r="Q1177" s="469"/>
      <c r="R1177" s="512" t="str">
        <f t="shared" si="24"/>
        <v>DELETE</v>
      </c>
    </row>
    <row r="1178" spans="2:18" ht="31.5" customHeight="1" x14ac:dyDescent="0.45">
      <c r="B1178" s="563"/>
      <c r="C1178" s="587"/>
      <c r="D1178" s="449">
        <f>TrialBalanceB!C61</f>
        <v>0</v>
      </c>
      <c r="M1178" s="531">
        <f>TrialBalanceB!I61</f>
        <v>0</v>
      </c>
      <c r="N1178" s="470"/>
      <c r="O1178" s="531">
        <f>TrialBalanceB!K61</f>
        <v>0</v>
      </c>
      <c r="Q1178" s="469"/>
      <c r="R1178" s="512" t="str">
        <f t="shared" si="24"/>
        <v>DELETE</v>
      </c>
    </row>
    <row r="1179" spans="2:18" ht="31.5" customHeight="1" x14ac:dyDescent="0.45">
      <c r="B1179" s="563"/>
      <c r="C1179" s="587"/>
      <c r="D1179" s="449">
        <f>TrialBalanceB!C62</f>
        <v>0</v>
      </c>
      <c r="M1179" s="531">
        <f>TrialBalanceB!I62</f>
        <v>0</v>
      </c>
      <c r="N1179" s="470"/>
      <c r="O1179" s="531">
        <f>TrialBalanceB!K62</f>
        <v>0</v>
      </c>
      <c r="Q1179" s="469"/>
      <c r="R1179" s="512" t="str">
        <f t="shared" ref="R1179:R1181" si="25">IF(M1179+O1179=0,"DELETE"," ")</f>
        <v>DELETE</v>
      </c>
    </row>
    <row r="1180" spans="2:18" ht="31.5" customHeight="1" x14ac:dyDescent="0.45">
      <c r="B1180" s="563"/>
      <c r="C1180" s="587"/>
      <c r="D1180" s="449">
        <f>TrialBalanceB!C63</f>
        <v>0</v>
      </c>
      <c r="M1180" s="531">
        <f>TrialBalanceB!I63</f>
        <v>0</v>
      </c>
      <c r="N1180" s="470"/>
      <c r="O1180" s="531">
        <f>TrialBalanceB!K63</f>
        <v>0</v>
      </c>
      <c r="Q1180" s="469"/>
      <c r="R1180" s="512" t="str">
        <f t="shared" si="25"/>
        <v>DELETE</v>
      </c>
    </row>
    <row r="1181" spans="2:18" ht="31.5" customHeight="1" x14ac:dyDescent="0.45">
      <c r="B1181" s="563"/>
      <c r="C1181" s="587"/>
      <c r="D1181" s="449">
        <f>TrialBalanceC!C61</f>
        <v>0</v>
      </c>
      <c r="M1181" s="531">
        <f>TrialBalanceC!I61</f>
        <v>0</v>
      </c>
      <c r="N1181" s="470"/>
      <c r="O1181" s="531">
        <f>TrialBalanceC!K61</f>
        <v>0</v>
      </c>
      <c r="Q1181" s="469"/>
      <c r="R1181" s="512" t="str">
        <f t="shared" si="25"/>
        <v>DELETE</v>
      </c>
    </row>
    <row r="1182" spans="2:18" ht="31.5" customHeight="1" x14ac:dyDescent="0.45">
      <c r="B1182" s="563"/>
      <c r="C1182" s="587"/>
      <c r="D1182" s="449">
        <f>TrialBalanceC!C62</f>
        <v>0</v>
      </c>
      <c r="M1182" s="531">
        <f>TrialBalanceC!I62</f>
        <v>0</v>
      </c>
      <c r="N1182" s="470"/>
      <c r="O1182" s="531">
        <f>TrialBalanceC!K62</f>
        <v>0</v>
      </c>
      <c r="Q1182" s="469"/>
      <c r="R1182" s="512" t="str">
        <f t="shared" ref="R1182:R1183" si="26">IF(M1182+O1182=0,"DELETE"," ")</f>
        <v>DELETE</v>
      </c>
    </row>
    <row r="1183" spans="2:18" ht="31.5" customHeight="1" x14ac:dyDescent="0.45">
      <c r="B1183" s="563"/>
      <c r="C1183" s="587"/>
      <c r="D1183" s="449">
        <f>TrialBalanceC!C63</f>
        <v>0</v>
      </c>
      <c r="M1183" s="531">
        <f>TrialBalanceC!I63</f>
        <v>0</v>
      </c>
      <c r="N1183" s="470"/>
      <c r="O1183" s="531">
        <f>TrialBalanceC!K63</f>
        <v>0</v>
      </c>
      <c r="Q1183" s="469"/>
      <c r="R1183" s="512" t="str">
        <f t="shared" si="26"/>
        <v>DELETE</v>
      </c>
    </row>
    <row r="1184" spans="2:18" ht="9" customHeight="1" x14ac:dyDescent="0.45">
      <c r="B1184" s="563"/>
      <c r="C1184" s="587"/>
      <c r="M1184" s="535"/>
      <c r="N1184" s="473"/>
      <c r="O1184" s="535"/>
      <c r="Q1184" s="469"/>
      <c r="R1184" s="512" t="str">
        <f>R$1186</f>
        <v>DELETE</v>
      </c>
    </row>
    <row r="1185" spans="2:24" ht="9" customHeight="1" x14ac:dyDescent="0.45">
      <c r="B1185" s="563"/>
      <c r="C1185" s="587"/>
      <c r="M1185" s="531"/>
      <c r="N1185" s="470"/>
      <c r="O1185" s="531"/>
      <c r="Q1185" s="469"/>
      <c r="R1185" s="512" t="str">
        <f>R$1186</f>
        <v>DELETE</v>
      </c>
    </row>
    <row r="1186" spans="2:24" ht="31.5" customHeight="1" x14ac:dyDescent="0.45">
      <c r="B1186" s="563"/>
      <c r="C1186" s="587"/>
      <c r="M1186" s="531">
        <f>SUM(M1172:M1185)</f>
        <v>0</v>
      </c>
      <c r="N1186" s="470"/>
      <c r="O1186" s="531">
        <f>SUM(O1172:O1185)</f>
        <v>0</v>
      </c>
      <c r="Q1186" s="469"/>
      <c r="R1186" s="512" t="str">
        <f>IF(M1186+O1186=0,"DELETE"," ")</f>
        <v>DELETE</v>
      </c>
      <c r="V1186" s="513" t="b">
        <f>M1186=SUM(TrialBalance!L61:L63)+SUM(TrialBalanceA!I61:I63)+SUM(TrialBalanceB!I61:I63)+SUM(TrialBalanceC!I61:I63)</f>
        <v>1</v>
      </c>
      <c r="X1186" s="513" t="b">
        <f>O1186=SUM(TrialBalance!N61:N63)+SUM(TrialBalanceA!K61:K63)+SUM(TrialBalanceB!K61:K63)+SUM(TrialBalanceC!K61:K63)</f>
        <v>1</v>
      </c>
    </row>
    <row r="1187" spans="2:24" ht="9" customHeight="1" thickBot="1" x14ac:dyDescent="0.5">
      <c r="B1187" s="563"/>
      <c r="C1187" s="587"/>
      <c r="M1187" s="536"/>
      <c r="N1187" s="474"/>
      <c r="O1187" s="536"/>
      <c r="Q1187" s="469"/>
      <c r="R1187" s="512" t="str">
        <f t="shared" ref="R1187:R1192" si="27">R$1186</f>
        <v>DELETE</v>
      </c>
    </row>
    <row r="1188" spans="2:24" ht="9" customHeight="1" thickTop="1" x14ac:dyDescent="0.45">
      <c r="B1188" s="563"/>
      <c r="C1188" s="587"/>
      <c r="M1188" s="548"/>
      <c r="N1188" s="491"/>
      <c r="O1188" s="548"/>
      <c r="Q1188" s="469"/>
      <c r="R1188" s="512" t="str">
        <f t="shared" si="27"/>
        <v>DELETE</v>
      </c>
    </row>
    <row r="1189" spans="2:24" ht="31.5" customHeight="1" x14ac:dyDescent="0.45">
      <c r="B1189" s="563"/>
      <c r="C1189" s="587"/>
      <c r="M1189" s="531"/>
      <c r="N1189" s="470"/>
      <c r="O1189" s="531"/>
      <c r="Q1189" s="469"/>
      <c r="R1189" s="512" t="str">
        <f t="shared" si="27"/>
        <v>DELETE</v>
      </c>
    </row>
    <row r="1190" spans="2:24" ht="31.5" customHeight="1" x14ac:dyDescent="0.45">
      <c r="B1190" s="563"/>
      <c r="C1190" s="587"/>
      <c r="M1190" s="531"/>
      <c r="N1190" s="470"/>
      <c r="O1190" s="531"/>
      <c r="Q1190" s="469"/>
      <c r="R1190" s="512" t="str">
        <f t="shared" si="27"/>
        <v>DELETE</v>
      </c>
    </row>
    <row r="1191" spans="2:24" ht="31.5" customHeight="1" x14ac:dyDescent="0.45">
      <c r="B1191" s="564"/>
      <c r="C1191" s="588"/>
      <c r="D1191" s="461"/>
      <c r="E1191" s="461"/>
      <c r="F1191" s="461"/>
      <c r="G1191" s="461"/>
      <c r="H1191" s="461"/>
      <c r="I1191" s="461"/>
      <c r="J1191" s="461"/>
      <c r="K1191" s="461"/>
      <c r="L1191" s="461"/>
      <c r="M1191" s="535"/>
      <c r="N1191" s="473"/>
      <c r="O1191" s="535"/>
      <c r="P1191" s="631"/>
      <c r="Q1191" s="479"/>
      <c r="R1191" s="512" t="str">
        <f t="shared" si="27"/>
        <v>DELETE</v>
      </c>
    </row>
    <row r="1192" spans="2:24" ht="31.5" customHeight="1" x14ac:dyDescent="0.45">
      <c r="B1192" s="526"/>
      <c r="C1192" s="587"/>
      <c r="M1192" s="531"/>
      <c r="N1192" s="470"/>
      <c r="O1192" s="531"/>
      <c r="R1192" s="512" t="str">
        <f t="shared" si="27"/>
        <v>DELETE</v>
      </c>
    </row>
    <row r="1193" spans="2:24" ht="31.5" customHeight="1" x14ac:dyDescent="0.45">
      <c r="B1193" s="526"/>
      <c r="C1193" s="587"/>
      <c r="M1193" s="531"/>
      <c r="N1193" s="470"/>
      <c r="O1193" s="531"/>
      <c r="R1193" s="512" t="str">
        <f>R$1211</f>
        <v>DELETE</v>
      </c>
    </row>
    <row r="1194" spans="2:24" ht="31.5" customHeight="1" x14ac:dyDescent="0.45">
      <c r="B1194" s="527"/>
      <c r="C1194" s="583"/>
      <c r="D1194" s="450" t="str">
        <f>Criteria!E9</f>
        <v>ABC COMPANY (PROPRIETARY) LIMITED</v>
      </c>
      <c r="M1194" s="635"/>
      <c r="N1194" s="621"/>
      <c r="O1194" s="531" t="s">
        <v>121</v>
      </c>
      <c r="Q1194" s="451">
        <f>MAX($Q$114:Q1193)+1</f>
        <v>28</v>
      </c>
      <c r="R1194" s="512" t="str">
        <f>R$1211</f>
        <v>DELETE</v>
      </c>
    </row>
    <row r="1195" spans="2:24" ht="31.5" customHeight="1" x14ac:dyDescent="0.45">
      <c r="B1195" s="527"/>
      <c r="C1195" s="583"/>
      <c r="D1195" s="450" t="str">
        <f>Criteria!E10</f>
        <v>T/A SEAFRONT HOTEL, SEAFRONT RESTAURANT AND RENTAL PROPERTIES</v>
      </c>
      <c r="M1195" s="635"/>
      <c r="N1195" s="621"/>
      <c r="O1195" s="635"/>
      <c r="R1195" s="512" t="str">
        <f>IF(R$1211="DELETE","DELETE",IF(D1195=0,"DELETE"," "))</f>
        <v>DELETE</v>
      </c>
    </row>
    <row r="1196" spans="2:24" ht="31.5" customHeight="1" x14ac:dyDescent="0.45">
      <c r="B1196" s="527"/>
      <c r="C1196" s="583"/>
      <c r="M1196" s="635"/>
      <c r="N1196" s="621"/>
      <c r="O1196" s="635"/>
      <c r="R1196" s="512" t="str">
        <f t="shared" ref="R1196:R1203" si="28">R$1211</f>
        <v>DELETE</v>
      </c>
    </row>
    <row r="1197" spans="2:24" ht="31.5" customHeight="1" x14ac:dyDescent="0.45">
      <c r="B1197" s="527"/>
      <c r="C1197" s="583"/>
      <c r="D1197" s="450" t="s">
        <v>451</v>
      </c>
      <c r="M1197" s="635"/>
      <c r="N1197" s="621"/>
      <c r="O1197" s="635"/>
      <c r="R1197" s="512" t="str">
        <f t="shared" si="28"/>
        <v>DELETE</v>
      </c>
    </row>
    <row r="1198" spans="2:24" ht="31.5" customHeight="1" x14ac:dyDescent="0.45">
      <c r="B1198" s="527"/>
      <c r="C1198" s="583"/>
      <c r="D1198" s="450" t="str">
        <f>Criteria!E20</f>
        <v>29 FEBRUARY 2024</v>
      </c>
      <c r="J1198" s="449" t="s">
        <v>303</v>
      </c>
      <c r="M1198" s="635"/>
      <c r="N1198" s="621"/>
      <c r="O1198" s="635"/>
      <c r="R1198" s="512" t="str">
        <f t="shared" si="28"/>
        <v>DELETE</v>
      </c>
    </row>
    <row r="1199" spans="2:24" ht="31.5" customHeight="1" x14ac:dyDescent="0.45">
      <c r="B1199" s="527"/>
      <c r="C1199" s="583"/>
      <c r="D1199" s="450"/>
      <c r="M1199" s="635"/>
      <c r="N1199" s="621"/>
      <c r="O1199" s="635"/>
      <c r="R1199" s="512" t="str">
        <f t="shared" si="28"/>
        <v>DELETE</v>
      </c>
    </row>
    <row r="1200" spans="2:24" ht="31.5" customHeight="1" x14ac:dyDescent="0.45">
      <c r="B1200" s="565"/>
      <c r="C1200" s="589"/>
      <c r="D1200" s="466"/>
      <c r="E1200" s="466"/>
      <c r="F1200" s="466"/>
      <c r="G1200" s="466"/>
      <c r="H1200" s="466"/>
      <c r="I1200" s="466"/>
      <c r="J1200" s="466"/>
      <c r="K1200" s="466"/>
      <c r="L1200" s="466"/>
      <c r="M1200" s="546"/>
      <c r="N1200" s="471"/>
      <c r="O1200" s="546"/>
      <c r="P1200" s="643"/>
      <c r="Q1200" s="467"/>
      <c r="R1200" s="512" t="str">
        <f t="shared" si="28"/>
        <v>DELETE</v>
      </c>
    </row>
    <row r="1201" spans="2:24" ht="31.5" customHeight="1" x14ac:dyDescent="0.45">
      <c r="B1201" s="563"/>
      <c r="C1201" s="587"/>
      <c r="M1201" s="525">
        <f>Criteria!E22</f>
        <v>2024</v>
      </c>
      <c r="N1201" s="458"/>
      <c r="O1201" s="525">
        <f>Criteria!E27</f>
        <v>2023</v>
      </c>
      <c r="Q1201" s="469"/>
      <c r="R1201" s="512" t="str">
        <f t="shared" si="28"/>
        <v>DELETE</v>
      </c>
    </row>
    <row r="1202" spans="2:24" ht="31.5" customHeight="1" x14ac:dyDescent="0.45">
      <c r="B1202" s="563"/>
      <c r="C1202" s="587"/>
      <c r="M1202" s="531"/>
      <c r="N1202" s="470"/>
      <c r="O1202" s="531"/>
      <c r="Q1202" s="469"/>
      <c r="R1202" s="512" t="str">
        <f t="shared" si="28"/>
        <v>DELETE</v>
      </c>
    </row>
    <row r="1203" spans="2:24" ht="31.5" customHeight="1" x14ac:dyDescent="0.45">
      <c r="B1203" s="563"/>
      <c r="C1203" s="587">
        <f>MAX(C1142:C1202)+0.1</f>
        <v>5.2999999999999989</v>
      </c>
      <c r="D1203" s="449" t="s">
        <v>323</v>
      </c>
      <c r="M1203" s="531"/>
      <c r="N1203" s="470"/>
      <c r="O1203" s="531"/>
      <c r="Q1203" s="469"/>
      <c r="R1203" s="512" t="str">
        <f t="shared" si="28"/>
        <v>DELETE</v>
      </c>
    </row>
    <row r="1204" spans="2:24" ht="31.5" customHeight="1" x14ac:dyDescent="0.45">
      <c r="B1204" s="563"/>
      <c r="C1204" s="587"/>
      <c r="D1204" s="449" t="s">
        <v>1379</v>
      </c>
      <c r="M1204" s="531">
        <f>TrialBalance!L44+TrialBalanceA!I44+TrialBalanceB!I44+TrialBalanceC!I44</f>
        <v>0</v>
      </c>
      <c r="N1204" s="470"/>
      <c r="O1204" s="531">
        <f>TrialBalance!N44+TrialBalanceA!K44+TrialBalanceB!K44+TrialBalanceC!K44</f>
        <v>0</v>
      </c>
      <c r="Q1204" s="469"/>
      <c r="R1204" s="512" t="str">
        <f>IF(M1204+O1204=0,"DELETE"," ")</f>
        <v>DELETE</v>
      </c>
    </row>
    <row r="1205" spans="2:24" ht="31.5" customHeight="1" x14ac:dyDescent="0.45">
      <c r="B1205" s="563"/>
      <c r="C1205" s="587"/>
      <c r="D1205" s="449" t="s">
        <v>939</v>
      </c>
      <c r="M1205" s="531">
        <f>TrialBalance!L45+TrialBalanceA!I45+TrialBalanceB!I45+TrialBalanceC!I45</f>
        <v>0</v>
      </c>
      <c r="N1205" s="470"/>
      <c r="O1205" s="531">
        <f>TrialBalance!N45+TrialBalanceA!K45+TrialBalanceB!K45+TrialBalanceC!K45</f>
        <v>0</v>
      </c>
      <c r="Q1205" s="469"/>
      <c r="R1205" s="512" t="str">
        <f>IF(M1205+O1205=0,"DELETE"," ")</f>
        <v>DELETE</v>
      </c>
    </row>
    <row r="1206" spans="2:24" ht="31.5" customHeight="1" x14ac:dyDescent="0.45">
      <c r="B1206" s="563"/>
      <c r="C1206" s="587"/>
      <c r="D1206" s="449" t="s">
        <v>666</v>
      </c>
      <c r="M1206" s="531">
        <f>TrialBalance!L46+TrialBalanceA!I46+TrialBalanceB!I46+TrialBalanceC!I46</f>
        <v>0</v>
      </c>
      <c r="N1206" s="470"/>
      <c r="O1206" s="531">
        <f>TrialBalance!N46+TrialBalanceA!K46+TrialBalanceB!K46+TrialBalanceC!K46</f>
        <v>0</v>
      </c>
      <c r="Q1206" s="469"/>
      <c r="R1206" s="512" t="str">
        <f>IF(M1206+O1206=0,"DELETE"," ")</f>
        <v>DELETE</v>
      </c>
    </row>
    <row r="1207" spans="2:24" ht="31.5" customHeight="1" x14ac:dyDescent="0.45">
      <c r="B1207" s="563"/>
      <c r="C1207" s="587"/>
      <c r="D1207" s="449" t="s">
        <v>667</v>
      </c>
      <c r="M1207" s="531">
        <f>TrialBalance!L108+TrialBalanceA!I108+TrialBalanceB!I108+TrialBalanceC!I108</f>
        <v>0</v>
      </c>
      <c r="N1207" s="470"/>
      <c r="O1207" s="531">
        <f>TrialBalance!N108+TrialBalanceA!K108+TrialBalanceB!K108+TrialBalanceC!K108</f>
        <v>0</v>
      </c>
      <c r="Q1207" s="469"/>
      <c r="R1207" s="512" t="str">
        <f>IF(M1207+O1207=0,"DELETE"," ")</f>
        <v>DELETE</v>
      </c>
    </row>
    <row r="1208" spans="2:24" ht="31.5" customHeight="1" x14ac:dyDescent="0.45">
      <c r="B1208" s="563"/>
      <c r="C1208" s="587"/>
      <c r="D1208" s="449" t="s">
        <v>943</v>
      </c>
      <c r="M1208" s="531">
        <f>TrialBalance!L109+TrialBalanceA!I109+TrialBalanceB!I109+TrialBalanceC!I109</f>
        <v>0</v>
      </c>
      <c r="N1208" s="470"/>
      <c r="O1208" s="531">
        <f>TrialBalance!N109+TrialBalanceA!K109+TrialBalanceB!K109+TrialBalanceC!K109</f>
        <v>0</v>
      </c>
      <c r="Q1208" s="469"/>
      <c r="R1208" s="512" t="str">
        <f>IF(M1208+O1208=0,"DELETE"," ")</f>
        <v>DELETE</v>
      </c>
    </row>
    <row r="1209" spans="2:24" ht="9" customHeight="1" x14ac:dyDescent="0.45">
      <c r="B1209" s="563"/>
      <c r="C1209" s="587"/>
      <c r="M1209" s="535"/>
      <c r="N1209" s="473"/>
      <c r="O1209" s="535"/>
      <c r="Q1209" s="469"/>
      <c r="R1209" s="512" t="str">
        <f>R$1211</f>
        <v>DELETE</v>
      </c>
    </row>
    <row r="1210" spans="2:24" ht="9" customHeight="1" x14ac:dyDescent="0.45">
      <c r="B1210" s="563"/>
      <c r="C1210" s="587"/>
      <c r="M1210" s="531"/>
      <c r="N1210" s="470"/>
      <c r="O1210" s="531"/>
      <c r="Q1210" s="469"/>
      <c r="R1210" s="512" t="str">
        <f>R$1211</f>
        <v>DELETE</v>
      </c>
    </row>
    <row r="1211" spans="2:24" ht="31.5" customHeight="1" x14ac:dyDescent="0.45">
      <c r="B1211" s="563"/>
      <c r="C1211" s="587"/>
      <c r="M1211" s="531">
        <f>SUM(M1204:M1210)</f>
        <v>0</v>
      </c>
      <c r="N1211" s="470"/>
      <c r="O1211" s="531">
        <f>SUM(O1204:O1210)</f>
        <v>0</v>
      </c>
      <c r="Q1211" s="469"/>
      <c r="R1211" s="512" t="str">
        <f>IF(M1211+O1211=0,"DELETE"," ")</f>
        <v>DELETE</v>
      </c>
      <c r="V1211" s="513" t="b">
        <f>M1211=SUM(TrialBalance!L44:L46)+SUM(TrialBalance!L108:L109)+SUM(TrialBalanceA!I44:I46)+SUM(TrialBalanceA!I108:I109)+SUM(TrialBalanceB!I44:I46)+SUM(TrialBalanceB!I108:I109)+SUM(TrialBalanceC!I44:I46)+SUM(TrialBalanceC!I108:I109)</f>
        <v>1</v>
      </c>
      <c r="X1211" s="513" t="b">
        <f>O1211=SUM(TrialBalance!N44:N46)+SUM(TrialBalance!N108:N109)+SUM(TrialBalanceA!K44:K46)+SUM(TrialBalanceA!K108:K109)+SUM(TrialBalanceB!K44:K46)+SUM(TrialBalanceB!K108:K109)+SUM(TrialBalanceC!K44:K46)+SUM(TrialBalanceC!K108:K109)</f>
        <v>1</v>
      </c>
    </row>
    <row r="1212" spans="2:24" ht="9" customHeight="1" thickBot="1" x14ac:dyDescent="0.5">
      <c r="B1212" s="563"/>
      <c r="C1212" s="587"/>
      <c r="M1212" s="536"/>
      <c r="N1212" s="474"/>
      <c r="O1212" s="536"/>
      <c r="Q1212" s="469"/>
      <c r="R1212" s="512" t="str">
        <f t="shared" ref="R1212:R1217" si="29">R$1211</f>
        <v>DELETE</v>
      </c>
    </row>
    <row r="1213" spans="2:24" ht="9" customHeight="1" thickTop="1" x14ac:dyDescent="0.45">
      <c r="B1213" s="563"/>
      <c r="C1213" s="587"/>
      <c r="M1213" s="548"/>
      <c r="N1213" s="491"/>
      <c r="O1213" s="548"/>
      <c r="Q1213" s="469"/>
      <c r="R1213" s="512" t="str">
        <f t="shared" si="29"/>
        <v>DELETE</v>
      </c>
    </row>
    <row r="1214" spans="2:24" ht="31.5" customHeight="1" x14ac:dyDescent="0.45">
      <c r="B1214" s="563"/>
      <c r="C1214" s="584"/>
      <c r="M1214" s="531"/>
      <c r="N1214" s="470"/>
      <c r="O1214" s="531"/>
      <c r="Q1214" s="469"/>
      <c r="R1214" s="512" t="str">
        <f t="shared" si="29"/>
        <v>DELETE</v>
      </c>
    </row>
    <row r="1215" spans="2:24" ht="31.5" customHeight="1" x14ac:dyDescent="0.45">
      <c r="B1215" s="563"/>
      <c r="C1215" s="584"/>
      <c r="M1215" s="531"/>
      <c r="N1215" s="470"/>
      <c r="O1215" s="531"/>
      <c r="Q1215" s="469"/>
      <c r="R1215" s="512" t="str">
        <f t="shared" si="29"/>
        <v>DELETE</v>
      </c>
    </row>
    <row r="1216" spans="2:24" ht="31.5" customHeight="1" x14ac:dyDescent="0.45">
      <c r="B1216" s="564"/>
      <c r="C1216" s="585"/>
      <c r="D1216" s="461"/>
      <c r="E1216" s="461"/>
      <c r="F1216" s="461"/>
      <c r="G1216" s="461"/>
      <c r="H1216" s="461"/>
      <c r="I1216" s="461"/>
      <c r="J1216" s="461"/>
      <c r="K1216" s="461"/>
      <c r="L1216" s="461"/>
      <c r="M1216" s="535"/>
      <c r="N1216" s="473"/>
      <c r="O1216" s="535"/>
      <c r="P1216" s="631"/>
      <c r="Q1216" s="479"/>
      <c r="R1216" s="512" t="str">
        <f t="shared" si="29"/>
        <v>DELETE</v>
      </c>
    </row>
    <row r="1217" spans="2:24" ht="31.5" customHeight="1" x14ac:dyDescent="0.45">
      <c r="B1217" s="526"/>
      <c r="C1217" s="450"/>
      <c r="M1217" s="531"/>
      <c r="N1217" s="470"/>
      <c r="O1217" s="531"/>
      <c r="R1217" s="512" t="str">
        <f t="shared" si="29"/>
        <v>DELETE</v>
      </c>
    </row>
    <row r="1218" spans="2:24" ht="31.5" customHeight="1" x14ac:dyDescent="0.45">
      <c r="B1218" s="526"/>
      <c r="C1218" s="450"/>
      <c r="M1218" s="531"/>
      <c r="N1218" s="470"/>
      <c r="O1218" s="531"/>
      <c r="R1218" s="512" t="str">
        <f>R$1270</f>
        <v>DELETE</v>
      </c>
    </row>
    <row r="1219" spans="2:24" ht="31.5" customHeight="1" x14ac:dyDescent="0.45">
      <c r="B1219" s="527"/>
      <c r="D1219" s="450" t="str">
        <f>Criteria!E9</f>
        <v>ABC COMPANY (PROPRIETARY) LIMITED</v>
      </c>
      <c r="M1219" s="635"/>
      <c r="N1219" s="621"/>
      <c r="O1219" s="531" t="s">
        <v>121</v>
      </c>
      <c r="Q1219" s="451">
        <f>MAX($Q$114:Q1218)+1</f>
        <v>29</v>
      </c>
      <c r="R1219" s="512" t="str">
        <f>R$1270</f>
        <v>DELETE</v>
      </c>
    </row>
    <row r="1220" spans="2:24" ht="31.5" customHeight="1" x14ac:dyDescent="0.45">
      <c r="B1220" s="527"/>
      <c r="D1220" s="450" t="str">
        <f>Criteria!E10</f>
        <v>T/A SEAFRONT HOTEL, SEAFRONT RESTAURANT AND RENTAL PROPERTIES</v>
      </c>
      <c r="M1220" s="635"/>
      <c r="N1220" s="621"/>
      <c r="O1220" s="635"/>
      <c r="R1220" s="512" t="str">
        <f>IF(R$1270="DELETE","DELETE",IF(D1220=0,"DELETE"," "))</f>
        <v>DELETE</v>
      </c>
    </row>
    <row r="1221" spans="2:24" ht="31.5" customHeight="1" x14ac:dyDescent="0.45">
      <c r="B1221" s="527"/>
      <c r="M1221" s="635"/>
      <c r="N1221" s="621"/>
      <c r="O1221" s="635"/>
      <c r="R1221" s="512" t="str">
        <f t="shared" ref="R1221:R1228" si="30">R$1270</f>
        <v>DELETE</v>
      </c>
    </row>
    <row r="1222" spans="2:24" ht="31.5" customHeight="1" x14ac:dyDescent="0.45">
      <c r="B1222" s="527"/>
      <c r="D1222" s="450" t="s">
        <v>451</v>
      </c>
      <c r="M1222" s="635"/>
      <c r="N1222" s="621"/>
      <c r="O1222" s="635"/>
      <c r="R1222" s="512" t="str">
        <f t="shared" si="30"/>
        <v>DELETE</v>
      </c>
    </row>
    <row r="1223" spans="2:24" ht="31.5" customHeight="1" x14ac:dyDescent="0.45">
      <c r="B1223" s="527"/>
      <c r="D1223" s="450" t="str">
        <f>Criteria!E20</f>
        <v>29 FEBRUARY 2024</v>
      </c>
      <c r="J1223" s="449" t="s">
        <v>303</v>
      </c>
      <c r="M1223" s="635"/>
      <c r="N1223" s="621"/>
      <c r="O1223" s="635"/>
      <c r="R1223" s="512" t="str">
        <f t="shared" si="30"/>
        <v>DELETE</v>
      </c>
    </row>
    <row r="1224" spans="2:24" ht="31.5" customHeight="1" x14ac:dyDescent="0.45">
      <c r="B1224" s="527"/>
      <c r="D1224" s="450"/>
      <c r="M1224" s="635"/>
      <c r="N1224" s="621"/>
      <c r="O1224" s="635"/>
      <c r="R1224" s="512" t="str">
        <f t="shared" si="30"/>
        <v>DELETE</v>
      </c>
    </row>
    <row r="1225" spans="2:24" ht="31.5" customHeight="1" x14ac:dyDescent="0.45">
      <c r="B1225" s="565"/>
      <c r="C1225" s="503"/>
      <c r="D1225" s="466"/>
      <c r="E1225" s="466"/>
      <c r="F1225" s="466"/>
      <c r="G1225" s="466"/>
      <c r="H1225" s="466"/>
      <c r="I1225" s="466"/>
      <c r="J1225" s="466"/>
      <c r="K1225" s="466"/>
      <c r="L1225" s="466"/>
      <c r="M1225" s="546"/>
      <c r="N1225" s="471"/>
      <c r="O1225" s="546"/>
      <c r="P1225" s="643"/>
      <c r="Q1225" s="467"/>
      <c r="R1225" s="512" t="str">
        <f t="shared" si="30"/>
        <v>DELETE</v>
      </c>
    </row>
    <row r="1226" spans="2:24" ht="31.5" customHeight="1" x14ac:dyDescent="0.45">
      <c r="B1226" s="563"/>
      <c r="C1226" s="450"/>
      <c r="M1226" s="525">
        <f>Criteria!E22</f>
        <v>2024</v>
      </c>
      <c r="N1226" s="458"/>
      <c r="O1226" s="525">
        <f>Criteria!E27</f>
        <v>2023</v>
      </c>
      <c r="Q1226" s="469"/>
      <c r="R1226" s="512" t="str">
        <f t="shared" si="30"/>
        <v>DELETE</v>
      </c>
    </row>
    <row r="1227" spans="2:24" ht="31.5" customHeight="1" x14ac:dyDescent="0.45">
      <c r="B1227" s="563"/>
      <c r="C1227" s="450"/>
      <c r="M1227" s="531"/>
      <c r="N1227" s="470"/>
      <c r="O1227" s="531"/>
      <c r="Q1227" s="469"/>
      <c r="R1227" s="512" t="str">
        <f t="shared" si="30"/>
        <v>DELETE</v>
      </c>
    </row>
    <row r="1228" spans="2:24" ht="31.5" customHeight="1" x14ac:dyDescent="0.45">
      <c r="B1228" s="563">
        <f>MAX(B$802:B1227)+1</f>
        <v>6</v>
      </c>
      <c r="C1228" s="450" t="s">
        <v>139</v>
      </c>
      <c r="M1228" s="531"/>
      <c r="N1228" s="470"/>
      <c r="O1228" s="531"/>
      <c r="Q1228" s="469"/>
      <c r="R1228" s="512" t="str">
        <f t="shared" si="30"/>
        <v>DELETE</v>
      </c>
    </row>
    <row r="1229" spans="2:24" ht="31.5" hidden="1" customHeight="1" x14ac:dyDescent="0.45">
      <c r="B1229" s="563"/>
      <c r="C1229" s="450">
        <f>B1228</f>
        <v>6</v>
      </c>
      <c r="M1229" s="531"/>
      <c r="N1229" s="470"/>
      <c r="O1229" s="531"/>
      <c r="Q1229" s="469"/>
      <c r="R1229" s="512" t="str">
        <f>R1228</f>
        <v>DELETE</v>
      </c>
    </row>
    <row r="1230" spans="2:24" ht="31.5" customHeight="1" x14ac:dyDescent="0.45">
      <c r="B1230" s="563"/>
      <c r="C1230" s="587">
        <f>MAX(C$1228:C1229)+0.1</f>
        <v>6.1</v>
      </c>
      <c r="D1230" s="449" t="s">
        <v>324</v>
      </c>
      <c r="M1230" s="531">
        <f>SUM(M1233:M1235)</f>
        <v>0</v>
      </c>
      <c r="N1230" s="470"/>
      <c r="O1230" s="531">
        <f>SUM(O1233:O1235)</f>
        <v>0</v>
      </c>
      <c r="Q1230" s="469"/>
      <c r="R1230" s="512" t="str">
        <f>IF(M1230+O1230=0,"DELETE"," ")</f>
        <v>DELETE</v>
      </c>
      <c r="S1230" s="518">
        <f>M1230</f>
        <v>0</v>
      </c>
      <c r="T1230" s="518"/>
      <c r="U1230" s="518">
        <f>O1230</f>
        <v>0</v>
      </c>
      <c r="V1230" s="518"/>
      <c r="W1230" s="518"/>
      <c r="X1230" s="518"/>
    </row>
    <row r="1231" spans="2:24" ht="9" customHeight="1" x14ac:dyDescent="0.45">
      <c r="B1231" s="563"/>
      <c r="C1231" s="584"/>
      <c r="M1231" s="531"/>
      <c r="N1231" s="470"/>
      <c r="O1231" s="531"/>
      <c r="Q1231" s="469"/>
      <c r="R1231" s="512" t="str">
        <f>R1230</f>
        <v>DELETE</v>
      </c>
    </row>
    <row r="1232" spans="2:24" ht="9" customHeight="1" x14ac:dyDescent="0.45">
      <c r="B1232" s="563"/>
      <c r="C1232" s="584"/>
      <c r="M1232" s="532"/>
      <c r="N1232" s="471"/>
      <c r="O1232" s="552"/>
      <c r="Q1232" s="469"/>
      <c r="R1232" s="512" t="str">
        <f>R1230</f>
        <v>DELETE</v>
      </c>
    </row>
    <row r="1233" spans="2:24" ht="31.5" customHeight="1" x14ac:dyDescent="0.45">
      <c r="B1233" s="563"/>
      <c r="C1233" s="584"/>
      <c r="D1233" s="449" t="s">
        <v>325</v>
      </c>
      <c r="M1233" s="533">
        <f>-TrialBalance!L90-TrialBalanceA!I90-TrialBalanceB!I90-TrialBalanceC!I90</f>
        <v>0</v>
      </c>
      <c r="N1233" s="470"/>
      <c r="O1233" s="553">
        <f>-TrialBalance!N90-TrialBalanceA!K90-TrialBalanceB!K90-TrialBalanceC!K90</f>
        <v>0</v>
      </c>
      <c r="Q1233" s="469"/>
      <c r="R1233" s="512" t="str">
        <f>IF(M1233+O1233=0,"DELETE"," ")</f>
        <v>DELETE</v>
      </c>
    </row>
    <row r="1234" spans="2:24" ht="31.5" customHeight="1" x14ac:dyDescent="0.45">
      <c r="B1234" s="563"/>
      <c r="C1234" s="584"/>
      <c r="D1234" s="449" t="s">
        <v>1323</v>
      </c>
      <c r="M1234" s="533">
        <f>-TrialBalance!L91-TrialBalanceA!I91-TrialBalanceB!I91-TrialBalanceC!I91</f>
        <v>0</v>
      </c>
      <c r="N1234" s="470"/>
      <c r="O1234" s="553">
        <f>-TrialBalance!N91-TrialBalanceA!K91-TrialBalanceB!K91-TrialBalanceC!K91</f>
        <v>0</v>
      </c>
      <c r="Q1234" s="469"/>
      <c r="R1234" s="512" t="str">
        <f>IF(M1234+O1234=0,"DELETE"," ")</f>
        <v>DELETE</v>
      </c>
    </row>
    <row r="1235" spans="2:24" ht="31.5" customHeight="1" x14ac:dyDescent="0.45">
      <c r="B1235" s="563"/>
      <c r="C1235" s="584"/>
      <c r="D1235" s="449" t="s">
        <v>668</v>
      </c>
      <c r="M1235" s="533">
        <f>-TrialBalance!L92-TrialBalanceA!I92-TrialBalanceB!I92-TrialBalanceC!I92</f>
        <v>0</v>
      </c>
      <c r="N1235" s="470"/>
      <c r="O1235" s="553">
        <f>-TrialBalance!N92-TrialBalanceA!K92-TrialBalanceB!K92-TrialBalanceC!K92</f>
        <v>0</v>
      </c>
      <c r="Q1235" s="469"/>
      <c r="R1235" s="512" t="str">
        <f>IF(M1235+O1235=0,"DELETE"," ")</f>
        <v>DELETE</v>
      </c>
    </row>
    <row r="1236" spans="2:24" ht="9" customHeight="1" x14ac:dyDescent="0.45">
      <c r="B1236" s="563"/>
      <c r="C1236" s="584"/>
      <c r="M1236" s="534"/>
      <c r="N1236" s="473"/>
      <c r="O1236" s="554"/>
      <c r="Q1236" s="469"/>
      <c r="R1236" s="512" t="str">
        <f>R1230</f>
        <v>DELETE</v>
      </c>
    </row>
    <row r="1237" spans="2:24" ht="9" customHeight="1" x14ac:dyDescent="0.45">
      <c r="B1237" s="563"/>
      <c r="C1237" s="584"/>
      <c r="M1237" s="531"/>
      <c r="N1237" s="470"/>
      <c r="O1237" s="531"/>
      <c r="Q1237" s="469"/>
      <c r="R1237" s="512" t="str">
        <f>R1230</f>
        <v>DELETE</v>
      </c>
    </row>
    <row r="1238" spans="2:24" ht="31.5" customHeight="1" x14ac:dyDescent="0.45">
      <c r="B1238" s="563"/>
      <c r="C1238" s="587">
        <f>MAX(C$1228:C1237)+0.1</f>
        <v>6.1999999999999993</v>
      </c>
      <c r="D1238" s="449" t="s">
        <v>326</v>
      </c>
      <c r="M1238" s="531">
        <f>SUM(M1240:M1257)</f>
        <v>0</v>
      </c>
      <c r="N1238" s="470"/>
      <c r="O1238" s="531">
        <f>SUM(O1240:O1257)</f>
        <v>0</v>
      </c>
      <c r="Q1238" s="469"/>
      <c r="R1238" s="512" t="str">
        <f>IF(M1238+O1238=0,"DELETE"," ")</f>
        <v>DELETE</v>
      </c>
      <c r="S1238" s="518">
        <f>M1238</f>
        <v>0</v>
      </c>
      <c r="T1238" s="518"/>
      <c r="U1238" s="518">
        <f>O1238</f>
        <v>0</v>
      </c>
      <c r="V1238" s="518"/>
      <c r="W1238" s="518"/>
      <c r="X1238" s="518"/>
    </row>
    <row r="1239" spans="2:24" ht="9" customHeight="1" x14ac:dyDescent="0.45">
      <c r="B1239" s="563"/>
      <c r="C1239" s="584"/>
      <c r="M1239" s="531"/>
      <c r="N1239" s="470"/>
      <c r="O1239" s="531"/>
      <c r="Q1239" s="469"/>
      <c r="R1239" s="512" t="str">
        <f>R1238</f>
        <v>DELETE</v>
      </c>
    </row>
    <row r="1240" spans="2:24" ht="9" customHeight="1" x14ac:dyDescent="0.45">
      <c r="B1240" s="563"/>
      <c r="C1240" s="584"/>
      <c r="M1240" s="532"/>
      <c r="N1240" s="471"/>
      <c r="O1240" s="552"/>
      <c r="Q1240" s="469"/>
      <c r="R1240" s="512" t="str">
        <f>R1238</f>
        <v>DELETE</v>
      </c>
    </row>
    <row r="1241" spans="2:24" ht="31.5" customHeight="1" x14ac:dyDescent="0.45">
      <c r="B1241" s="563"/>
      <c r="C1241" s="584"/>
      <c r="D1241" s="510">
        <f>TrialBalance!C85</f>
        <v>0</v>
      </c>
      <c r="M1241" s="533">
        <f>-TrialBalance!L85</f>
        <v>0</v>
      </c>
      <c r="N1241" s="470"/>
      <c r="O1241" s="553">
        <f>-TrialBalance!N85</f>
        <v>0</v>
      </c>
      <c r="Q1241" s="469"/>
      <c r="R1241" s="512" t="str">
        <f>IF(M1241+O1241=0,"DELETE"," ")</f>
        <v>DELETE</v>
      </c>
    </row>
    <row r="1242" spans="2:24" ht="31.5" customHeight="1" x14ac:dyDescent="0.45">
      <c r="B1242" s="563"/>
      <c r="C1242" s="584"/>
      <c r="D1242" s="510">
        <f>TrialBalance!C86</f>
        <v>0</v>
      </c>
      <c r="M1242" s="533">
        <f>-TrialBalance!L86</f>
        <v>0</v>
      </c>
      <c r="N1242" s="470"/>
      <c r="O1242" s="553">
        <f>-TrialBalance!N86</f>
        <v>0</v>
      </c>
      <c r="Q1242" s="469"/>
      <c r="R1242" s="512" t="str">
        <f>IF(M1242+O1242=0,"DELETE"," ")</f>
        <v>DELETE</v>
      </c>
    </row>
    <row r="1243" spans="2:24" ht="31.5" customHeight="1" x14ac:dyDescent="0.45">
      <c r="B1243" s="563"/>
      <c r="C1243" s="584"/>
      <c r="D1243" s="510">
        <f>TrialBalance!C87</f>
        <v>0</v>
      </c>
      <c r="M1243" s="533">
        <f>-TrialBalance!L87</f>
        <v>0</v>
      </c>
      <c r="N1243" s="470"/>
      <c r="O1243" s="553">
        <f>-TrialBalance!N87</f>
        <v>0</v>
      </c>
      <c r="Q1243" s="469"/>
      <c r="R1243" s="512" t="str">
        <f>IF(M1243+O1243=0,"DELETE"," ")</f>
        <v>DELETE</v>
      </c>
    </row>
    <row r="1244" spans="2:24" ht="31.5" customHeight="1" x14ac:dyDescent="0.45">
      <c r="B1244" s="563"/>
      <c r="C1244" s="584"/>
      <c r="D1244" s="510">
        <f>TrialBalance!C88</f>
        <v>0</v>
      </c>
      <c r="M1244" s="533">
        <f>-TrialBalance!L88</f>
        <v>0</v>
      </c>
      <c r="N1244" s="470"/>
      <c r="O1244" s="553">
        <f>-TrialBalance!N88</f>
        <v>0</v>
      </c>
      <c r="Q1244" s="469"/>
      <c r="R1244" s="512" t="str">
        <f>IF(M1244+O1244=0,"DELETE"," ")</f>
        <v>DELETE</v>
      </c>
    </row>
    <row r="1245" spans="2:24" ht="31.5" customHeight="1" x14ac:dyDescent="0.45">
      <c r="B1245" s="563"/>
      <c r="C1245" s="584"/>
      <c r="D1245" s="510">
        <f>TrialBalanceA!C85</f>
        <v>0</v>
      </c>
      <c r="M1245" s="533">
        <f>-TrialBalanceA!I85</f>
        <v>0</v>
      </c>
      <c r="N1245" s="470"/>
      <c r="O1245" s="553">
        <f>-TrialBalanceA!K85</f>
        <v>0</v>
      </c>
      <c r="Q1245" s="469"/>
      <c r="R1245" s="512" t="str">
        <f t="shared" ref="R1245:R1249" si="31">IF(M1245+O1245=0,"DELETE"," ")</f>
        <v>DELETE</v>
      </c>
    </row>
    <row r="1246" spans="2:24" ht="31.5" customHeight="1" x14ac:dyDescent="0.45">
      <c r="B1246" s="563"/>
      <c r="C1246" s="584"/>
      <c r="D1246" s="510">
        <f>TrialBalanceA!C86</f>
        <v>0</v>
      </c>
      <c r="M1246" s="533">
        <f>-TrialBalanceA!I86</f>
        <v>0</v>
      </c>
      <c r="N1246" s="470"/>
      <c r="O1246" s="553">
        <f>-TrialBalanceA!K86</f>
        <v>0</v>
      </c>
      <c r="Q1246" s="469"/>
      <c r="R1246" s="512" t="str">
        <f t="shared" si="31"/>
        <v>DELETE</v>
      </c>
    </row>
    <row r="1247" spans="2:24" ht="31.5" customHeight="1" x14ac:dyDescent="0.45">
      <c r="B1247" s="563"/>
      <c r="C1247" s="584"/>
      <c r="D1247" s="510">
        <f>TrialBalanceA!C87</f>
        <v>0</v>
      </c>
      <c r="M1247" s="533">
        <f>-TrialBalanceA!I87</f>
        <v>0</v>
      </c>
      <c r="N1247" s="470"/>
      <c r="O1247" s="553">
        <f>-TrialBalanceA!K87</f>
        <v>0</v>
      </c>
      <c r="Q1247" s="469"/>
      <c r="R1247" s="512" t="str">
        <f t="shared" si="31"/>
        <v>DELETE</v>
      </c>
    </row>
    <row r="1248" spans="2:24" ht="31.5" customHeight="1" x14ac:dyDescent="0.45">
      <c r="B1248" s="563"/>
      <c r="C1248" s="584"/>
      <c r="D1248" s="510">
        <f>TrialBalanceA!C88</f>
        <v>0</v>
      </c>
      <c r="M1248" s="533">
        <f>-TrialBalanceA!I88</f>
        <v>0</v>
      </c>
      <c r="N1248" s="470"/>
      <c r="O1248" s="553">
        <f>-TrialBalanceA!K88</f>
        <v>0</v>
      </c>
      <c r="Q1248" s="469"/>
      <c r="R1248" s="512" t="str">
        <f t="shared" si="31"/>
        <v>DELETE</v>
      </c>
    </row>
    <row r="1249" spans="2:24" ht="31.5" customHeight="1" x14ac:dyDescent="0.45">
      <c r="B1249" s="563"/>
      <c r="C1249" s="584"/>
      <c r="D1249" s="510">
        <f>TrialBalanceB!C85</f>
        <v>0</v>
      </c>
      <c r="M1249" s="533">
        <f>-TrialBalanceB!I85</f>
        <v>0</v>
      </c>
      <c r="N1249" s="470"/>
      <c r="O1249" s="553">
        <f>-TrialBalanceB!K85</f>
        <v>0</v>
      </c>
      <c r="Q1249" s="469"/>
      <c r="R1249" s="512" t="str">
        <f t="shared" si="31"/>
        <v>DELETE</v>
      </c>
    </row>
    <row r="1250" spans="2:24" ht="31.5" customHeight="1" x14ac:dyDescent="0.45">
      <c r="B1250" s="563"/>
      <c r="C1250" s="584"/>
      <c r="D1250" s="510">
        <f>TrialBalanceB!C86</f>
        <v>0</v>
      </c>
      <c r="M1250" s="533">
        <f>-TrialBalanceB!I86</f>
        <v>0</v>
      </c>
      <c r="N1250" s="470"/>
      <c r="O1250" s="553">
        <f>-TrialBalanceB!K86</f>
        <v>0</v>
      </c>
      <c r="Q1250" s="469"/>
      <c r="R1250" s="512" t="str">
        <f t="shared" ref="R1250:R1253" si="32">IF(M1250+O1250=0,"DELETE"," ")</f>
        <v>DELETE</v>
      </c>
    </row>
    <row r="1251" spans="2:24" ht="31.5" customHeight="1" x14ac:dyDescent="0.45">
      <c r="B1251" s="563"/>
      <c r="C1251" s="584"/>
      <c r="D1251" s="510">
        <f>TrialBalanceB!C87</f>
        <v>0</v>
      </c>
      <c r="M1251" s="533">
        <f>-TrialBalanceB!I87</f>
        <v>0</v>
      </c>
      <c r="N1251" s="470"/>
      <c r="O1251" s="553">
        <f>-TrialBalanceB!K87</f>
        <v>0</v>
      </c>
      <c r="Q1251" s="469"/>
      <c r="R1251" s="512" t="str">
        <f t="shared" si="32"/>
        <v>DELETE</v>
      </c>
    </row>
    <row r="1252" spans="2:24" ht="31.5" customHeight="1" x14ac:dyDescent="0.45">
      <c r="B1252" s="563"/>
      <c r="C1252" s="584"/>
      <c r="D1252" s="510">
        <f>TrialBalanceB!C88</f>
        <v>0</v>
      </c>
      <c r="M1252" s="533">
        <f>-TrialBalanceB!I88</f>
        <v>0</v>
      </c>
      <c r="N1252" s="470"/>
      <c r="O1252" s="553">
        <f>-TrialBalanceB!K88</f>
        <v>0</v>
      </c>
      <c r="Q1252" s="469"/>
      <c r="R1252" s="512" t="str">
        <f t="shared" si="32"/>
        <v>DELETE</v>
      </c>
    </row>
    <row r="1253" spans="2:24" ht="31.5" customHeight="1" x14ac:dyDescent="0.45">
      <c r="B1253" s="563"/>
      <c r="C1253" s="584"/>
      <c r="D1253" s="510">
        <f>TrialBalanceC!C85</f>
        <v>0</v>
      </c>
      <c r="M1253" s="533">
        <f>-TrialBalanceC!I85</f>
        <v>0</v>
      </c>
      <c r="N1253" s="470"/>
      <c r="O1253" s="553">
        <f>-TrialBalanceC!K85</f>
        <v>0</v>
      </c>
      <c r="Q1253" s="469"/>
      <c r="R1253" s="512" t="str">
        <f t="shared" si="32"/>
        <v>DELETE</v>
      </c>
    </row>
    <row r="1254" spans="2:24" ht="31.5" customHeight="1" x14ac:dyDescent="0.45">
      <c r="B1254" s="563"/>
      <c r="C1254" s="584"/>
      <c r="D1254" s="510">
        <f>TrialBalanceC!C86</f>
        <v>0</v>
      </c>
      <c r="M1254" s="533">
        <f>-TrialBalanceC!I86</f>
        <v>0</v>
      </c>
      <c r="N1254" s="470"/>
      <c r="O1254" s="553">
        <f>-TrialBalanceC!K86</f>
        <v>0</v>
      </c>
      <c r="Q1254" s="469"/>
      <c r="R1254" s="512" t="str">
        <f t="shared" ref="R1254:R1256" si="33">IF(M1254+O1254=0,"DELETE"," ")</f>
        <v>DELETE</v>
      </c>
    </row>
    <row r="1255" spans="2:24" ht="31.5" customHeight="1" x14ac:dyDescent="0.45">
      <c r="B1255" s="563"/>
      <c r="C1255" s="584"/>
      <c r="D1255" s="510">
        <f>TrialBalanceC!C87</f>
        <v>0</v>
      </c>
      <c r="M1255" s="533">
        <f>-TrialBalanceC!I87</f>
        <v>0</v>
      </c>
      <c r="N1255" s="470"/>
      <c r="O1255" s="553">
        <f>-TrialBalanceC!K87</f>
        <v>0</v>
      </c>
      <c r="Q1255" s="469"/>
      <c r="R1255" s="512" t="str">
        <f t="shared" si="33"/>
        <v>DELETE</v>
      </c>
    </row>
    <row r="1256" spans="2:24" ht="31.5" customHeight="1" x14ac:dyDescent="0.45">
      <c r="B1256" s="563"/>
      <c r="C1256" s="584"/>
      <c r="D1256" s="510">
        <f>TrialBalanceC!C88</f>
        <v>0</v>
      </c>
      <c r="M1256" s="533">
        <f>-TrialBalanceC!I88</f>
        <v>0</v>
      </c>
      <c r="N1256" s="470"/>
      <c r="O1256" s="553">
        <f>-TrialBalanceC!K88</f>
        <v>0</v>
      </c>
      <c r="Q1256" s="469"/>
      <c r="R1256" s="512" t="str">
        <f t="shared" si="33"/>
        <v>DELETE</v>
      </c>
    </row>
    <row r="1257" spans="2:24" ht="9" customHeight="1" x14ac:dyDescent="0.45">
      <c r="B1257" s="563"/>
      <c r="C1257" s="584"/>
      <c r="M1257" s="534"/>
      <c r="N1257" s="473"/>
      <c r="O1257" s="554"/>
      <c r="Q1257" s="469"/>
      <c r="R1257" s="512" t="str">
        <f>R1238</f>
        <v>DELETE</v>
      </c>
    </row>
    <row r="1258" spans="2:24" ht="9" customHeight="1" x14ac:dyDescent="0.45">
      <c r="B1258" s="563"/>
      <c r="C1258" s="584"/>
      <c r="M1258" s="531"/>
      <c r="N1258" s="470"/>
      <c r="O1258" s="531"/>
      <c r="Q1258" s="469"/>
      <c r="R1258" s="512" t="str">
        <f>R1238</f>
        <v>DELETE</v>
      </c>
    </row>
    <row r="1259" spans="2:24" ht="31.5" customHeight="1" x14ac:dyDescent="0.45">
      <c r="B1259" s="563"/>
      <c r="C1259" s="587">
        <f>MAX(C$1228:C1258)+0.1</f>
        <v>6.2999999999999989</v>
      </c>
      <c r="D1259" s="449" t="s">
        <v>416</v>
      </c>
      <c r="M1259" s="531">
        <f>SUM(M1261:M1267)</f>
        <v>0</v>
      </c>
      <c r="N1259" s="470"/>
      <c r="O1259" s="531">
        <f>SUM(O1261:O1267)</f>
        <v>0</v>
      </c>
      <c r="Q1259" s="469"/>
      <c r="R1259" s="512" t="str">
        <f>IF(SUM(M1262:M1266)+SUM(O1262:O1266)=0,"DELETE"," ")</f>
        <v>DELETE</v>
      </c>
      <c r="S1259" s="517">
        <f>M1259</f>
        <v>0</v>
      </c>
      <c r="U1259" s="517">
        <f>O1259</f>
        <v>0</v>
      </c>
    </row>
    <row r="1260" spans="2:24" ht="9" customHeight="1" x14ac:dyDescent="0.45">
      <c r="B1260" s="563"/>
      <c r="C1260" s="587"/>
      <c r="M1260" s="531"/>
      <c r="N1260" s="470"/>
      <c r="O1260" s="531"/>
      <c r="Q1260" s="469"/>
      <c r="R1260" s="512" t="str">
        <f>R1259</f>
        <v>DELETE</v>
      </c>
    </row>
    <row r="1261" spans="2:24" ht="9" customHeight="1" x14ac:dyDescent="0.45">
      <c r="B1261" s="563"/>
      <c r="C1261" s="587"/>
      <c r="M1261" s="532"/>
      <c r="N1261" s="471"/>
      <c r="O1261" s="552"/>
      <c r="Q1261" s="469"/>
      <c r="R1261" s="512" t="str">
        <f>R1259</f>
        <v>DELETE</v>
      </c>
    </row>
    <row r="1262" spans="2:24" ht="31.5" customHeight="1" x14ac:dyDescent="0.45">
      <c r="B1262" s="563"/>
      <c r="C1262" s="584"/>
      <c r="D1262" s="449" t="s">
        <v>634</v>
      </c>
      <c r="M1262" s="533">
        <f>IF(TrialBalance!L93&lt;0,-TrialBalance!L93,0)+IF(TrialBalanceA!I93&lt;0,-TrialBalanceA!I93,0)+IF(TrialBalanceB!I93&lt;0,-TrialBalanceB!I93,0)+IF(TrialBalanceC!I93&lt;0,-TrialBalanceC!I93,0)</f>
        <v>0</v>
      </c>
      <c r="N1262" s="491"/>
      <c r="O1262" s="553">
        <f>IF(TrialBalance!N93&lt;0,-TrialBalance!N93,0)+IF(TrialBalanceA!K93&lt;0,-TrialBalanceA!K93,0)+IF(TrialBalanceB!K93&lt;0,-TrialBalanceB!K93,0)+IF(TrialBalanceC!K93&lt;0,-TrialBalanceC!K93,0)</f>
        <v>0</v>
      </c>
      <c r="Q1262" s="469"/>
      <c r="R1262" s="512" t="str">
        <f>IF(M1262+O1262=0,"DELETE"," ")</f>
        <v>DELETE</v>
      </c>
      <c r="S1262" s="518"/>
      <c r="T1262" s="518"/>
      <c r="U1262" s="518"/>
      <c r="V1262" s="518"/>
      <c r="W1262" s="518"/>
      <c r="X1262" s="518"/>
    </row>
    <row r="1263" spans="2:24" ht="31.5" customHeight="1" x14ac:dyDescent="0.45">
      <c r="B1263" s="563"/>
      <c r="C1263" s="584"/>
      <c r="D1263" s="449" t="s">
        <v>433</v>
      </c>
      <c r="M1263" s="533">
        <f>-TrialBalance!L83-TrialBalanceA!I83-TrialBalanceB!I83-TrialBalanceC!I83</f>
        <v>0</v>
      </c>
      <c r="N1263" s="491"/>
      <c r="O1263" s="553">
        <f>-TrialBalance!N83-TrialBalanceA!K83-TrialBalanceB!K83-TrialBalanceC!K83</f>
        <v>0</v>
      </c>
      <c r="Q1263" s="469"/>
      <c r="R1263" s="512" t="str">
        <f>IF(M1263+O1263=0,"DELETE"," ")</f>
        <v>DELETE</v>
      </c>
      <c r="S1263" s="518"/>
      <c r="T1263" s="518"/>
      <c r="U1263" s="518"/>
      <c r="V1263" s="518"/>
      <c r="W1263" s="518"/>
      <c r="X1263" s="518"/>
    </row>
    <row r="1264" spans="2:24" ht="31.5" customHeight="1" x14ac:dyDescent="0.45">
      <c r="B1264" s="563"/>
      <c r="C1264" s="584"/>
      <c r="D1264" s="449" t="s">
        <v>243</v>
      </c>
      <c r="M1264" s="533">
        <f>-TrialBalance!L94-TrialBalanceA!I94-TrialBalanceB!I94-TrialBalanceC!I94</f>
        <v>0</v>
      </c>
      <c r="N1264" s="491"/>
      <c r="O1264" s="553">
        <f>-TrialBalance!N94-TrialBalanceA!K94-TrialBalanceB!K94-TrialBalanceC!K94</f>
        <v>0</v>
      </c>
      <c r="Q1264" s="469"/>
      <c r="R1264" s="512" t="str">
        <f>IF(M1264+O1264=0,"DELETE"," ")</f>
        <v>DELETE</v>
      </c>
      <c r="S1264" s="518"/>
      <c r="T1264" s="518"/>
      <c r="U1264" s="518"/>
      <c r="V1264" s="518"/>
      <c r="W1264" s="518"/>
      <c r="X1264" s="518"/>
    </row>
    <row r="1265" spans="2:24" ht="31.5" customHeight="1" x14ac:dyDescent="0.45">
      <c r="B1265" s="563"/>
      <c r="C1265" s="584"/>
      <c r="D1265" s="449" t="s">
        <v>498</v>
      </c>
      <c r="M1265" s="533">
        <f>-TrialBalance!L95-TrialBalanceA!I95-TrialBalanceB!I95-TrialBalanceC!I95</f>
        <v>0</v>
      </c>
      <c r="N1265" s="491"/>
      <c r="O1265" s="553">
        <f>-TrialBalance!N95-TrialBalanceA!K95-TrialBalanceB!K95-TrialBalanceC!K95</f>
        <v>0</v>
      </c>
      <c r="Q1265" s="469"/>
      <c r="R1265" s="512" t="str">
        <f>IF(M1265+O1265=0,"DELETE"," ")</f>
        <v>DELETE</v>
      </c>
      <c r="S1265" s="518"/>
      <c r="T1265" s="518"/>
      <c r="U1265" s="518"/>
      <c r="V1265" s="518"/>
      <c r="W1265" s="518"/>
      <c r="X1265" s="518"/>
    </row>
    <row r="1266" spans="2:24" ht="31.5" customHeight="1" x14ac:dyDescent="0.45">
      <c r="B1266" s="563"/>
      <c r="C1266" s="584"/>
      <c r="D1266" s="449" t="str">
        <f>TrialBalance!C96</f>
        <v>Revaluation of investment property</v>
      </c>
      <c r="M1266" s="533">
        <f>-TrialBalance!L96-TrialBalanceA!I96-TrialBalanceB!I96-TrialBalanceC!I96</f>
        <v>0</v>
      </c>
      <c r="N1266" s="491"/>
      <c r="O1266" s="553">
        <f>-TrialBalance!N96-TrialBalanceA!K96-TrialBalanceB!K96-TrialBalanceC!K96</f>
        <v>0</v>
      </c>
      <c r="Q1266" s="469"/>
      <c r="R1266" s="512" t="str">
        <f>IF(M1266+O1266=0,"DELETE"," ")</f>
        <v>DELETE</v>
      </c>
      <c r="S1266" s="518"/>
      <c r="T1266" s="518"/>
      <c r="U1266" s="518"/>
      <c r="V1266" s="518"/>
      <c r="W1266" s="518"/>
      <c r="X1266" s="518"/>
    </row>
    <row r="1267" spans="2:24" ht="9" customHeight="1" x14ac:dyDescent="0.45">
      <c r="B1267" s="563"/>
      <c r="C1267" s="584"/>
      <c r="M1267" s="534"/>
      <c r="N1267" s="473"/>
      <c r="O1267" s="554"/>
      <c r="Q1267" s="469"/>
      <c r="R1267" s="512" t="str">
        <f>R1259</f>
        <v>DELETE</v>
      </c>
      <c r="S1267" s="518"/>
      <c r="T1267" s="518"/>
      <c r="U1267" s="518"/>
      <c r="V1267" s="518"/>
      <c r="W1267" s="518"/>
      <c r="X1267" s="518"/>
    </row>
    <row r="1268" spans="2:24" ht="9" customHeight="1" x14ac:dyDescent="0.45">
      <c r="B1268" s="563"/>
      <c r="C1268" s="584"/>
      <c r="M1268" s="535"/>
      <c r="N1268" s="473"/>
      <c r="O1268" s="535"/>
      <c r="Q1268" s="469"/>
      <c r="R1268" s="512" t="str">
        <f>R1270</f>
        <v>DELETE</v>
      </c>
    </row>
    <row r="1269" spans="2:24" ht="9" customHeight="1" x14ac:dyDescent="0.45">
      <c r="B1269" s="563"/>
      <c r="C1269" s="584"/>
      <c r="M1269" s="531"/>
      <c r="N1269" s="470"/>
      <c r="O1269" s="531"/>
      <c r="Q1269" s="469"/>
      <c r="R1269" s="512" t="str">
        <f>R1270</f>
        <v>DELETE</v>
      </c>
    </row>
    <row r="1270" spans="2:24" ht="31.5" customHeight="1" x14ac:dyDescent="0.45">
      <c r="B1270" s="563"/>
      <c r="C1270" s="584"/>
      <c r="D1270" s="449" t="s">
        <v>669</v>
      </c>
      <c r="M1270" s="531">
        <f>SUM(S1230:S1268)</f>
        <v>0</v>
      </c>
      <c r="N1270" s="470"/>
      <c r="O1270" s="531">
        <f>SUM(U1230:U1268)</f>
        <v>0</v>
      </c>
      <c r="Q1270" s="469"/>
      <c r="R1270" s="512" t="str">
        <f>IF(M1270+O1270=0,"DELETE"," ")</f>
        <v>DELETE</v>
      </c>
      <c r="V1270" s="522"/>
      <c r="W1270" s="522"/>
      <c r="X1270" s="522"/>
    </row>
    <row r="1271" spans="2:24" ht="9" customHeight="1" thickBot="1" x14ac:dyDescent="0.5">
      <c r="B1271" s="563"/>
      <c r="C1271" s="584"/>
      <c r="M1271" s="536"/>
      <c r="N1271" s="474"/>
      <c r="O1271" s="536"/>
      <c r="Q1271" s="469"/>
      <c r="R1271" s="512" t="str">
        <f t="shared" ref="R1271:R1276" si="34">R$1270</f>
        <v>DELETE</v>
      </c>
    </row>
    <row r="1272" spans="2:24" ht="9" customHeight="1" thickTop="1" x14ac:dyDescent="0.45">
      <c r="B1272" s="563"/>
      <c r="C1272" s="584"/>
      <c r="M1272" s="548"/>
      <c r="N1272" s="491"/>
      <c r="O1272" s="548"/>
      <c r="Q1272" s="469"/>
      <c r="R1272" s="512" t="str">
        <f t="shared" si="34"/>
        <v>DELETE</v>
      </c>
    </row>
    <row r="1273" spans="2:24" ht="31.5" customHeight="1" x14ac:dyDescent="0.45">
      <c r="B1273" s="563"/>
      <c r="C1273" s="584"/>
      <c r="M1273" s="531"/>
      <c r="N1273" s="470"/>
      <c r="O1273" s="531"/>
      <c r="Q1273" s="469"/>
      <c r="R1273" s="512" t="str">
        <f t="shared" si="34"/>
        <v>DELETE</v>
      </c>
    </row>
    <row r="1274" spans="2:24" ht="31.5" customHeight="1" x14ac:dyDescent="0.45">
      <c r="B1274" s="563"/>
      <c r="C1274" s="584"/>
      <c r="M1274" s="531"/>
      <c r="N1274" s="470"/>
      <c r="O1274" s="531"/>
      <c r="Q1274" s="469"/>
      <c r="R1274" s="512" t="str">
        <f t="shared" si="34"/>
        <v>DELETE</v>
      </c>
    </row>
    <row r="1275" spans="2:24" ht="31.5" customHeight="1" x14ac:dyDescent="0.45">
      <c r="B1275" s="564"/>
      <c r="C1275" s="585"/>
      <c r="D1275" s="461"/>
      <c r="E1275" s="461"/>
      <c r="F1275" s="461"/>
      <c r="G1275" s="461"/>
      <c r="H1275" s="461"/>
      <c r="I1275" s="461"/>
      <c r="J1275" s="461"/>
      <c r="K1275" s="461"/>
      <c r="L1275" s="461"/>
      <c r="M1275" s="535"/>
      <c r="N1275" s="473"/>
      <c r="O1275" s="535"/>
      <c r="P1275" s="631"/>
      <c r="Q1275" s="479"/>
      <c r="R1275" s="512" t="str">
        <f t="shared" si="34"/>
        <v>DELETE</v>
      </c>
    </row>
    <row r="1276" spans="2:24" ht="31.5" customHeight="1" x14ac:dyDescent="0.45">
      <c r="B1276" s="526"/>
      <c r="C1276" s="450"/>
      <c r="M1276" s="531"/>
      <c r="N1276" s="470"/>
      <c r="O1276" s="531"/>
      <c r="R1276" s="512" t="str">
        <f t="shared" si="34"/>
        <v>DELETE</v>
      </c>
    </row>
    <row r="1277" spans="2:24" ht="31.5" customHeight="1" x14ac:dyDescent="0.45">
      <c r="B1277" s="527"/>
      <c r="M1277" s="635"/>
      <c r="N1277" s="621"/>
      <c r="O1277" s="635"/>
      <c r="R1277" s="512" t="str">
        <f>R$1334</f>
        <v>DELETE</v>
      </c>
    </row>
    <row r="1278" spans="2:24" ht="31.5" customHeight="1" x14ac:dyDescent="0.45">
      <c r="B1278" s="527"/>
      <c r="D1278" s="450" t="str">
        <f>Criteria!E9</f>
        <v>ABC COMPANY (PROPRIETARY) LIMITED</v>
      </c>
      <c r="M1278" s="635"/>
      <c r="N1278" s="621"/>
      <c r="O1278" s="531" t="s">
        <v>121</v>
      </c>
      <c r="Q1278" s="451">
        <f>MAX($Q$114:Q1277)+1</f>
        <v>30</v>
      </c>
      <c r="R1278" s="512" t="str">
        <f>R$1334</f>
        <v>DELETE</v>
      </c>
    </row>
    <row r="1279" spans="2:24" ht="31.5" customHeight="1" x14ac:dyDescent="0.45">
      <c r="B1279" s="527"/>
      <c r="D1279" s="450" t="str">
        <f>Criteria!E10</f>
        <v>T/A SEAFRONT HOTEL, SEAFRONT RESTAURANT AND RENTAL PROPERTIES</v>
      </c>
      <c r="M1279" s="635"/>
      <c r="N1279" s="621"/>
      <c r="O1279" s="635"/>
      <c r="R1279" s="512" t="str">
        <f>IF(R$1334="DELETE","DELETE",IF(D1279=0,"DELETE"," "))</f>
        <v>DELETE</v>
      </c>
    </row>
    <row r="1280" spans="2:24" ht="31.5" customHeight="1" x14ac:dyDescent="0.45">
      <c r="B1280" s="527"/>
      <c r="M1280" s="635"/>
      <c r="N1280" s="621"/>
      <c r="O1280" s="635"/>
      <c r="R1280" s="512" t="str">
        <f t="shared" ref="R1280:R1287" si="35">R$1334</f>
        <v>DELETE</v>
      </c>
    </row>
    <row r="1281" spans="2:18" ht="31.5" customHeight="1" x14ac:dyDescent="0.45">
      <c r="B1281" s="527"/>
      <c r="D1281" s="450" t="s">
        <v>451</v>
      </c>
      <c r="M1281" s="635"/>
      <c r="N1281" s="621"/>
      <c r="O1281" s="635"/>
      <c r="R1281" s="512" t="str">
        <f t="shared" si="35"/>
        <v>DELETE</v>
      </c>
    </row>
    <row r="1282" spans="2:18" ht="31.5" customHeight="1" x14ac:dyDescent="0.45">
      <c r="B1282" s="527"/>
      <c r="D1282" s="450" t="str">
        <f>Criteria!E20</f>
        <v>29 FEBRUARY 2024</v>
      </c>
      <c r="J1282" s="449" t="s">
        <v>303</v>
      </c>
      <c r="M1282" s="635"/>
      <c r="N1282" s="621"/>
      <c r="O1282" s="635"/>
      <c r="R1282" s="512" t="str">
        <f t="shared" si="35"/>
        <v>DELETE</v>
      </c>
    </row>
    <row r="1283" spans="2:18" ht="31.5" customHeight="1" x14ac:dyDescent="0.45">
      <c r="B1283" s="527"/>
      <c r="M1283" s="640"/>
      <c r="N1283" s="646"/>
      <c r="O1283" s="640"/>
      <c r="R1283" s="512" t="str">
        <f t="shared" si="35"/>
        <v>DELETE</v>
      </c>
    </row>
    <row r="1284" spans="2:18" ht="31.5" customHeight="1" x14ac:dyDescent="0.45">
      <c r="B1284" s="566"/>
      <c r="C1284" s="466"/>
      <c r="D1284" s="466"/>
      <c r="E1284" s="466"/>
      <c r="F1284" s="466"/>
      <c r="G1284" s="466"/>
      <c r="H1284" s="466"/>
      <c r="I1284" s="466"/>
      <c r="J1284" s="466"/>
      <c r="K1284" s="466"/>
      <c r="L1284" s="466"/>
      <c r="M1284" s="648"/>
      <c r="N1284" s="649"/>
      <c r="O1284" s="648"/>
      <c r="P1284" s="643"/>
      <c r="Q1284" s="467"/>
      <c r="R1284" s="512" t="str">
        <f t="shared" si="35"/>
        <v>DELETE</v>
      </c>
    </row>
    <row r="1285" spans="2:18" ht="31.5" customHeight="1" x14ac:dyDescent="0.45">
      <c r="B1285" s="582"/>
      <c r="M1285" s="525">
        <f>Criteria!E22</f>
        <v>2024</v>
      </c>
      <c r="N1285" s="458"/>
      <c r="O1285" s="525">
        <f>Criteria!E27</f>
        <v>2023</v>
      </c>
      <c r="Q1285" s="469"/>
      <c r="R1285" s="512" t="str">
        <f t="shared" si="35"/>
        <v>DELETE</v>
      </c>
    </row>
    <row r="1286" spans="2:18" ht="31.5" customHeight="1" x14ac:dyDescent="0.45">
      <c r="B1286" s="563"/>
      <c r="C1286" s="450"/>
      <c r="M1286" s="531"/>
      <c r="N1286" s="470"/>
      <c r="O1286" s="531"/>
      <c r="Q1286" s="469"/>
      <c r="R1286" s="512" t="str">
        <f t="shared" si="35"/>
        <v>DELETE</v>
      </c>
    </row>
    <row r="1287" spans="2:18" ht="31.5" customHeight="1" x14ac:dyDescent="0.45">
      <c r="B1287" s="563">
        <f>MAX(B$802:B1286)+1</f>
        <v>7</v>
      </c>
      <c r="C1287" s="450" t="s">
        <v>140</v>
      </c>
      <c r="M1287" s="531"/>
      <c r="N1287" s="470"/>
      <c r="O1287" s="531"/>
      <c r="Q1287" s="469"/>
      <c r="R1287" s="512" t="str">
        <f t="shared" si="35"/>
        <v>DELETE</v>
      </c>
    </row>
    <row r="1288" spans="2:18" ht="31.5" customHeight="1" x14ac:dyDescent="0.45">
      <c r="B1288" s="563"/>
      <c r="C1288" s="450"/>
      <c r="D1288" s="449">
        <f>TrialBalance!C142</f>
        <v>0</v>
      </c>
      <c r="M1288" s="531">
        <f>TrialBalance!L142</f>
        <v>0</v>
      </c>
      <c r="N1288" s="470"/>
      <c r="O1288" s="531">
        <f>TrialBalance!N142</f>
        <v>0</v>
      </c>
      <c r="Q1288" s="469"/>
      <c r="R1288" s="512" t="str">
        <f t="shared" ref="R1288:R1299" si="36">IF(M1288+O1288=0,"DELETE"," ")</f>
        <v>DELETE</v>
      </c>
    </row>
    <row r="1289" spans="2:18" ht="31.5" customHeight="1" x14ac:dyDescent="0.45">
      <c r="B1289" s="563"/>
      <c r="C1289" s="450"/>
      <c r="D1289" s="449">
        <f>TrialBalance!C143</f>
        <v>0</v>
      </c>
      <c r="M1289" s="531">
        <f>TrialBalance!L143</f>
        <v>0</v>
      </c>
      <c r="N1289" s="470"/>
      <c r="O1289" s="531">
        <f>TrialBalance!N143</f>
        <v>0</v>
      </c>
      <c r="Q1289" s="469"/>
      <c r="R1289" s="512" t="str">
        <f t="shared" si="36"/>
        <v>DELETE</v>
      </c>
    </row>
    <row r="1290" spans="2:18" ht="31.5" customHeight="1" x14ac:dyDescent="0.45">
      <c r="B1290" s="563"/>
      <c r="C1290" s="450"/>
      <c r="D1290" s="449">
        <f>TrialBalance!C144</f>
        <v>0</v>
      </c>
      <c r="M1290" s="531">
        <f>TrialBalance!L144</f>
        <v>0</v>
      </c>
      <c r="N1290" s="470"/>
      <c r="O1290" s="531">
        <f>TrialBalance!N144</f>
        <v>0</v>
      </c>
      <c r="Q1290" s="469"/>
      <c r="R1290" s="512" t="str">
        <f t="shared" si="36"/>
        <v>DELETE</v>
      </c>
    </row>
    <row r="1291" spans="2:18" ht="31.5" customHeight="1" x14ac:dyDescent="0.45">
      <c r="B1291" s="563"/>
      <c r="C1291" s="450"/>
      <c r="D1291" s="449">
        <f>TrialBalance!C145</f>
        <v>0</v>
      </c>
      <c r="M1291" s="531">
        <f>TrialBalance!L145</f>
        <v>0</v>
      </c>
      <c r="N1291" s="470"/>
      <c r="O1291" s="531">
        <f>TrialBalance!N145</f>
        <v>0</v>
      </c>
      <c r="Q1291" s="469"/>
      <c r="R1291" s="512" t="str">
        <f t="shared" ref="R1291:R1293" si="37">IF(M1291+O1291=0,"DELETE"," ")</f>
        <v>DELETE</v>
      </c>
    </row>
    <row r="1292" spans="2:18" ht="31.5" customHeight="1" x14ac:dyDescent="0.45">
      <c r="B1292" s="563"/>
      <c r="C1292" s="450"/>
      <c r="D1292" s="449">
        <f>TrialBalance!C146</f>
        <v>0</v>
      </c>
      <c r="M1292" s="531">
        <f>TrialBalance!L146</f>
        <v>0</v>
      </c>
      <c r="N1292" s="470"/>
      <c r="O1292" s="531">
        <f>TrialBalance!N146</f>
        <v>0</v>
      </c>
      <c r="Q1292" s="469"/>
      <c r="R1292" s="512" t="str">
        <f t="shared" si="37"/>
        <v>DELETE</v>
      </c>
    </row>
    <row r="1293" spans="2:18" ht="31.5" customHeight="1" x14ac:dyDescent="0.45">
      <c r="B1293" s="563"/>
      <c r="C1293" s="450"/>
      <c r="D1293" s="449">
        <f>TrialBalance!C147</f>
        <v>0</v>
      </c>
      <c r="M1293" s="531">
        <f>TrialBalance!L147</f>
        <v>0</v>
      </c>
      <c r="N1293" s="470"/>
      <c r="O1293" s="531">
        <f>TrialBalance!N147</f>
        <v>0</v>
      </c>
      <c r="Q1293" s="469"/>
      <c r="R1293" s="512" t="str">
        <f t="shared" si="37"/>
        <v>DELETE</v>
      </c>
    </row>
    <row r="1294" spans="2:18" ht="31.5" customHeight="1" x14ac:dyDescent="0.45">
      <c r="B1294" s="563"/>
      <c r="C1294" s="450"/>
      <c r="D1294" s="449">
        <f>TrialBalance!C148</f>
        <v>0</v>
      </c>
      <c r="M1294" s="531">
        <f>TrialBalance!L148</f>
        <v>0</v>
      </c>
      <c r="N1294" s="470"/>
      <c r="O1294" s="531">
        <f>TrialBalance!N148</f>
        <v>0</v>
      </c>
      <c r="Q1294" s="469"/>
      <c r="R1294" s="512" t="str">
        <f t="shared" si="36"/>
        <v>DELETE</v>
      </c>
    </row>
    <row r="1295" spans="2:18" ht="31.5" customHeight="1" x14ac:dyDescent="0.45">
      <c r="B1295" s="563"/>
      <c r="C1295" s="450"/>
      <c r="D1295" s="449">
        <f>TrialBalance!C149</f>
        <v>0</v>
      </c>
      <c r="M1295" s="531">
        <f>TrialBalance!L149</f>
        <v>0</v>
      </c>
      <c r="N1295" s="470"/>
      <c r="O1295" s="531">
        <f>TrialBalance!N149</f>
        <v>0</v>
      </c>
      <c r="Q1295" s="469"/>
      <c r="R1295" s="512" t="str">
        <f t="shared" si="36"/>
        <v>DELETE</v>
      </c>
    </row>
    <row r="1296" spans="2:18" ht="31.5" customHeight="1" x14ac:dyDescent="0.45">
      <c r="B1296" s="563"/>
      <c r="C1296" s="450"/>
      <c r="D1296" s="449">
        <f>TrialBalance!C150</f>
        <v>0</v>
      </c>
      <c r="M1296" s="531">
        <f>TrialBalance!L150</f>
        <v>0</v>
      </c>
      <c r="N1296" s="470"/>
      <c r="O1296" s="531">
        <f>TrialBalance!N150</f>
        <v>0</v>
      </c>
      <c r="Q1296" s="469"/>
      <c r="R1296" s="512" t="str">
        <f>IF(M1296+O1296=0,"DELETE"," ")</f>
        <v>DELETE</v>
      </c>
    </row>
    <row r="1297" spans="2:18" ht="31.5" customHeight="1" x14ac:dyDescent="0.45">
      <c r="B1297" s="563"/>
      <c r="C1297" s="450"/>
      <c r="D1297" s="449">
        <f>TrialBalance!C151</f>
        <v>0</v>
      </c>
      <c r="M1297" s="531">
        <f>TrialBalance!L151</f>
        <v>0</v>
      </c>
      <c r="N1297" s="470"/>
      <c r="O1297" s="531">
        <f>TrialBalance!N151</f>
        <v>0</v>
      </c>
      <c r="Q1297" s="469"/>
      <c r="R1297" s="512" t="str">
        <f>IF(M1297+O1297=0,"DELETE"," ")</f>
        <v>DELETE</v>
      </c>
    </row>
    <row r="1298" spans="2:18" ht="31.5" customHeight="1" x14ac:dyDescent="0.45">
      <c r="B1298" s="563"/>
      <c r="C1298" s="450"/>
      <c r="D1298" s="449" t="str">
        <f>TrialBalance!C152</f>
        <v>Interest on finance leases - Seafront Hotel</v>
      </c>
      <c r="M1298" s="531">
        <f>TrialBalance!L152</f>
        <v>0</v>
      </c>
      <c r="N1298" s="470"/>
      <c r="O1298" s="531">
        <f>TrialBalance!N152</f>
        <v>0</v>
      </c>
      <c r="Q1298" s="469"/>
      <c r="R1298" s="512" t="str">
        <f t="shared" si="36"/>
        <v>DELETE</v>
      </c>
    </row>
    <row r="1299" spans="2:18" ht="31.5" customHeight="1" x14ac:dyDescent="0.45">
      <c r="B1299" s="563"/>
      <c r="C1299" s="450"/>
      <c r="D1299" s="449">
        <f>TrialBalanceA!C142</f>
        <v>0</v>
      </c>
      <c r="M1299" s="531">
        <f>TrialBalanceA!I142</f>
        <v>0</v>
      </c>
      <c r="N1299" s="470"/>
      <c r="O1299" s="531">
        <f>TrialBalanceA!K142</f>
        <v>0</v>
      </c>
      <c r="Q1299" s="469"/>
      <c r="R1299" s="512" t="str">
        <f t="shared" si="36"/>
        <v>DELETE</v>
      </c>
    </row>
    <row r="1300" spans="2:18" ht="31.5" customHeight="1" x14ac:dyDescent="0.45">
      <c r="B1300" s="563"/>
      <c r="C1300" s="450"/>
      <c r="D1300" s="449">
        <f>TrialBalanceA!C143</f>
        <v>0</v>
      </c>
      <c r="M1300" s="531">
        <f>TrialBalanceA!I143</f>
        <v>0</v>
      </c>
      <c r="N1300" s="470"/>
      <c r="O1300" s="531">
        <f>TrialBalanceA!K143</f>
        <v>0</v>
      </c>
      <c r="Q1300" s="469"/>
      <c r="R1300" s="512" t="str">
        <f t="shared" ref="R1300:R1310" si="38">IF(M1300+O1300=0,"DELETE"," ")</f>
        <v>DELETE</v>
      </c>
    </row>
    <row r="1301" spans="2:18" ht="31.5" customHeight="1" x14ac:dyDescent="0.45">
      <c r="B1301" s="563"/>
      <c r="C1301" s="450"/>
      <c r="D1301" s="449">
        <f>TrialBalanceA!C144</f>
        <v>0</v>
      </c>
      <c r="M1301" s="531">
        <f>TrialBalanceA!I144</f>
        <v>0</v>
      </c>
      <c r="N1301" s="470"/>
      <c r="O1301" s="531">
        <f>TrialBalanceA!K144</f>
        <v>0</v>
      </c>
      <c r="Q1301" s="469"/>
      <c r="R1301" s="512" t="str">
        <f t="shared" si="38"/>
        <v>DELETE</v>
      </c>
    </row>
    <row r="1302" spans="2:18" ht="31.5" customHeight="1" x14ac:dyDescent="0.45">
      <c r="B1302" s="563"/>
      <c r="C1302" s="450"/>
      <c r="D1302" s="449">
        <f>TrialBalanceA!C145</f>
        <v>0</v>
      </c>
      <c r="M1302" s="531">
        <f>TrialBalanceA!I145</f>
        <v>0</v>
      </c>
      <c r="N1302" s="470"/>
      <c r="O1302" s="531">
        <f>TrialBalanceA!K145</f>
        <v>0</v>
      </c>
      <c r="Q1302" s="469"/>
      <c r="R1302" s="512" t="str">
        <f t="shared" si="38"/>
        <v>DELETE</v>
      </c>
    </row>
    <row r="1303" spans="2:18" ht="31.5" customHeight="1" x14ac:dyDescent="0.45">
      <c r="B1303" s="563"/>
      <c r="C1303" s="450"/>
      <c r="D1303" s="449">
        <f>TrialBalanceA!C146</f>
        <v>0</v>
      </c>
      <c r="M1303" s="531">
        <f>TrialBalanceA!I146</f>
        <v>0</v>
      </c>
      <c r="N1303" s="470"/>
      <c r="O1303" s="531">
        <f>TrialBalanceA!K146</f>
        <v>0</v>
      </c>
      <c r="Q1303" s="469"/>
      <c r="R1303" s="512" t="str">
        <f t="shared" si="38"/>
        <v>DELETE</v>
      </c>
    </row>
    <row r="1304" spans="2:18" ht="31.5" customHeight="1" x14ac:dyDescent="0.45">
      <c r="B1304" s="563"/>
      <c r="C1304" s="450"/>
      <c r="D1304" s="449">
        <f>TrialBalanceA!C147</f>
        <v>0</v>
      </c>
      <c r="M1304" s="531">
        <f>TrialBalanceA!I147</f>
        <v>0</v>
      </c>
      <c r="N1304" s="470"/>
      <c r="O1304" s="531">
        <f>TrialBalanceA!K147</f>
        <v>0</v>
      </c>
      <c r="Q1304" s="469"/>
      <c r="R1304" s="512" t="str">
        <f t="shared" si="38"/>
        <v>DELETE</v>
      </c>
    </row>
    <row r="1305" spans="2:18" ht="31.5" customHeight="1" x14ac:dyDescent="0.45">
      <c r="B1305" s="563"/>
      <c r="C1305" s="450"/>
      <c r="D1305" s="449">
        <f>TrialBalanceA!C148</f>
        <v>0</v>
      </c>
      <c r="M1305" s="531">
        <f>TrialBalanceA!I148</f>
        <v>0</v>
      </c>
      <c r="N1305" s="470"/>
      <c r="O1305" s="531">
        <f>TrialBalanceA!K148</f>
        <v>0</v>
      </c>
      <c r="Q1305" s="469"/>
      <c r="R1305" s="512" t="str">
        <f t="shared" ref="R1305:R1307" si="39">IF(M1305+O1305=0,"DELETE"," ")</f>
        <v>DELETE</v>
      </c>
    </row>
    <row r="1306" spans="2:18" ht="31.5" customHeight="1" x14ac:dyDescent="0.45">
      <c r="B1306" s="563"/>
      <c r="C1306" s="450"/>
      <c r="D1306" s="449">
        <f>TrialBalanceA!C149</f>
        <v>0</v>
      </c>
      <c r="M1306" s="531">
        <f>TrialBalanceA!I149</f>
        <v>0</v>
      </c>
      <c r="N1306" s="470"/>
      <c r="O1306" s="531">
        <f>TrialBalanceA!K149</f>
        <v>0</v>
      </c>
      <c r="Q1306" s="469"/>
      <c r="R1306" s="512" t="str">
        <f t="shared" si="39"/>
        <v>DELETE</v>
      </c>
    </row>
    <row r="1307" spans="2:18" ht="31.5" customHeight="1" x14ac:dyDescent="0.45">
      <c r="B1307" s="563"/>
      <c r="C1307" s="450"/>
      <c r="D1307" s="449">
        <f>TrialBalanceA!C150</f>
        <v>0</v>
      </c>
      <c r="M1307" s="531">
        <f>TrialBalanceA!I150</f>
        <v>0</v>
      </c>
      <c r="N1307" s="470"/>
      <c r="O1307" s="531">
        <f>TrialBalanceA!K150</f>
        <v>0</v>
      </c>
      <c r="Q1307" s="469"/>
      <c r="R1307" s="512" t="str">
        <f t="shared" si="39"/>
        <v>DELETE</v>
      </c>
    </row>
    <row r="1308" spans="2:18" ht="31.5" customHeight="1" x14ac:dyDescent="0.45">
      <c r="B1308" s="563"/>
      <c r="C1308" s="450"/>
      <c r="D1308" s="449">
        <f>TrialBalanceA!C151</f>
        <v>0</v>
      </c>
      <c r="M1308" s="531">
        <f>TrialBalanceA!I151</f>
        <v>0</v>
      </c>
      <c r="N1308" s="470"/>
      <c r="O1308" s="531">
        <f>TrialBalanceA!K151</f>
        <v>0</v>
      </c>
      <c r="Q1308" s="469"/>
      <c r="R1308" s="512" t="str">
        <f t="shared" si="38"/>
        <v>DELETE</v>
      </c>
    </row>
    <row r="1309" spans="2:18" ht="31.5" customHeight="1" x14ac:dyDescent="0.45">
      <c r="B1309" s="563"/>
      <c r="C1309" s="450"/>
      <c r="D1309" s="449" t="str">
        <f>TrialBalanceA!C152</f>
        <v>Interest on finance leases - Seafront Restaurant</v>
      </c>
      <c r="M1309" s="531">
        <f>TrialBalanceA!I152</f>
        <v>0</v>
      </c>
      <c r="N1309" s="470"/>
      <c r="O1309" s="531">
        <f>TrialBalanceA!K152</f>
        <v>0</v>
      </c>
      <c r="Q1309" s="469"/>
      <c r="R1309" s="512" t="str">
        <f t="shared" si="38"/>
        <v>DELETE</v>
      </c>
    </row>
    <row r="1310" spans="2:18" ht="31.5" customHeight="1" x14ac:dyDescent="0.45">
      <c r="B1310" s="563"/>
      <c r="C1310" s="450"/>
      <c r="D1310" s="449">
        <f>TrialBalanceB!C142</f>
        <v>0</v>
      </c>
      <c r="M1310" s="531">
        <f>TrialBalanceB!I142</f>
        <v>0</v>
      </c>
      <c r="N1310" s="470"/>
      <c r="O1310" s="531">
        <f>TrialBalanceB!K142</f>
        <v>0</v>
      </c>
      <c r="Q1310" s="469"/>
      <c r="R1310" s="512" t="str">
        <f t="shared" si="38"/>
        <v>DELETE</v>
      </c>
    </row>
    <row r="1311" spans="2:18" ht="31.5" customHeight="1" x14ac:dyDescent="0.45">
      <c r="B1311" s="563"/>
      <c r="C1311" s="450"/>
      <c r="D1311" s="449">
        <f>TrialBalanceB!C143</f>
        <v>0</v>
      </c>
      <c r="M1311" s="531">
        <f>TrialBalanceB!I143</f>
        <v>0</v>
      </c>
      <c r="N1311" s="470"/>
      <c r="O1311" s="531">
        <f>TrialBalanceB!K143</f>
        <v>0</v>
      </c>
      <c r="Q1311" s="469"/>
      <c r="R1311" s="512" t="str">
        <f t="shared" ref="R1311:R1321" si="40">IF(M1311+O1311=0,"DELETE"," ")</f>
        <v>DELETE</v>
      </c>
    </row>
    <row r="1312" spans="2:18" ht="31.5" customHeight="1" x14ac:dyDescent="0.45">
      <c r="B1312" s="563"/>
      <c r="C1312" s="450"/>
      <c r="D1312" s="449">
        <f>TrialBalanceB!C144</f>
        <v>0</v>
      </c>
      <c r="M1312" s="531">
        <f>TrialBalanceB!I144</f>
        <v>0</v>
      </c>
      <c r="N1312" s="470"/>
      <c r="O1312" s="531">
        <f>TrialBalanceB!K144</f>
        <v>0</v>
      </c>
      <c r="Q1312" s="469"/>
      <c r="R1312" s="512" t="str">
        <f t="shared" si="40"/>
        <v>DELETE</v>
      </c>
    </row>
    <row r="1313" spans="2:18" ht="31.5" customHeight="1" x14ac:dyDescent="0.45">
      <c r="B1313" s="563"/>
      <c r="C1313" s="450"/>
      <c r="D1313" s="449">
        <f>TrialBalanceB!C145</f>
        <v>0</v>
      </c>
      <c r="M1313" s="531">
        <f>TrialBalanceB!I145</f>
        <v>0</v>
      </c>
      <c r="N1313" s="470"/>
      <c r="O1313" s="531">
        <f>TrialBalanceB!K145</f>
        <v>0</v>
      </c>
      <c r="Q1313" s="469"/>
      <c r="R1313" s="512" t="str">
        <f t="shared" si="40"/>
        <v>DELETE</v>
      </c>
    </row>
    <row r="1314" spans="2:18" ht="31.5" customHeight="1" x14ac:dyDescent="0.45">
      <c r="B1314" s="563"/>
      <c r="C1314" s="450"/>
      <c r="D1314" s="449">
        <f>TrialBalanceB!C146</f>
        <v>0</v>
      </c>
      <c r="M1314" s="531">
        <f>TrialBalanceB!I146</f>
        <v>0</v>
      </c>
      <c r="N1314" s="470"/>
      <c r="O1314" s="531">
        <f>TrialBalanceB!K146</f>
        <v>0</v>
      </c>
      <c r="Q1314" s="469"/>
      <c r="R1314" s="512" t="str">
        <f t="shared" si="40"/>
        <v>DELETE</v>
      </c>
    </row>
    <row r="1315" spans="2:18" ht="31.5" customHeight="1" x14ac:dyDescent="0.45">
      <c r="B1315" s="563"/>
      <c r="C1315" s="450"/>
      <c r="D1315" s="449">
        <f>TrialBalanceB!C147</f>
        <v>0</v>
      </c>
      <c r="M1315" s="531">
        <f>TrialBalanceB!I147</f>
        <v>0</v>
      </c>
      <c r="N1315" s="470"/>
      <c r="O1315" s="531">
        <f>TrialBalanceB!K147</f>
        <v>0</v>
      </c>
      <c r="Q1315" s="469"/>
      <c r="R1315" s="512" t="str">
        <f t="shared" si="40"/>
        <v>DELETE</v>
      </c>
    </row>
    <row r="1316" spans="2:18" ht="31.5" customHeight="1" x14ac:dyDescent="0.45">
      <c r="B1316" s="563"/>
      <c r="C1316" s="450"/>
      <c r="D1316" s="449">
        <f>TrialBalanceB!C148</f>
        <v>0</v>
      </c>
      <c r="M1316" s="531">
        <f>TrialBalanceB!I148</f>
        <v>0</v>
      </c>
      <c r="N1316" s="470"/>
      <c r="O1316" s="531">
        <f>TrialBalanceB!K148</f>
        <v>0</v>
      </c>
      <c r="Q1316" s="469"/>
      <c r="R1316" s="512" t="str">
        <f t="shared" ref="R1316:R1318" si="41">IF(M1316+O1316=0,"DELETE"," ")</f>
        <v>DELETE</v>
      </c>
    </row>
    <row r="1317" spans="2:18" ht="31.5" customHeight="1" x14ac:dyDescent="0.45">
      <c r="B1317" s="563"/>
      <c r="C1317" s="450"/>
      <c r="D1317" s="449">
        <f>TrialBalanceB!C149</f>
        <v>0</v>
      </c>
      <c r="M1317" s="531">
        <f>TrialBalanceB!I149</f>
        <v>0</v>
      </c>
      <c r="N1317" s="470"/>
      <c r="O1317" s="531">
        <f>TrialBalanceB!K149</f>
        <v>0</v>
      </c>
      <c r="Q1317" s="469"/>
      <c r="R1317" s="512" t="str">
        <f t="shared" si="41"/>
        <v>DELETE</v>
      </c>
    </row>
    <row r="1318" spans="2:18" ht="31.5" customHeight="1" x14ac:dyDescent="0.45">
      <c r="B1318" s="563"/>
      <c r="C1318" s="450"/>
      <c r="D1318" s="449">
        <f>TrialBalanceB!C150</f>
        <v>0</v>
      </c>
      <c r="M1318" s="531">
        <f>TrialBalanceB!I150</f>
        <v>0</v>
      </c>
      <c r="N1318" s="470"/>
      <c r="O1318" s="531">
        <f>TrialBalanceB!K150</f>
        <v>0</v>
      </c>
      <c r="Q1318" s="469"/>
      <c r="R1318" s="512" t="str">
        <f t="shared" si="41"/>
        <v>DELETE</v>
      </c>
    </row>
    <row r="1319" spans="2:18" ht="31.5" customHeight="1" x14ac:dyDescent="0.45">
      <c r="B1319" s="563"/>
      <c r="C1319" s="450"/>
      <c r="D1319" s="449">
        <f>TrialBalanceB!C151</f>
        <v>0</v>
      </c>
      <c r="M1319" s="531">
        <f>TrialBalanceB!I151</f>
        <v>0</v>
      </c>
      <c r="N1319" s="470"/>
      <c r="O1319" s="531">
        <f>TrialBalanceB!K151</f>
        <v>0</v>
      </c>
      <c r="Q1319" s="469"/>
      <c r="R1319" s="512" t="str">
        <f t="shared" si="40"/>
        <v>DELETE</v>
      </c>
    </row>
    <row r="1320" spans="2:18" ht="31.5" customHeight="1" x14ac:dyDescent="0.45">
      <c r="B1320" s="563"/>
      <c r="C1320" s="450"/>
      <c r="D1320" s="449" t="str">
        <f>TrialBalanceB!C152</f>
        <v>Interest on finance leases - Rental Properties</v>
      </c>
      <c r="M1320" s="531">
        <f>TrialBalanceB!I152</f>
        <v>0</v>
      </c>
      <c r="N1320" s="470"/>
      <c r="O1320" s="531">
        <f>TrialBalanceB!K152</f>
        <v>0</v>
      </c>
      <c r="Q1320" s="469"/>
      <c r="R1320" s="512" t="str">
        <f t="shared" si="40"/>
        <v>DELETE</v>
      </c>
    </row>
    <row r="1321" spans="2:18" ht="31.5" customHeight="1" x14ac:dyDescent="0.45">
      <c r="B1321" s="563"/>
      <c r="C1321" s="450"/>
      <c r="D1321" s="449">
        <f>TrialBalanceC!C142</f>
        <v>0</v>
      </c>
      <c r="M1321" s="531">
        <f>TrialBalanceC!I142</f>
        <v>0</v>
      </c>
      <c r="N1321" s="470"/>
      <c r="O1321" s="531">
        <f>TrialBalanceC!K142</f>
        <v>0</v>
      </c>
      <c r="Q1321" s="469"/>
      <c r="R1321" s="512" t="str">
        <f t="shared" si="40"/>
        <v>DELETE</v>
      </c>
    </row>
    <row r="1322" spans="2:18" ht="31.5" customHeight="1" x14ac:dyDescent="0.45">
      <c r="B1322" s="563"/>
      <c r="C1322" s="450"/>
      <c r="D1322" s="449">
        <f>TrialBalanceC!C143</f>
        <v>0</v>
      </c>
      <c r="M1322" s="531">
        <f>TrialBalanceC!I143</f>
        <v>0</v>
      </c>
      <c r="N1322" s="470"/>
      <c r="O1322" s="531">
        <f>TrialBalanceC!K143</f>
        <v>0</v>
      </c>
      <c r="Q1322" s="469"/>
      <c r="R1322" s="512" t="str">
        <f t="shared" ref="R1322:R1331" si="42">IF(M1322+O1322=0,"DELETE"," ")</f>
        <v>DELETE</v>
      </c>
    </row>
    <row r="1323" spans="2:18" ht="31.5" customHeight="1" x14ac:dyDescent="0.45">
      <c r="B1323" s="563"/>
      <c r="C1323" s="450"/>
      <c r="D1323" s="449">
        <f>TrialBalanceC!C144</f>
        <v>0</v>
      </c>
      <c r="M1323" s="531">
        <f>TrialBalanceC!I144</f>
        <v>0</v>
      </c>
      <c r="N1323" s="470"/>
      <c r="O1323" s="531">
        <f>TrialBalanceC!K144</f>
        <v>0</v>
      </c>
      <c r="Q1323" s="469"/>
      <c r="R1323" s="512" t="str">
        <f t="shared" si="42"/>
        <v>DELETE</v>
      </c>
    </row>
    <row r="1324" spans="2:18" ht="31.5" customHeight="1" x14ac:dyDescent="0.45">
      <c r="B1324" s="563"/>
      <c r="C1324" s="450"/>
      <c r="D1324" s="449">
        <f>TrialBalanceC!C145</f>
        <v>0</v>
      </c>
      <c r="M1324" s="531">
        <f>TrialBalanceC!I145</f>
        <v>0</v>
      </c>
      <c r="N1324" s="470"/>
      <c r="O1324" s="531">
        <f>TrialBalanceC!K145</f>
        <v>0</v>
      </c>
      <c r="Q1324" s="469"/>
      <c r="R1324" s="512" t="str">
        <f t="shared" si="42"/>
        <v>DELETE</v>
      </c>
    </row>
    <row r="1325" spans="2:18" ht="31.5" customHeight="1" x14ac:dyDescent="0.45">
      <c r="B1325" s="563"/>
      <c r="C1325" s="450"/>
      <c r="D1325" s="449">
        <f>TrialBalanceC!C146</f>
        <v>0</v>
      </c>
      <c r="M1325" s="531">
        <f>TrialBalanceC!I146</f>
        <v>0</v>
      </c>
      <c r="N1325" s="470"/>
      <c r="O1325" s="531">
        <f>TrialBalanceC!K146</f>
        <v>0</v>
      </c>
      <c r="Q1325" s="469"/>
      <c r="R1325" s="512" t="str">
        <f t="shared" si="42"/>
        <v>DELETE</v>
      </c>
    </row>
    <row r="1326" spans="2:18" ht="31.5" customHeight="1" x14ac:dyDescent="0.45">
      <c r="B1326" s="563"/>
      <c r="C1326" s="450"/>
      <c r="D1326" s="449">
        <f>TrialBalanceC!C147</f>
        <v>0</v>
      </c>
      <c r="M1326" s="531">
        <f>TrialBalanceC!I147</f>
        <v>0</v>
      </c>
      <c r="N1326" s="470"/>
      <c r="O1326" s="531">
        <f>TrialBalanceC!K147</f>
        <v>0</v>
      </c>
      <c r="Q1326" s="469"/>
      <c r="R1326" s="512" t="str">
        <f t="shared" si="42"/>
        <v>DELETE</v>
      </c>
    </row>
    <row r="1327" spans="2:18" ht="31.5" customHeight="1" x14ac:dyDescent="0.45">
      <c r="B1327" s="563"/>
      <c r="C1327" s="450"/>
      <c r="D1327" s="449">
        <f>TrialBalanceC!C148</f>
        <v>0</v>
      </c>
      <c r="M1327" s="531">
        <f>TrialBalanceC!I148</f>
        <v>0</v>
      </c>
      <c r="N1327" s="470"/>
      <c r="O1327" s="531">
        <f>TrialBalanceC!K148</f>
        <v>0</v>
      </c>
      <c r="Q1327" s="469"/>
      <c r="R1327" s="512" t="str">
        <f t="shared" ref="R1327:R1329" si="43">IF(M1327+O1327=0,"DELETE"," ")</f>
        <v>DELETE</v>
      </c>
    </row>
    <row r="1328" spans="2:18" ht="31.5" customHeight="1" x14ac:dyDescent="0.45">
      <c r="B1328" s="563"/>
      <c r="C1328" s="450"/>
      <c r="D1328" s="449">
        <f>TrialBalanceC!C149</f>
        <v>0</v>
      </c>
      <c r="M1328" s="531">
        <f>TrialBalanceC!I149</f>
        <v>0</v>
      </c>
      <c r="N1328" s="470"/>
      <c r="O1328" s="531">
        <f>TrialBalanceC!K149</f>
        <v>0</v>
      </c>
      <c r="Q1328" s="469"/>
      <c r="R1328" s="512" t="str">
        <f t="shared" si="43"/>
        <v>DELETE</v>
      </c>
    </row>
    <row r="1329" spans="2:18" ht="31.5" customHeight="1" x14ac:dyDescent="0.45">
      <c r="B1329" s="563"/>
      <c r="C1329" s="450"/>
      <c r="D1329" s="449">
        <f>TrialBalanceC!C150</f>
        <v>0</v>
      </c>
      <c r="M1329" s="531">
        <f>TrialBalanceC!I150</f>
        <v>0</v>
      </c>
      <c r="N1329" s="470"/>
      <c r="O1329" s="531">
        <f>TrialBalanceC!K150</f>
        <v>0</v>
      </c>
      <c r="Q1329" s="469"/>
      <c r="R1329" s="512" t="str">
        <f t="shared" si="43"/>
        <v>DELETE</v>
      </c>
    </row>
    <row r="1330" spans="2:18" ht="31.5" customHeight="1" x14ac:dyDescent="0.45">
      <c r="B1330" s="563"/>
      <c r="C1330" s="450"/>
      <c r="D1330" s="449">
        <f>TrialBalanceC!C151</f>
        <v>0</v>
      </c>
      <c r="M1330" s="531">
        <f>TrialBalanceC!I151</f>
        <v>0</v>
      </c>
      <c r="N1330" s="470"/>
      <c r="O1330" s="531">
        <f>TrialBalanceC!K151</f>
        <v>0</v>
      </c>
      <c r="Q1330" s="469"/>
      <c r="R1330" s="512" t="str">
        <f t="shared" si="42"/>
        <v>DELETE</v>
      </c>
    </row>
    <row r="1331" spans="2:18" ht="31.5" customHeight="1" x14ac:dyDescent="0.45">
      <c r="B1331" s="563"/>
      <c r="C1331" s="450"/>
      <c r="D1331" s="449" t="str">
        <f>TrialBalanceC!C152</f>
        <v xml:space="preserve">Interest on finance leases - </v>
      </c>
      <c r="M1331" s="531">
        <f>TrialBalanceC!I152</f>
        <v>0</v>
      </c>
      <c r="N1331" s="470"/>
      <c r="O1331" s="531">
        <f>TrialBalanceC!K152</f>
        <v>0</v>
      </c>
      <c r="Q1331" s="469"/>
      <c r="R1331" s="512" t="str">
        <f t="shared" si="42"/>
        <v>DELETE</v>
      </c>
    </row>
    <row r="1332" spans="2:18" ht="9" customHeight="1" x14ac:dyDescent="0.45">
      <c r="B1332" s="563"/>
      <c r="C1332" s="450"/>
      <c r="M1332" s="535"/>
      <c r="N1332" s="473"/>
      <c r="O1332" s="535"/>
      <c r="Q1332" s="469"/>
      <c r="R1332" s="512" t="str">
        <f>R$1334</f>
        <v>DELETE</v>
      </c>
    </row>
    <row r="1333" spans="2:18" ht="9" customHeight="1" x14ac:dyDescent="0.45">
      <c r="B1333" s="563"/>
      <c r="C1333" s="450"/>
      <c r="M1333" s="531"/>
      <c r="N1333" s="470"/>
      <c r="O1333" s="531"/>
      <c r="Q1333" s="469"/>
      <c r="R1333" s="512" t="str">
        <f>R$1334</f>
        <v>DELETE</v>
      </c>
    </row>
    <row r="1334" spans="2:18" ht="31.5" customHeight="1" x14ac:dyDescent="0.45">
      <c r="B1334" s="563"/>
      <c r="C1334" s="450"/>
      <c r="M1334" s="531">
        <f>SUM(M1288:M1333)</f>
        <v>0</v>
      </c>
      <c r="N1334" s="470"/>
      <c r="O1334" s="531">
        <f>SUM(O1288:O1333)</f>
        <v>0</v>
      </c>
      <c r="Q1334" s="469"/>
      <c r="R1334" s="512" t="str">
        <f>IF(M1334+O1334=0,"DELETE"," ")</f>
        <v>DELETE</v>
      </c>
    </row>
    <row r="1335" spans="2:18" ht="9" customHeight="1" thickBot="1" x14ac:dyDescent="0.5">
      <c r="B1335" s="563"/>
      <c r="C1335" s="450"/>
      <c r="M1335" s="536"/>
      <c r="N1335" s="474"/>
      <c r="O1335" s="536"/>
      <c r="Q1335" s="469"/>
      <c r="R1335" s="512" t="str">
        <f t="shared" ref="R1335:R1340" si="44">R$1334</f>
        <v>DELETE</v>
      </c>
    </row>
    <row r="1336" spans="2:18" ht="9" customHeight="1" thickTop="1" x14ac:dyDescent="0.45">
      <c r="B1336" s="563"/>
      <c r="C1336" s="450"/>
      <c r="M1336" s="548"/>
      <c r="N1336" s="491"/>
      <c r="O1336" s="548"/>
      <c r="Q1336" s="469"/>
      <c r="R1336" s="512" t="str">
        <f t="shared" si="44"/>
        <v>DELETE</v>
      </c>
    </row>
    <row r="1337" spans="2:18" ht="31.5" customHeight="1" x14ac:dyDescent="0.45">
      <c r="B1337" s="563"/>
      <c r="C1337" s="450"/>
      <c r="M1337" s="548"/>
      <c r="N1337" s="491"/>
      <c r="O1337" s="548"/>
      <c r="Q1337" s="469"/>
      <c r="R1337" s="512" t="str">
        <f t="shared" si="44"/>
        <v>DELETE</v>
      </c>
    </row>
    <row r="1338" spans="2:18" ht="31.5" customHeight="1" x14ac:dyDescent="0.45">
      <c r="B1338" s="563"/>
      <c r="C1338" s="450"/>
      <c r="M1338" s="548"/>
      <c r="N1338" s="491"/>
      <c r="O1338" s="548"/>
      <c r="Q1338" s="469"/>
      <c r="R1338" s="512" t="str">
        <f t="shared" si="44"/>
        <v>DELETE</v>
      </c>
    </row>
    <row r="1339" spans="2:18" ht="31.5" customHeight="1" x14ac:dyDescent="0.45">
      <c r="B1339" s="564"/>
      <c r="C1339" s="502"/>
      <c r="D1339" s="461"/>
      <c r="E1339" s="461"/>
      <c r="F1339" s="461"/>
      <c r="G1339" s="461"/>
      <c r="H1339" s="461"/>
      <c r="I1339" s="461"/>
      <c r="J1339" s="461"/>
      <c r="K1339" s="461"/>
      <c r="L1339" s="461"/>
      <c r="M1339" s="535"/>
      <c r="N1339" s="473"/>
      <c r="O1339" s="535"/>
      <c r="P1339" s="631"/>
      <c r="Q1339" s="479"/>
      <c r="R1339" s="512" t="str">
        <f t="shared" si="44"/>
        <v>DELETE</v>
      </c>
    </row>
    <row r="1340" spans="2:18" ht="31.5" customHeight="1" x14ac:dyDescent="0.45">
      <c r="B1340" s="526"/>
      <c r="C1340" s="450"/>
      <c r="M1340" s="531"/>
      <c r="N1340" s="470"/>
      <c r="O1340" s="531"/>
      <c r="R1340" s="512" t="str">
        <f t="shared" si="44"/>
        <v>DELETE</v>
      </c>
    </row>
    <row r="1341" spans="2:18" ht="31.5" customHeight="1" x14ac:dyDescent="0.45">
      <c r="B1341" s="526"/>
      <c r="C1341" s="450"/>
      <c r="M1341" s="531"/>
      <c r="N1341" s="470"/>
      <c r="O1341" s="531"/>
    </row>
    <row r="1342" spans="2:18" ht="31.5" customHeight="1" x14ac:dyDescent="0.45">
      <c r="B1342" s="527"/>
      <c r="D1342" s="450" t="str">
        <f>Criteria!E9</f>
        <v>ABC COMPANY (PROPRIETARY) LIMITED</v>
      </c>
      <c r="M1342" s="635"/>
      <c r="N1342" s="621"/>
      <c r="O1342" s="531" t="s">
        <v>121</v>
      </c>
      <c r="Q1342" s="451">
        <f>MAX($Q$114:Q1341)+1</f>
        <v>31</v>
      </c>
    </row>
    <row r="1343" spans="2:18" ht="31.5" customHeight="1" x14ac:dyDescent="0.45">
      <c r="B1343" s="527"/>
      <c r="D1343" s="450" t="str">
        <f>Criteria!E10</f>
        <v>T/A SEAFRONT HOTEL, SEAFRONT RESTAURANT AND RENTAL PROPERTIES</v>
      </c>
      <c r="M1343" s="635"/>
      <c r="N1343" s="621"/>
      <c r="O1343" s="635"/>
      <c r="R1343" s="512" t="str">
        <f>IF(D1343=0,"DELETE"," ")</f>
        <v xml:space="preserve"> </v>
      </c>
    </row>
    <row r="1344" spans="2:18" ht="31.5" customHeight="1" x14ac:dyDescent="0.45">
      <c r="B1344" s="527"/>
      <c r="M1344" s="635"/>
      <c r="N1344" s="621"/>
      <c r="O1344" s="635"/>
    </row>
    <row r="1345" spans="2:24" ht="31.5" customHeight="1" x14ac:dyDescent="0.45">
      <c r="B1345" s="527"/>
      <c r="D1345" s="450" t="s">
        <v>451</v>
      </c>
      <c r="M1345" s="635"/>
      <c r="N1345" s="621"/>
      <c r="O1345" s="635"/>
    </row>
    <row r="1346" spans="2:24" ht="31.5" customHeight="1" x14ac:dyDescent="0.45">
      <c r="B1346" s="527"/>
      <c r="D1346" s="450" t="str">
        <f>Criteria!E20</f>
        <v>29 FEBRUARY 2024</v>
      </c>
      <c r="J1346" s="449" t="s">
        <v>303</v>
      </c>
      <c r="M1346" s="635"/>
      <c r="N1346" s="621"/>
      <c r="O1346" s="635"/>
    </row>
    <row r="1347" spans="2:24" ht="31.5" customHeight="1" x14ac:dyDescent="0.45">
      <c r="B1347" s="527"/>
      <c r="D1347" s="450"/>
      <c r="M1347" s="635"/>
      <c r="N1347" s="621"/>
      <c r="O1347" s="635"/>
    </row>
    <row r="1348" spans="2:24" ht="31.5" customHeight="1" x14ac:dyDescent="0.45">
      <c r="B1348" s="565"/>
      <c r="C1348" s="503"/>
      <c r="D1348" s="466"/>
      <c r="E1348" s="466"/>
      <c r="F1348" s="466"/>
      <c r="G1348" s="466"/>
      <c r="H1348" s="466"/>
      <c r="I1348" s="466"/>
      <c r="J1348" s="466"/>
      <c r="K1348" s="466"/>
      <c r="L1348" s="466"/>
      <c r="M1348" s="546"/>
      <c r="N1348" s="471"/>
      <c r="O1348" s="546"/>
      <c r="P1348" s="643"/>
      <c r="Q1348" s="467"/>
    </row>
    <row r="1349" spans="2:24" ht="31.5" customHeight="1" x14ac:dyDescent="0.45">
      <c r="B1349" s="563"/>
      <c r="C1349" s="450"/>
      <c r="M1349" s="525">
        <f>Criteria!E22</f>
        <v>2024</v>
      </c>
      <c r="N1349" s="458"/>
      <c r="O1349" s="525">
        <f>Criteria!E27</f>
        <v>2023</v>
      </c>
      <c r="Q1349" s="469"/>
    </row>
    <row r="1350" spans="2:24" ht="31.5" customHeight="1" x14ac:dyDescent="0.45">
      <c r="B1350" s="563"/>
      <c r="C1350" s="450"/>
      <c r="M1350" s="531"/>
      <c r="N1350" s="470"/>
      <c r="O1350" s="531"/>
      <c r="Q1350" s="469"/>
    </row>
    <row r="1351" spans="2:24" ht="31.5" customHeight="1" x14ac:dyDescent="0.45">
      <c r="B1351" s="563">
        <f>MAX(B$802:B1350)+1</f>
        <v>8</v>
      </c>
      <c r="C1351" s="450" t="s">
        <v>141</v>
      </c>
      <c r="M1351" s="531"/>
      <c r="N1351" s="470"/>
      <c r="O1351" s="531"/>
      <c r="Q1351" s="469"/>
    </row>
    <row r="1352" spans="2:24" ht="31.5" customHeight="1" x14ac:dyDescent="0.45">
      <c r="B1352" s="563"/>
      <c r="C1352" s="583">
        <f>B1351+0.1</f>
        <v>8.1</v>
      </c>
      <c r="D1352" s="449" t="s">
        <v>348</v>
      </c>
      <c r="M1352" s="531"/>
      <c r="N1352" s="470"/>
      <c r="O1352" s="531"/>
      <c r="Q1352" s="469"/>
    </row>
    <row r="1353" spans="2:24" ht="31.5" customHeight="1" x14ac:dyDescent="0.45">
      <c r="B1353" s="563"/>
      <c r="C1353" s="584"/>
      <c r="D1353" s="449" t="s">
        <v>946</v>
      </c>
      <c r="M1353" s="531">
        <f>SUM(M1356:M1357)</f>
        <v>0</v>
      </c>
      <c r="N1353" s="470"/>
      <c r="O1353" s="531">
        <f>SUM(O1356:O1357)</f>
        <v>0</v>
      </c>
      <c r="Q1353" s="469"/>
      <c r="S1353" s="517">
        <f>M1353</f>
        <v>0</v>
      </c>
      <c r="T1353" s="517"/>
      <c r="U1353" s="517">
        <f>O1353</f>
        <v>0</v>
      </c>
      <c r="V1353" s="517"/>
      <c r="W1353" s="517"/>
      <c r="X1353" s="517"/>
    </row>
    <row r="1354" spans="2:24" ht="9" customHeight="1" x14ac:dyDescent="0.45">
      <c r="B1354" s="563"/>
      <c r="C1354" s="584"/>
      <c r="M1354" s="531"/>
      <c r="N1354" s="470"/>
      <c r="O1354" s="531"/>
      <c r="Q1354" s="469"/>
    </row>
    <row r="1355" spans="2:24" ht="9" customHeight="1" x14ac:dyDescent="0.45">
      <c r="B1355" s="563"/>
      <c r="C1355" s="584"/>
      <c r="M1355" s="532"/>
      <c r="N1355" s="471"/>
      <c r="O1355" s="552"/>
      <c r="Q1355" s="469"/>
    </row>
    <row r="1356" spans="2:24" ht="31.5" customHeight="1" x14ac:dyDescent="0.45">
      <c r="B1356" s="563"/>
      <c r="C1356" s="584"/>
      <c r="D1356" s="449" t="s">
        <v>663</v>
      </c>
      <c r="M1356" s="533">
        <f>TrialBalance!L157</f>
        <v>0</v>
      </c>
      <c r="N1356" s="470"/>
      <c r="O1356" s="553">
        <f>TrialBalance!N157</f>
        <v>0</v>
      </c>
      <c r="Q1356" s="469"/>
    </row>
    <row r="1357" spans="2:24" ht="31.5" customHeight="1" x14ac:dyDescent="0.45">
      <c r="B1357" s="563"/>
      <c r="C1357" s="584"/>
      <c r="D1357" s="449" t="s">
        <v>664</v>
      </c>
      <c r="M1357" s="533">
        <f>TrialBalance!L158</f>
        <v>0</v>
      </c>
      <c r="N1357" s="470"/>
      <c r="O1357" s="553">
        <f>TrialBalance!N158</f>
        <v>0</v>
      </c>
      <c r="Q1357" s="469"/>
      <c r="R1357" s="512" t="str">
        <f>IF(M1357+O1357=0,"DELETE"," ")</f>
        <v>DELETE</v>
      </c>
    </row>
    <row r="1358" spans="2:24" ht="9" customHeight="1" x14ac:dyDescent="0.45">
      <c r="B1358" s="563"/>
      <c r="C1358" s="584"/>
      <c r="M1358" s="534"/>
      <c r="N1358" s="473"/>
      <c r="O1358" s="554"/>
      <c r="Q1358" s="469"/>
    </row>
    <row r="1359" spans="2:24" ht="9" customHeight="1" x14ac:dyDescent="0.45">
      <c r="B1359" s="563"/>
      <c r="C1359" s="584"/>
      <c r="M1359" s="531"/>
      <c r="N1359" s="470"/>
      <c r="O1359" s="531"/>
      <c r="Q1359" s="469"/>
    </row>
    <row r="1360" spans="2:24" ht="31.5" customHeight="1" x14ac:dyDescent="0.45">
      <c r="B1360" s="563"/>
      <c r="C1360" s="584"/>
      <c r="D1360" s="449" t="s">
        <v>665</v>
      </c>
      <c r="M1360" s="531">
        <f>SUM(M1363:M1365)</f>
        <v>0</v>
      </c>
      <c r="N1360" s="470"/>
      <c r="O1360" s="531">
        <f>SUM(O1363:O1365)</f>
        <v>0</v>
      </c>
      <c r="Q1360" s="469"/>
      <c r="R1360" s="512" t="str">
        <f>IF(R1363=" "," ",IF(R1365=" "," ",IF(R1364=" "," ","DELETE")))</f>
        <v>DELETE</v>
      </c>
      <c r="S1360" s="517">
        <f>M1360</f>
        <v>0</v>
      </c>
      <c r="T1360" s="517"/>
      <c r="U1360" s="517">
        <f>O1360</f>
        <v>0</v>
      </c>
      <c r="V1360" s="517"/>
      <c r="W1360" s="517"/>
      <c r="X1360" s="517"/>
    </row>
    <row r="1361" spans="2:18" ht="9" customHeight="1" x14ac:dyDescent="0.45">
      <c r="B1361" s="563"/>
      <c r="C1361" s="584"/>
      <c r="M1361" s="531"/>
      <c r="N1361" s="470"/>
      <c r="O1361" s="531"/>
      <c r="Q1361" s="469"/>
      <c r="R1361" s="512" t="str">
        <f>R1360</f>
        <v>DELETE</v>
      </c>
    </row>
    <row r="1362" spans="2:18" ht="9" customHeight="1" x14ac:dyDescent="0.45">
      <c r="B1362" s="563"/>
      <c r="C1362" s="584"/>
      <c r="M1362" s="532"/>
      <c r="N1362" s="471"/>
      <c r="O1362" s="552"/>
      <c r="Q1362" s="469"/>
      <c r="R1362" s="512" t="str">
        <f>R1360</f>
        <v>DELETE</v>
      </c>
    </row>
    <row r="1363" spans="2:18" ht="31.5" customHeight="1" x14ac:dyDescent="0.45">
      <c r="B1363" s="563"/>
      <c r="C1363" s="584"/>
      <c r="D1363" s="449" t="s">
        <v>663</v>
      </c>
      <c r="M1363" s="533">
        <f>TrialBalance!L160</f>
        <v>0</v>
      </c>
      <c r="N1363" s="470"/>
      <c r="O1363" s="553">
        <f>TrialBalance!N160</f>
        <v>0</v>
      </c>
      <c r="Q1363" s="469"/>
      <c r="R1363" s="512" t="str">
        <f>IF(M1363=0,IF(O1363=0,"DELETE"," ")," ")</f>
        <v>DELETE</v>
      </c>
    </row>
    <row r="1364" spans="2:18" ht="31.5" customHeight="1" x14ac:dyDescent="0.45">
      <c r="B1364" s="563"/>
      <c r="C1364" s="584"/>
      <c r="D1364" s="449" t="s">
        <v>1604</v>
      </c>
      <c r="M1364" s="533">
        <f>TrialBalance!L161</f>
        <v>0</v>
      </c>
      <c r="N1364" s="470"/>
      <c r="O1364" s="553">
        <f>TrialBalance!N161</f>
        <v>0</v>
      </c>
      <c r="Q1364" s="469"/>
      <c r="R1364" s="512" t="str">
        <f>IF(M1364=0,IF(O1364=0,"DELETE"," ")," ")</f>
        <v>DELETE</v>
      </c>
    </row>
    <row r="1365" spans="2:18" ht="31.5" customHeight="1" x14ac:dyDescent="0.45">
      <c r="B1365" s="563"/>
      <c r="C1365" s="584"/>
      <c r="D1365" s="449" t="s">
        <v>664</v>
      </c>
      <c r="M1365" s="533">
        <f>TrialBalance!L162</f>
        <v>0</v>
      </c>
      <c r="N1365" s="470"/>
      <c r="O1365" s="553">
        <f>TrialBalance!N162</f>
        <v>0</v>
      </c>
      <c r="Q1365" s="469"/>
      <c r="R1365" s="512" t="str">
        <f>IF(M1365=0,IF(O1365=0,"DELETE"," ")," ")</f>
        <v>DELETE</v>
      </c>
    </row>
    <row r="1366" spans="2:18" ht="9" customHeight="1" x14ac:dyDescent="0.45">
      <c r="B1366" s="563"/>
      <c r="C1366" s="584"/>
      <c r="M1366" s="534"/>
      <c r="N1366" s="473"/>
      <c r="O1366" s="554"/>
      <c r="Q1366" s="469"/>
      <c r="R1366" s="512" t="str">
        <f>R1360</f>
        <v>DELETE</v>
      </c>
    </row>
    <row r="1367" spans="2:18" ht="9" customHeight="1" x14ac:dyDescent="0.45">
      <c r="B1367" s="563"/>
      <c r="C1367" s="584"/>
      <c r="M1367" s="531"/>
      <c r="N1367" s="470"/>
      <c r="O1367" s="531"/>
      <c r="Q1367" s="469"/>
      <c r="R1367" s="512" t="str">
        <f>R1360</f>
        <v>DELETE</v>
      </c>
    </row>
    <row r="1368" spans="2:18" ht="9" customHeight="1" x14ac:dyDescent="0.45">
      <c r="B1368" s="563"/>
      <c r="C1368" s="584"/>
      <c r="M1368" s="535"/>
      <c r="N1368" s="473"/>
      <c r="O1368" s="535"/>
      <c r="Q1368" s="469"/>
    </row>
    <row r="1369" spans="2:18" ht="9" customHeight="1" x14ac:dyDescent="0.45">
      <c r="B1369" s="563"/>
      <c r="C1369" s="584"/>
      <c r="M1369" s="531"/>
      <c r="N1369" s="470"/>
      <c r="O1369" s="531"/>
      <c r="Q1369" s="469"/>
    </row>
    <row r="1370" spans="2:18" ht="31.5" customHeight="1" x14ac:dyDescent="0.45">
      <c r="B1370" s="563"/>
      <c r="C1370" s="584"/>
      <c r="D1370" s="449" t="s">
        <v>947</v>
      </c>
      <c r="M1370" s="531">
        <f>SUM(S1353:S1367)</f>
        <v>0</v>
      </c>
      <c r="N1370" s="470"/>
      <c r="O1370" s="531">
        <f>SUM(U1353:U1367)</f>
        <v>0</v>
      </c>
      <c r="Q1370" s="469"/>
    </row>
    <row r="1371" spans="2:18" ht="9" customHeight="1" thickBot="1" x14ac:dyDescent="0.5">
      <c r="B1371" s="563"/>
      <c r="C1371" s="584"/>
      <c r="M1371" s="536"/>
      <c r="N1371" s="474"/>
      <c r="O1371" s="536"/>
      <c r="Q1371" s="469"/>
    </row>
    <row r="1372" spans="2:18" ht="9" customHeight="1" thickTop="1" x14ac:dyDescent="0.45">
      <c r="B1372" s="563"/>
      <c r="C1372" s="584"/>
      <c r="M1372" s="548"/>
      <c r="N1372" s="491"/>
      <c r="O1372" s="548"/>
      <c r="Q1372" s="469"/>
    </row>
    <row r="1373" spans="2:18" ht="31.5" customHeight="1" x14ac:dyDescent="0.45">
      <c r="B1373" s="563"/>
      <c r="C1373" s="584"/>
      <c r="M1373" s="531"/>
      <c r="N1373" s="470"/>
      <c r="O1373" s="531"/>
      <c r="Q1373" s="469"/>
    </row>
    <row r="1374" spans="2:18" ht="31.5" customHeight="1" x14ac:dyDescent="0.45">
      <c r="B1374" s="563"/>
      <c r="C1374" s="584"/>
      <c r="D1374" s="449" t="str">
        <f>IF(TrialBalance!L157=0,"No provision has been made for normal taxation as the company had no taxable"," ")</f>
        <v>No provision has been made for normal taxation as the company had no taxable</v>
      </c>
      <c r="M1374" s="531"/>
      <c r="N1374" s="470"/>
      <c r="O1374" s="531"/>
      <c r="Q1374" s="469"/>
      <c r="R1374" s="512" t="str">
        <f>IF(D1374=" ","DELETE"," ")</f>
        <v xml:space="preserve"> </v>
      </c>
    </row>
    <row r="1375" spans="2:18" ht="31.5" customHeight="1" x14ac:dyDescent="0.45">
      <c r="B1375" s="563"/>
      <c r="C1375" s="584"/>
      <c r="D1375" s="449" t="str">
        <f>IF(TrialBalance!L157=0,"income for the period under review."," ")</f>
        <v>income for the period under review.</v>
      </c>
      <c r="M1375" s="531"/>
      <c r="N1375" s="470"/>
      <c r="O1375" s="531"/>
      <c r="Q1375" s="469"/>
      <c r="R1375" s="512" t="str">
        <f>IF(D1375=" ","DELETE"," ")</f>
        <v xml:space="preserve"> </v>
      </c>
    </row>
    <row r="1376" spans="2:18" ht="31.5" customHeight="1" x14ac:dyDescent="0.45">
      <c r="B1376" s="563"/>
      <c r="C1376" s="584"/>
      <c r="M1376" s="531"/>
      <c r="N1376" s="470"/>
      <c r="O1376" s="531"/>
      <c r="Q1376" s="469"/>
    </row>
    <row r="1377" spans="2:18" ht="31.5" customHeight="1" x14ac:dyDescent="0.45">
      <c r="B1377" s="563"/>
      <c r="C1377" s="584"/>
      <c r="M1377" s="531"/>
      <c r="N1377" s="470"/>
      <c r="O1377" s="531"/>
      <c r="Q1377" s="469"/>
    </row>
    <row r="1378" spans="2:18" ht="31.5" customHeight="1" x14ac:dyDescent="0.45">
      <c r="B1378" s="564"/>
      <c r="C1378" s="585"/>
      <c r="D1378" s="461"/>
      <c r="E1378" s="461"/>
      <c r="F1378" s="461"/>
      <c r="G1378" s="461"/>
      <c r="H1378" s="461"/>
      <c r="I1378" s="461"/>
      <c r="J1378" s="461"/>
      <c r="K1378" s="461"/>
      <c r="L1378" s="461"/>
      <c r="M1378" s="535"/>
      <c r="N1378" s="473"/>
      <c r="O1378" s="535"/>
      <c r="P1378" s="631"/>
      <c r="Q1378" s="479"/>
    </row>
    <row r="1379" spans="2:18" ht="31.5" customHeight="1" x14ac:dyDescent="0.45">
      <c r="B1379" s="526"/>
      <c r="C1379" s="584"/>
      <c r="M1379" s="531"/>
      <c r="N1379" s="470"/>
      <c r="O1379" s="531"/>
    </row>
    <row r="1380" spans="2:18" ht="31.5" customHeight="1" x14ac:dyDescent="0.45">
      <c r="B1380" s="526"/>
      <c r="C1380" s="584"/>
      <c r="M1380" s="531"/>
      <c r="N1380" s="470"/>
      <c r="O1380" s="531"/>
    </row>
    <row r="1381" spans="2:18" ht="31.5" customHeight="1" x14ac:dyDescent="0.45">
      <c r="B1381" s="527"/>
      <c r="C1381" s="583"/>
      <c r="D1381" s="450" t="str">
        <f>Criteria!E9</f>
        <v>ABC COMPANY (PROPRIETARY) LIMITED</v>
      </c>
      <c r="M1381" s="635"/>
      <c r="N1381" s="621"/>
      <c r="O1381" s="531" t="s">
        <v>121</v>
      </c>
      <c r="Q1381" s="451">
        <f>MAX($Q$114:Q1380)+1</f>
        <v>32</v>
      </c>
    </row>
    <row r="1382" spans="2:18" ht="31.5" customHeight="1" x14ac:dyDescent="0.45">
      <c r="B1382" s="527"/>
      <c r="C1382" s="583"/>
      <c r="D1382" s="450" t="str">
        <f>Criteria!E10</f>
        <v>T/A SEAFRONT HOTEL, SEAFRONT RESTAURANT AND RENTAL PROPERTIES</v>
      </c>
      <c r="M1382" s="635"/>
      <c r="N1382" s="621"/>
      <c r="O1382" s="635"/>
      <c r="R1382" s="512" t="str">
        <f>IF(D1382=0,"DELETE"," ")</f>
        <v xml:space="preserve"> </v>
      </c>
    </row>
    <row r="1383" spans="2:18" ht="31.5" customHeight="1" x14ac:dyDescent="0.45">
      <c r="B1383" s="527"/>
      <c r="C1383" s="583"/>
      <c r="M1383" s="635"/>
      <c r="N1383" s="621"/>
      <c r="O1383" s="635"/>
    </row>
    <row r="1384" spans="2:18" ht="31.5" customHeight="1" x14ac:dyDescent="0.45">
      <c r="B1384" s="527"/>
      <c r="C1384" s="583"/>
      <c r="D1384" s="450" t="s">
        <v>451</v>
      </c>
      <c r="M1384" s="635"/>
      <c r="N1384" s="621"/>
      <c r="O1384" s="635"/>
    </row>
    <row r="1385" spans="2:18" ht="31.5" customHeight="1" x14ac:dyDescent="0.45">
      <c r="B1385" s="527"/>
      <c r="C1385" s="583"/>
      <c r="D1385" s="450" t="str">
        <f>Criteria!E20</f>
        <v>29 FEBRUARY 2024</v>
      </c>
      <c r="J1385" s="449" t="s">
        <v>303</v>
      </c>
      <c r="M1385" s="635"/>
      <c r="N1385" s="621"/>
      <c r="O1385" s="635"/>
    </row>
    <row r="1386" spans="2:18" ht="31.5" customHeight="1" x14ac:dyDescent="0.45">
      <c r="B1386" s="527"/>
      <c r="C1386" s="583"/>
      <c r="D1386" s="450"/>
      <c r="M1386" s="635"/>
      <c r="N1386" s="621"/>
      <c r="O1386" s="635"/>
    </row>
    <row r="1387" spans="2:18" ht="31.5" customHeight="1" x14ac:dyDescent="0.45">
      <c r="B1387" s="565"/>
      <c r="C1387" s="586"/>
      <c r="D1387" s="466"/>
      <c r="E1387" s="466"/>
      <c r="F1387" s="466"/>
      <c r="G1387" s="466"/>
      <c r="H1387" s="466"/>
      <c r="I1387" s="466"/>
      <c r="J1387" s="466"/>
      <c r="K1387" s="466"/>
      <c r="L1387" s="466"/>
      <c r="M1387" s="546"/>
      <c r="N1387" s="471"/>
      <c r="O1387" s="546"/>
      <c r="P1387" s="643"/>
      <c r="Q1387" s="467"/>
    </row>
    <row r="1388" spans="2:18" ht="31.5" customHeight="1" x14ac:dyDescent="0.45">
      <c r="B1388" s="563"/>
      <c r="C1388" s="584"/>
      <c r="M1388" s="549">
        <f>Criteria!E22</f>
        <v>2024</v>
      </c>
      <c r="N1388" s="508"/>
      <c r="O1388" s="549">
        <f>Criteria!E27</f>
        <v>2023</v>
      </c>
      <c r="P1388" s="634"/>
      <c r="Q1388" s="469"/>
    </row>
    <row r="1389" spans="2:18" ht="31.5" customHeight="1" x14ac:dyDescent="0.45">
      <c r="B1389" s="582"/>
      <c r="C1389" s="583"/>
      <c r="M1389" s="548"/>
      <c r="N1389" s="491"/>
      <c r="O1389" s="548"/>
      <c r="P1389" s="634"/>
      <c r="Q1389" s="469"/>
    </row>
    <row r="1390" spans="2:18" ht="31.5" customHeight="1" x14ac:dyDescent="0.45">
      <c r="B1390" s="563"/>
      <c r="C1390" s="583">
        <f>MAX(C$1352:C1389)+0.1</f>
        <v>8.1999999999999993</v>
      </c>
      <c r="D1390" s="449" t="s">
        <v>332</v>
      </c>
      <c r="M1390" s="548"/>
      <c r="N1390" s="491"/>
      <c r="O1390" s="548"/>
      <c r="P1390" s="634"/>
      <c r="Q1390" s="469"/>
    </row>
    <row r="1391" spans="2:18" ht="31.5" customHeight="1" x14ac:dyDescent="0.45">
      <c r="B1391" s="563"/>
      <c r="C1391" s="584"/>
      <c r="D1391" s="449" t="s">
        <v>949</v>
      </c>
      <c r="M1391" s="548">
        <f>SUM(TrialBalance!L156:L158)</f>
        <v>0</v>
      </c>
      <c r="N1391" s="491"/>
      <c r="O1391" s="548">
        <f>SUM(TrialBalance!N156:N158)</f>
        <v>0</v>
      </c>
      <c r="P1391" s="634"/>
      <c r="Q1391" s="469"/>
    </row>
    <row r="1392" spans="2:18" ht="31.5" customHeight="1" x14ac:dyDescent="0.45">
      <c r="B1392" s="563"/>
      <c r="C1392" s="584"/>
      <c r="D1392" s="449" t="s">
        <v>948</v>
      </c>
      <c r="M1392" s="548">
        <f>SUM(TrialBalance!L386:L391)</f>
        <v>0</v>
      </c>
      <c r="N1392" s="491"/>
      <c r="O1392" s="548">
        <f>SUM(TrialBalance!N386:N391)</f>
        <v>0</v>
      </c>
      <c r="P1392" s="634"/>
      <c r="Q1392" s="469"/>
    </row>
    <row r="1393" spans="2:24" ht="9" customHeight="1" x14ac:dyDescent="0.45">
      <c r="B1393" s="563"/>
      <c r="C1393" s="584"/>
      <c r="M1393" s="535"/>
      <c r="N1393" s="473"/>
      <c r="O1393" s="535"/>
      <c r="P1393" s="634"/>
      <c r="Q1393" s="469"/>
    </row>
    <row r="1394" spans="2:24" ht="9" customHeight="1" x14ac:dyDescent="0.45">
      <c r="B1394" s="563"/>
      <c r="C1394" s="584"/>
      <c r="M1394" s="548"/>
      <c r="N1394" s="491"/>
      <c r="O1394" s="548"/>
      <c r="P1394" s="634"/>
      <c r="Q1394" s="469"/>
    </row>
    <row r="1395" spans="2:24" ht="31.5" customHeight="1" x14ac:dyDescent="0.45">
      <c r="B1395" s="563"/>
      <c r="C1395" s="584"/>
      <c r="M1395" s="548">
        <f>SUM(M1391:M1394)</f>
        <v>0</v>
      </c>
      <c r="N1395" s="491"/>
      <c r="O1395" s="548">
        <f>SUM(O1391:O1394)</f>
        <v>0</v>
      </c>
      <c r="P1395" s="634"/>
      <c r="Q1395" s="469"/>
      <c r="V1395" s="513" t="b">
        <f>M1395=M753</f>
        <v>1</v>
      </c>
      <c r="X1395" s="513" t="b">
        <f>O1395=O753</f>
        <v>1</v>
      </c>
    </row>
    <row r="1396" spans="2:24" ht="9" customHeight="1" thickBot="1" x14ac:dyDescent="0.5">
      <c r="B1396" s="563"/>
      <c r="C1396" s="584"/>
      <c r="M1396" s="536"/>
      <c r="N1396" s="474"/>
      <c r="O1396" s="536"/>
      <c r="P1396" s="634"/>
      <c r="Q1396" s="469"/>
    </row>
    <row r="1397" spans="2:24" ht="9" customHeight="1" thickTop="1" x14ac:dyDescent="0.45">
      <c r="B1397" s="563"/>
      <c r="C1397" s="584"/>
      <c r="M1397" s="548"/>
      <c r="N1397" s="491"/>
      <c r="O1397" s="548"/>
      <c r="P1397" s="634"/>
      <c r="Q1397" s="469"/>
    </row>
    <row r="1398" spans="2:24" ht="31.5" customHeight="1" x14ac:dyDescent="0.45">
      <c r="B1398" s="563"/>
      <c r="C1398" s="584"/>
      <c r="M1398" s="548"/>
      <c r="N1398" s="491"/>
      <c r="O1398" s="548"/>
      <c r="P1398" s="634"/>
      <c r="Q1398" s="469"/>
    </row>
    <row r="1399" spans="2:24" ht="31.5" customHeight="1" x14ac:dyDescent="0.45">
      <c r="B1399" s="563"/>
      <c r="C1399" s="584"/>
      <c r="M1399" s="548"/>
      <c r="N1399" s="491"/>
      <c r="O1399" s="548"/>
      <c r="P1399" s="634"/>
      <c r="Q1399" s="469"/>
    </row>
    <row r="1400" spans="2:24" ht="31.5" customHeight="1" x14ac:dyDescent="0.45">
      <c r="B1400" s="564"/>
      <c r="C1400" s="585"/>
      <c r="D1400" s="461"/>
      <c r="E1400" s="461"/>
      <c r="F1400" s="461"/>
      <c r="G1400" s="461"/>
      <c r="H1400" s="461"/>
      <c r="I1400" s="461"/>
      <c r="J1400" s="461"/>
      <c r="K1400" s="461"/>
      <c r="L1400" s="461"/>
      <c r="M1400" s="535"/>
      <c r="N1400" s="473"/>
      <c r="O1400" s="535"/>
      <c r="P1400" s="631"/>
      <c r="Q1400" s="479"/>
    </row>
    <row r="1401" spans="2:24" ht="31.5" customHeight="1" x14ac:dyDescent="0.45">
      <c r="B1401" s="526"/>
      <c r="C1401" s="584"/>
      <c r="M1401" s="548"/>
      <c r="N1401" s="491"/>
      <c r="O1401" s="548"/>
      <c r="P1401" s="634"/>
    </row>
    <row r="1402" spans="2:24" ht="31.5" customHeight="1" x14ac:dyDescent="0.45">
      <c r="B1402" s="526"/>
      <c r="C1402" s="584"/>
      <c r="M1402" s="548"/>
      <c r="N1402" s="491"/>
      <c r="O1402" s="548"/>
      <c r="P1402" s="634"/>
    </row>
    <row r="1403" spans="2:24" ht="31.5" customHeight="1" x14ac:dyDescent="0.45">
      <c r="B1403" s="526"/>
      <c r="C1403" s="584"/>
      <c r="D1403" s="450" t="str">
        <f>Criteria!E9</f>
        <v>ABC COMPANY (PROPRIETARY) LIMITED</v>
      </c>
      <c r="M1403" s="639"/>
      <c r="N1403" s="647"/>
      <c r="O1403" s="548" t="s">
        <v>121</v>
      </c>
      <c r="P1403" s="634"/>
      <c r="Q1403" s="451">
        <f>MAX($Q$114:Q1402)+1</f>
        <v>33</v>
      </c>
    </row>
    <row r="1404" spans="2:24" ht="31.5" customHeight="1" x14ac:dyDescent="0.45">
      <c r="B1404" s="526"/>
      <c r="C1404" s="584"/>
      <c r="D1404" s="450" t="str">
        <f>Criteria!E10</f>
        <v>T/A SEAFRONT HOTEL, SEAFRONT RESTAURANT AND RENTAL PROPERTIES</v>
      </c>
      <c r="M1404" s="639"/>
      <c r="N1404" s="647"/>
      <c r="O1404" s="639"/>
      <c r="P1404" s="634"/>
      <c r="R1404" s="512" t="str">
        <f>IF(D1404=0,"DELETE"," ")</f>
        <v xml:space="preserve"> </v>
      </c>
    </row>
    <row r="1405" spans="2:24" ht="31.5" customHeight="1" x14ac:dyDescent="0.45">
      <c r="B1405" s="526"/>
      <c r="C1405" s="584"/>
      <c r="M1405" s="639"/>
      <c r="N1405" s="647"/>
      <c r="O1405" s="639"/>
      <c r="P1405" s="634"/>
    </row>
    <row r="1406" spans="2:24" ht="31.5" customHeight="1" x14ac:dyDescent="0.45">
      <c r="B1406" s="526"/>
      <c r="C1406" s="584"/>
      <c r="D1406" s="450" t="s">
        <v>451</v>
      </c>
      <c r="M1406" s="639"/>
      <c r="N1406" s="647"/>
      <c r="O1406" s="639"/>
      <c r="P1406" s="634"/>
    </row>
    <row r="1407" spans="2:24" ht="31.5" customHeight="1" x14ac:dyDescent="0.45">
      <c r="B1407" s="526"/>
      <c r="C1407" s="584"/>
      <c r="D1407" s="450" t="str">
        <f>Criteria!E20</f>
        <v>29 FEBRUARY 2024</v>
      </c>
      <c r="J1407" s="449" t="s">
        <v>303</v>
      </c>
      <c r="M1407" s="639"/>
      <c r="N1407" s="647"/>
      <c r="O1407" s="639"/>
      <c r="P1407" s="634"/>
    </row>
    <row r="1408" spans="2:24" ht="31.5" customHeight="1" x14ac:dyDescent="0.45">
      <c r="B1408" s="526"/>
      <c r="C1408" s="584"/>
      <c r="M1408" s="548"/>
      <c r="N1408" s="491"/>
      <c r="O1408" s="548"/>
      <c r="P1408" s="634"/>
    </row>
    <row r="1409" spans="2:26" ht="31.5" customHeight="1" x14ac:dyDescent="0.45">
      <c r="B1409" s="565"/>
      <c r="C1409" s="586"/>
      <c r="D1409" s="466"/>
      <c r="E1409" s="466"/>
      <c r="F1409" s="466"/>
      <c r="G1409" s="466"/>
      <c r="H1409" s="466"/>
      <c r="I1409" s="466"/>
      <c r="J1409" s="466"/>
      <c r="K1409" s="466"/>
      <c r="L1409" s="466"/>
      <c r="M1409" s="546"/>
      <c r="N1409" s="471"/>
      <c r="O1409" s="546"/>
      <c r="P1409" s="643"/>
      <c r="Q1409" s="467"/>
    </row>
    <row r="1410" spans="2:26" ht="31.5" customHeight="1" x14ac:dyDescent="0.45">
      <c r="B1410" s="563"/>
      <c r="C1410" s="584"/>
      <c r="M1410" s="549">
        <f>Criteria!E22</f>
        <v>2024</v>
      </c>
      <c r="N1410" s="508"/>
      <c r="O1410" s="549">
        <f>Criteria!E27</f>
        <v>2023</v>
      </c>
      <c r="P1410" s="634"/>
      <c r="Q1410" s="469"/>
    </row>
    <row r="1411" spans="2:26" ht="31.5" customHeight="1" x14ac:dyDescent="0.45">
      <c r="B1411" s="563"/>
      <c r="C1411" s="584"/>
      <c r="M1411" s="548"/>
      <c r="N1411" s="491"/>
      <c r="O1411" s="548"/>
      <c r="P1411" s="634"/>
      <c r="Q1411" s="469"/>
    </row>
    <row r="1412" spans="2:26" ht="31.5" customHeight="1" x14ac:dyDescent="0.45">
      <c r="B1412" s="563"/>
      <c r="C1412" s="583">
        <f>MAX(C$1352:C1411)+0.1</f>
        <v>8.2999999999999989</v>
      </c>
      <c r="D1412" s="449" t="s">
        <v>1051</v>
      </c>
      <c r="M1412" s="548"/>
      <c r="N1412" s="491"/>
      <c r="O1412" s="548"/>
      <c r="P1412" s="634"/>
      <c r="Q1412" s="469"/>
    </row>
    <row r="1413" spans="2:26" ht="31.5" customHeight="1" x14ac:dyDescent="0.45">
      <c r="B1413" s="563"/>
      <c r="C1413" s="584"/>
      <c r="M1413" s="548"/>
      <c r="N1413" s="491"/>
      <c r="O1413" s="548"/>
      <c r="P1413" s="634"/>
      <c r="Q1413" s="469"/>
    </row>
    <row r="1414" spans="2:26" ht="31.5" customHeight="1" x14ac:dyDescent="0.45">
      <c r="B1414" s="563"/>
      <c r="C1414" s="584"/>
      <c r="D1414" s="509" t="str">
        <f>IF((Y1414+Z1414)=3,"Net profit / (loss) before taxation",(IF((Y1414+Z1414=4),"Net profit before taxation","Net loss before taxation")))</f>
        <v>Net profit before taxation</v>
      </c>
      <c r="M1414" s="548">
        <f>M548</f>
        <v>0</v>
      </c>
      <c r="N1414" s="491"/>
      <c r="O1414" s="548">
        <f>O548</f>
        <v>0</v>
      </c>
      <c r="P1414" s="634"/>
      <c r="Q1414" s="469"/>
      <c r="Y1414" s="513">
        <f>IF(M1414&lt;0,1,IF(M1414=0,IF(O1414&lt;0,1,2),2))</f>
        <v>2</v>
      </c>
      <c r="Z1414" s="513">
        <f>IF(O1414&lt;0,1,IF(O1414=0,IF(M1414&lt;0,1,2),2))</f>
        <v>2</v>
      </c>
    </row>
    <row r="1415" spans="2:26" ht="9" customHeight="1" thickBot="1" x14ac:dyDescent="0.5">
      <c r="B1415" s="563"/>
      <c r="C1415" s="584"/>
      <c r="M1415" s="536"/>
      <c r="N1415" s="474"/>
      <c r="O1415" s="536"/>
      <c r="P1415" s="634"/>
      <c r="Q1415" s="469"/>
    </row>
    <row r="1416" spans="2:26" ht="9" customHeight="1" thickTop="1" x14ac:dyDescent="0.45">
      <c r="B1416" s="563"/>
      <c r="C1416" s="584"/>
      <c r="M1416" s="548"/>
      <c r="N1416" s="491"/>
      <c r="O1416" s="548"/>
      <c r="P1416" s="634"/>
      <c r="Q1416" s="469"/>
    </row>
    <row r="1417" spans="2:26" ht="31.5" customHeight="1" x14ac:dyDescent="0.45">
      <c r="B1417" s="563"/>
      <c r="C1417" s="584"/>
      <c r="D1417" s="449" t="s">
        <v>1584</v>
      </c>
      <c r="M1417" s="688">
        <f>Criteria!F471</f>
        <v>0.27</v>
      </c>
      <c r="N1417" s="491"/>
      <c r="O1417" s="688">
        <f>Criteria!G471</f>
        <v>0.28000000000000003</v>
      </c>
      <c r="P1417" s="634"/>
      <c r="Q1417" s="469"/>
    </row>
    <row r="1418" spans="2:26" ht="31.5" customHeight="1" x14ac:dyDescent="0.45">
      <c r="B1418" s="563"/>
      <c r="C1418" s="584"/>
      <c r="M1418" s="548"/>
      <c r="N1418" s="491"/>
      <c r="O1418" s="548"/>
      <c r="P1418" s="634"/>
      <c r="Q1418" s="469"/>
    </row>
    <row r="1419" spans="2:26" ht="31.5" customHeight="1" x14ac:dyDescent="0.45">
      <c r="B1419" s="563"/>
      <c r="C1419" s="584"/>
      <c r="D1419" s="449" t="s">
        <v>1585</v>
      </c>
      <c r="M1419" s="548">
        <f>ROUND(M1414*Criteria!F471,0)+Criteria!G513</f>
        <v>0</v>
      </c>
      <c r="N1419" s="491"/>
      <c r="O1419" s="548">
        <f>ROUND(O1414*Criteria!G471,0)</f>
        <v>0</v>
      </c>
      <c r="P1419" s="634"/>
      <c r="Q1419" s="469"/>
    </row>
    <row r="1420" spans="2:26" ht="31.5" customHeight="1" x14ac:dyDescent="0.45">
      <c r="B1420" s="563"/>
      <c r="C1420" s="584"/>
      <c r="D1420" s="449" t="s">
        <v>1053</v>
      </c>
      <c r="M1420" s="548"/>
      <c r="N1420" s="491"/>
      <c r="O1420" s="548"/>
      <c r="P1420" s="634"/>
      <c r="Q1420" s="469"/>
      <c r="R1420" s="512" t="str">
        <f>R1421</f>
        <v>DELETE</v>
      </c>
    </row>
    <row r="1421" spans="2:26" ht="31.5" customHeight="1" x14ac:dyDescent="0.45">
      <c r="B1421" s="563"/>
      <c r="C1421" s="584"/>
      <c r="D1421" s="449" t="s">
        <v>1054</v>
      </c>
      <c r="M1421" s="548">
        <f>ROUND((O2803+Criteria!G486-FS!O2762)*Criteria!F471,0)-TrialBalance!L224</f>
        <v>0</v>
      </c>
      <c r="N1421" s="491"/>
      <c r="O1421" s="548">
        <f>Criteria!H507</f>
        <v>0</v>
      </c>
      <c r="P1421" s="634"/>
      <c r="Q1421" s="469"/>
      <c r="R1421" s="512" t="str">
        <f>IF(M1421=0,IF(O1421=0,"DELETE"," ")," ")</f>
        <v>DELETE</v>
      </c>
    </row>
    <row r="1422" spans="2:26" ht="31.5" customHeight="1" x14ac:dyDescent="0.45">
      <c r="B1422" s="563"/>
      <c r="C1422" s="584"/>
      <c r="D1422" s="449" t="s">
        <v>1605</v>
      </c>
      <c r="M1422" s="548">
        <f>-SUM(TrialBalance!L222:L223)</f>
        <v>0</v>
      </c>
      <c r="N1422" s="491"/>
      <c r="O1422" s="548">
        <f>-SUM(TrialBalance!N222:N223)</f>
        <v>0</v>
      </c>
      <c r="P1422" s="634"/>
      <c r="Q1422" s="469"/>
      <c r="R1422" s="512" t="str">
        <f>IF(M1422=0,IF(O1422=0,"DELETE"," ")," ")</f>
        <v>DELETE</v>
      </c>
    </row>
    <row r="1423" spans="2:26" ht="31.5" customHeight="1" x14ac:dyDescent="0.45">
      <c r="B1423" s="563"/>
      <c r="C1423" s="584"/>
      <c r="D1423" s="449" t="s">
        <v>1164</v>
      </c>
      <c r="M1423" s="548">
        <f>TrialBalance!L158</f>
        <v>0</v>
      </c>
      <c r="N1423" s="491"/>
      <c r="O1423" s="548">
        <f>TrialBalance!N158</f>
        <v>0</v>
      </c>
      <c r="P1423" s="634"/>
      <c r="Q1423" s="469"/>
      <c r="R1423" s="512" t="str">
        <f>IF(M1423=0,IF(O1423=0,"DELETE"," ")," ")</f>
        <v>DELETE</v>
      </c>
    </row>
    <row r="1424" spans="2:26" ht="31.5" customHeight="1" x14ac:dyDescent="0.45">
      <c r="B1424" s="563"/>
      <c r="C1424" s="584"/>
      <c r="D1424" s="449" t="s">
        <v>1056</v>
      </c>
      <c r="M1424" s="548">
        <f>-TrialBalance!L226-TrialBalance!L227</f>
        <v>0</v>
      </c>
      <c r="N1424" s="491"/>
      <c r="O1424" s="548">
        <f>-TrialBalance!N226-TrialBalance!N227</f>
        <v>0</v>
      </c>
      <c r="P1424" s="634"/>
      <c r="Q1424" s="469"/>
      <c r="R1424" s="512" t="str">
        <f>IF(M1424=0,IF(O1424=0,"DELETE"," ")," ")</f>
        <v>DELETE</v>
      </c>
    </row>
    <row r="1425" spans="2:24" ht="31.5" customHeight="1" x14ac:dyDescent="0.45">
      <c r="B1425" s="563"/>
      <c r="C1425" s="584"/>
      <c r="D1425" s="449" t="s">
        <v>1060</v>
      </c>
      <c r="M1425" s="548">
        <f>IF(Criteria!F473="Yes",IF(O2803&lt;0,0,-(ROUND(O2803*Criteria!F471,2)-O2808)),0)</f>
        <v>0</v>
      </c>
      <c r="N1425" s="491"/>
      <c r="O1425" s="548">
        <f>Criteria!H510</f>
        <v>0</v>
      </c>
      <c r="P1425" s="634"/>
      <c r="Q1425" s="469"/>
      <c r="R1425" s="512" t="str">
        <f>IF(M1425=0,IF(O1425=0,"DELETE"," ")," ")</f>
        <v>DELETE</v>
      </c>
    </row>
    <row r="1426" spans="2:24" ht="9" customHeight="1" x14ac:dyDescent="0.45">
      <c r="B1426" s="563"/>
      <c r="C1426" s="584"/>
      <c r="M1426" s="535"/>
      <c r="N1426" s="473"/>
      <c r="O1426" s="535"/>
      <c r="P1426" s="634"/>
      <c r="Q1426" s="469"/>
    </row>
    <row r="1427" spans="2:24" ht="9" customHeight="1" x14ac:dyDescent="0.45">
      <c r="B1427" s="563"/>
      <c r="C1427" s="584"/>
      <c r="M1427" s="548"/>
      <c r="N1427" s="491"/>
      <c r="O1427" s="548"/>
      <c r="P1427" s="634"/>
      <c r="Q1427" s="469"/>
    </row>
    <row r="1428" spans="2:24" ht="31.5" customHeight="1" x14ac:dyDescent="0.45">
      <c r="B1428" s="563"/>
      <c r="C1428" s="584"/>
      <c r="D1428" s="449" t="s">
        <v>1055</v>
      </c>
      <c r="M1428" s="548">
        <f>ROUND(SUM(M1419:M1426),0)</f>
        <v>0</v>
      </c>
      <c r="N1428" s="491"/>
      <c r="O1428" s="548">
        <f>ROUND(SUM(O1419:O1426),0)</f>
        <v>0</v>
      </c>
      <c r="P1428" s="634"/>
      <c r="Q1428" s="469"/>
      <c r="V1428" s="513" t="b">
        <f>M1428=M1370</f>
        <v>1</v>
      </c>
      <c r="X1428" s="513" t="b">
        <f>O1428=O1370</f>
        <v>1</v>
      </c>
    </row>
    <row r="1429" spans="2:24" ht="9" customHeight="1" thickBot="1" x14ac:dyDescent="0.5">
      <c r="B1429" s="563"/>
      <c r="C1429" s="584"/>
      <c r="M1429" s="536"/>
      <c r="N1429" s="474"/>
      <c r="O1429" s="536"/>
      <c r="P1429" s="634"/>
      <c r="Q1429" s="469"/>
    </row>
    <row r="1430" spans="2:24" ht="9" customHeight="1" thickTop="1" x14ac:dyDescent="0.45">
      <c r="B1430" s="563"/>
      <c r="C1430" s="584"/>
      <c r="M1430" s="548"/>
      <c r="N1430" s="491"/>
      <c r="O1430" s="548"/>
      <c r="P1430" s="634"/>
      <c r="Q1430" s="469"/>
    </row>
    <row r="1431" spans="2:24" ht="31.5" customHeight="1" x14ac:dyDescent="0.45">
      <c r="B1431" s="563"/>
      <c r="C1431" s="584"/>
      <c r="M1431" s="548"/>
      <c r="N1431" s="491"/>
      <c r="O1431" s="548"/>
      <c r="P1431" s="634"/>
      <c r="Q1431" s="469"/>
      <c r="V1431" s="517">
        <f>M1428-M1370</f>
        <v>0</v>
      </c>
      <c r="X1431" s="517">
        <f>O1428-O1370</f>
        <v>0</v>
      </c>
    </row>
    <row r="1432" spans="2:24" ht="31.5" customHeight="1" x14ac:dyDescent="0.45">
      <c r="B1432" s="563"/>
      <c r="C1432" s="584"/>
      <c r="M1432" s="548"/>
      <c r="N1432" s="491"/>
      <c r="O1432" s="548"/>
      <c r="P1432" s="634"/>
      <c r="Q1432" s="469"/>
    </row>
    <row r="1433" spans="2:24" ht="31.5" customHeight="1" x14ac:dyDescent="0.45">
      <c r="B1433" s="563"/>
      <c r="C1433" s="584"/>
      <c r="M1433" s="548"/>
      <c r="N1433" s="491"/>
      <c r="O1433" s="548"/>
      <c r="P1433" s="634"/>
      <c r="Q1433" s="469"/>
    </row>
    <row r="1434" spans="2:24" ht="31.5" customHeight="1" x14ac:dyDescent="0.45">
      <c r="B1434" s="564"/>
      <c r="C1434" s="585"/>
      <c r="D1434" s="461"/>
      <c r="E1434" s="461"/>
      <c r="F1434" s="461"/>
      <c r="G1434" s="461"/>
      <c r="H1434" s="461"/>
      <c r="I1434" s="461"/>
      <c r="J1434" s="461"/>
      <c r="K1434" s="461"/>
      <c r="L1434" s="461"/>
      <c r="M1434" s="535"/>
      <c r="N1434" s="473"/>
      <c r="O1434" s="535"/>
      <c r="P1434" s="631"/>
      <c r="Q1434" s="479"/>
    </row>
    <row r="1435" spans="2:24" ht="31.5" customHeight="1" x14ac:dyDescent="0.45">
      <c r="B1435" s="526"/>
      <c r="C1435" s="450"/>
      <c r="M1435" s="531"/>
      <c r="N1435" s="470"/>
      <c r="O1435" s="531"/>
    </row>
    <row r="1436" spans="2:24" ht="31.5" customHeight="1" x14ac:dyDescent="0.45">
      <c r="B1436" s="526"/>
      <c r="C1436" s="450"/>
      <c r="M1436" s="531"/>
      <c r="N1436" s="470"/>
      <c r="O1436" s="531"/>
      <c r="R1436" s="512" t="str">
        <f>R$1446</f>
        <v>DELETE</v>
      </c>
    </row>
    <row r="1437" spans="2:24" ht="31.5" customHeight="1" x14ac:dyDescent="0.45">
      <c r="B1437" s="526"/>
      <c r="C1437" s="450"/>
      <c r="D1437" s="450" t="str">
        <f>Criteria!E9</f>
        <v>ABC COMPANY (PROPRIETARY) LIMITED</v>
      </c>
      <c r="M1437" s="639"/>
      <c r="N1437" s="647"/>
      <c r="O1437" s="548" t="s">
        <v>121</v>
      </c>
      <c r="P1437" s="634"/>
      <c r="Q1437" s="451">
        <f>MAX($Q$114:Q1436)+1</f>
        <v>34</v>
      </c>
      <c r="R1437" s="512" t="str">
        <f>R$1446</f>
        <v>DELETE</v>
      </c>
    </row>
    <row r="1438" spans="2:24" ht="31.5" customHeight="1" x14ac:dyDescent="0.45">
      <c r="B1438" s="526"/>
      <c r="C1438" s="450"/>
      <c r="D1438" s="450" t="str">
        <f>Criteria!E10</f>
        <v>T/A SEAFRONT HOTEL, SEAFRONT RESTAURANT AND RENTAL PROPERTIES</v>
      </c>
      <c r="M1438" s="639"/>
      <c r="N1438" s="647"/>
      <c r="O1438" s="639"/>
      <c r="P1438" s="634"/>
      <c r="R1438" s="512" t="str">
        <f>IF(R$1446="DELETE","DELETE",IF(D1438=0,"DELETE"," "))</f>
        <v>DELETE</v>
      </c>
    </row>
    <row r="1439" spans="2:24" ht="31.5" customHeight="1" x14ac:dyDescent="0.45">
      <c r="B1439" s="526"/>
      <c r="C1439" s="450"/>
      <c r="M1439" s="639"/>
      <c r="N1439" s="647"/>
      <c r="O1439" s="639"/>
      <c r="P1439" s="634"/>
      <c r="R1439" s="512" t="str">
        <f>R$1446</f>
        <v>DELETE</v>
      </c>
    </row>
    <row r="1440" spans="2:24" ht="31.5" customHeight="1" x14ac:dyDescent="0.45">
      <c r="B1440" s="526"/>
      <c r="C1440" s="450"/>
      <c r="D1440" s="450" t="s">
        <v>451</v>
      </c>
      <c r="M1440" s="639"/>
      <c r="N1440" s="647"/>
      <c r="O1440" s="639"/>
      <c r="P1440" s="634"/>
      <c r="R1440" s="512" t="str">
        <f>R$1446</f>
        <v>DELETE</v>
      </c>
    </row>
    <row r="1441" spans="2:22" ht="31.5" customHeight="1" x14ac:dyDescent="0.45">
      <c r="B1441" s="526"/>
      <c r="C1441" s="450"/>
      <c r="D1441" s="450" t="str">
        <f>Criteria!E20</f>
        <v>29 FEBRUARY 2024</v>
      </c>
      <c r="J1441" s="449" t="s">
        <v>303</v>
      </c>
      <c r="M1441" s="639"/>
      <c r="N1441" s="647"/>
      <c r="O1441" s="639"/>
      <c r="P1441" s="634"/>
      <c r="R1441" s="512" t="str">
        <f>R$1446</f>
        <v>DELETE</v>
      </c>
    </row>
    <row r="1442" spans="2:22" ht="31.5" customHeight="1" x14ac:dyDescent="0.45">
      <c r="R1442" s="512" t="str">
        <f>R$1446</f>
        <v>DELETE</v>
      </c>
    </row>
    <row r="1443" spans="2:22" ht="31.5" customHeight="1" x14ac:dyDescent="0.45">
      <c r="B1443" s="465"/>
      <c r="C1443" s="466"/>
      <c r="D1443" s="466"/>
      <c r="E1443" s="466"/>
      <c r="F1443" s="466"/>
      <c r="G1443" s="466"/>
      <c r="H1443" s="466"/>
      <c r="I1443" s="466"/>
      <c r="J1443" s="466"/>
      <c r="K1443" s="466"/>
      <c r="L1443" s="466"/>
      <c r="M1443" s="642"/>
      <c r="N1443" s="643"/>
      <c r="O1443" s="642"/>
      <c r="P1443" s="643"/>
      <c r="Q1443" s="467"/>
      <c r="R1443" s="512" t="str">
        <f>R$1446</f>
        <v>DELETE</v>
      </c>
    </row>
    <row r="1444" spans="2:22" ht="31.5" customHeight="1" x14ac:dyDescent="0.45">
      <c r="B1444" s="468"/>
      <c r="M1444" s="549">
        <f>Criteria!E22</f>
        <v>2024</v>
      </c>
      <c r="N1444" s="508"/>
      <c r="O1444" s="549">
        <f>Criteria!E27</f>
        <v>2023</v>
      </c>
      <c r="P1444" s="634"/>
      <c r="Q1444" s="469"/>
      <c r="R1444" s="512" t="str">
        <f t="shared" ref="R1444:R1489" si="45">R$1446</f>
        <v>DELETE</v>
      </c>
    </row>
    <row r="1445" spans="2:22" ht="31.5" customHeight="1" x14ac:dyDescent="0.45">
      <c r="B1445" s="468"/>
      <c r="M1445" s="633"/>
      <c r="N1445" s="634"/>
      <c r="O1445" s="633"/>
      <c r="P1445" s="634"/>
      <c r="Q1445" s="469"/>
      <c r="R1445" s="512" t="str">
        <f t="shared" si="45"/>
        <v>DELETE</v>
      </c>
    </row>
    <row r="1446" spans="2:22" ht="31.5" customHeight="1" x14ac:dyDescent="0.45">
      <c r="B1446" s="563">
        <f>MAX(B$802:B1443)+1</f>
        <v>9</v>
      </c>
      <c r="C1446" s="450" t="s">
        <v>1433</v>
      </c>
      <c r="Q1446" s="469"/>
      <c r="R1446" s="512" t="str">
        <f>IF(SUM(TrialBalance!L229:L230)+SUM(TrialBalance!N229:N230)+TrialBalance!N233+TrialBalance!L233=0,"DELETE"," ")</f>
        <v>DELETE</v>
      </c>
    </row>
    <row r="1447" spans="2:22" ht="31.5" customHeight="1" x14ac:dyDescent="0.45">
      <c r="B1447" s="563"/>
      <c r="D1447" s="449" t="s">
        <v>1523</v>
      </c>
      <c r="H1447" s="452"/>
      <c r="J1447" s="452"/>
      <c r="K1447" s="601"/>
      <c r="M1447" s="531">
        <f>M1450-M1451</f>
        <v>0</v>
      </c>
      <c r="N1447" s="470"/>
      <c r="O1447" s="531">
        <f>O1450-O1451</f>
        <v>0</v>
      </c>
      <c r="Q1447" s="469"/>
      <c r="R1447" s="512" t="str">
        <f t="shared" si="45"/>
        <v>DELETE</v>
      </c>
      <c r="V1447" s="513" t="b">
        <f>M1447=O1476</f>
        <v>1</v>
      </c>
    </row>
    <row r="1448" spans="2:22" ht="9" customHeight="1" x14ac:dyDescent="0.45">
      <c r="B1448" s="563"/>
      <c r="M1448" s="531"/>
      <c r="N1448" s="470"/>
      <c r="O1448" s="531"/>
      <c r="Q1448" s="469"/>
      <c r="R1448" s="512" t="str">
        <f t="shared" si="45"/>
        <v>DELETE</v>
      </c>
    </row>
    <row r="1449" spans="2:22" ht="9" customHeight="1" x14ac:dyDescent="0.45">
      <c r="B1449" s="563"/>
      <c r="M1449" s="532"/>
      <c r="N1449" s="471"/>
      <c r="O1449" s="552"/>
      <c r="Q1449" s="469"/>
      <c r="R1449" s="512" t="str">
        <f t="shared" si="45"/>
        <v>DELETE</v>
      </c>
    </row>
    <row r="1450" spans="2:22" ht="31.5" customHeight="1" x14ac:dyDescent="0.45">
      <c r="B1450" s="563"/>
      <c r="D1450" s="449" t="s">
        <v>457</v>
      </c>
      <c r="M1450" s="533">
        <f>TrialBalance!L229</f>
        <v>0</v>
      </c>
      <c r="N1450" s="491"/>
      <c r="O1450" s="553">
        <f>TrialBalance!N229</f>
        <v>0</v>
      </c>
      <c r="Q1450" s="469"/>
      <c r="R1450" s="512" t="str">
        <f t="shared" si="45"/>
        <v>DELETE</v>
      </c>
      <c r="S1450" s="517">
        <f>M1450</f>
        <v>0</v>
      </c>
      <c r="U1450" s="517">
        <f>O1450</f>
        <v>0</v>
      </c>
      <c r="V1450" s="513" t="b">
        <f>M1450=O1480</f>
        <v>1</v>
      </c>
    </row>
    <row r="1451" spans="2:22" ht="31.5" customHeight="1" x14ac:dyDescent="0.45">
      <c r="B1451" s="563"/>
      <c r="D1451" s="449" t="s">
        <v>956</v>
      </c>
      <c r="M1451" s="533">
        <f>-TrialBalance!L235</f>
        <v>0</v>
      </c>
      <c r="N1451" s="491"/>
      <c r="O1451" s="553">
        <f>-TrialBalance!N235</f>
        <v>0</v>
      </c>
      <c r="Q1451" s="469"/>
      <c r="R1451" s="512" t="str">
        <f t="shared" si="45"/>
        <v>DELETE</v>
      </c>
      <c r="S1451" s="517">
        <f>-M1451</f>
        <v>0</v>
      </c>
      <c r="U1451" s="517">
        <f>-O1451</f>
        <v>0</v>
      </c>
      <c r="V1451" s="513" t="b">
        <f>M1451=O1481</f>
        <v>1</v>
      </c>
    </row>
    <row r="1452" spans="2:22" ht="9" customHeight="1" x14ac:dyDescent="0.45">
      <c r="B1452" s="563"/>
      <c r="M1452" s="534"/>
      <c r="N1452" s="473"/>
      <c r="O1452" s="554"/>
      <c r="Q1452" s="469"/>
      <c r="R1452" s="512" t="str">
        <f t="shared" si="45"/>
        <v>DELETE</v>
      </c>
    </row>
    <row r="1453" spans="2:22" ht="9" customHeight="1" x14ac:dyDescent="0.45">
      <c r="B1453" s="563"/>
      <c r="M1453" s="531"/>
      <c r="N1453" s="470"/>
      <c r="O1453" s="531"/>
      <c r="Q1453" s="469"/>
      <c r="R1453" s="512" t="str">
        <f t="shared" si="45"/>
        <v>DELETE</v>
      </c>
    </row>
    <row r="1454" spans="2:22" ht="31.5" customHeight="1" x14ac:dyDescent="0.45">
      <c r="B1454" s="563"/>
      <c r="D1454" s="449" t="s">
        <v>458</v>
      </c>
      <c r="M1454" s="531">
        <f>TrialBalance!L230</f>
        <v>0</v>
      </c>
      <c r="N1454" s="470"/>
      <c r="O1454" s="531">
        <f>TrialBalance!N230</f>
        <v>0</v>
      </c>
      <c r="Q1454" s="469"/>
      <c r="R1454" s="512" t="str">
        <f t="shared" si="45"/>
        <v>DELETE</v>
      </c>
      <c r="S1454" s="517">
        <f>M1454</f>
        <v>0</v>
      </c>
      <c r="U1454" s="517">
        <f>O1454</f>
        <v>0</v>
      </c>
    </row>
    <row r="1455" spans="2:22" ht="31.5" customHeight="1" x14ac:dyDescent="0.45">
      <c r="B1455" s="563"/>
      <c r="E1455" s="449" t="s">
        <v>1561</v>
      </c>
      <c r="M1455" s="531">
        <f>TrialBalance!L233</f>
        <v>0</v>
      </c>
      <c r="N1455" s="470"/>
      <c r="O1455" s="531">
        <f>TrialBalance!N233</f>
        <v>0</v>
      </c>
      <c r="Q1455" s="469"/>
      <c r="R1455" s="512" t="str">
        <f>IF(M1455+O1455=0,"DELETE"," ")</f>
        <v>DELETE</v>
      </c>
      <c r="S1455" s="517">
        <f>M1455</f>
        <v>0</v>
      </c>
      <c r="U1455" s="517">
        <f>O1455</f>
        <v>0</v>
      </c>
    </row>
    <row r="1456" spans="2:22" ht="9" customHeight="1" x14ac:dyDescent="0.45">
      <c r="B1456" s="563"/>
      <c r="M1456" s="535"/>
      <c r="N1456" s="473"/>
      <c r="O1456" s="535"/>
      <c r="Q1456" s="469"/>
      <c r="R1456" s="512" t="str">
        <f t="shared" si="45"/>
        <v>DELETE</v>
      </c>
    </row>
    <row r="1457" spans="2:21" ht="9" customHeight="1" x14ac:dyDescent="0.45">
      <c r="B1457" s="563"/>
      <c r="M1457" s="531"/>
      <c r="N1457" s="470"/>
      <c r="O1457" s="531"/>
      <c r="Q1457" s="469"/>
      <c r="R1457" s="512" t="str">
        <f t="shared" si="45"/>
        <v>DELETE</v>
      </c>
    </row>
    <row r="1458" spans="2:21" ht="31.5" customHeight="1" x14ac:dyDescent="0.45">
      <c r="B1458" s="563"/>
      <c r="M1458" s="531">
        <f>M1447+SUM(M1453:M1456)</f>
        <v>0</v>
      </c>
      <c r="N1458" s="470"/>
      <c r="O1458" s="531">
        <f>O1447+SUM(O1453:O1456)</f>
        <v>0</v>
      </c>
      <c r="Q1458" s="469"/>
      <c r="R1458" s="512" t="str">
        <f t="shared" si="45"/>
        <v>DELETE</v>
      </c>
    </row>
    <row r="1459" spans="2:21" ht="31.5" customHeight="1" x14ac:dyDescent="0.45">
      <c r="B1459" s="563"/>
      <c r="D1459" s="449" t="s">
        <v>1551</v>
      </c>
      <c r="M1459" s="531">
        <f>-SUM(S1461:S1464)</f>
        <v>0</v>
      </c>
      <c r="N1459" s="470"/>
      <c r="O1459" s="531">
        <f>-SUM(U1461:U1464)</f>
        <v>0</v>
      </c>
      <c r="Q1459" s="469"/>
      <c r="R1459" s="512" t="str">
        <f>IF(M1459+O1459=0,"DELETE"," ")</f>
        <v>DELETE</v>
      </c>
    </row>
    <row r="1460" spans="2:21" ht="9" customHeight="1" x14ac:dyDescent="0.45">
      <c r="B1460" s="563"/>
      <c r="M1460" s="531"/>
      <c r="N1460" s="470"/>
      <c r="O1460" s="531"/>
      <c r="Q1460" s="469"/>
      <c r="R1460" s="512" t="str">
        <f>R$1459</f>
        <v>DELETE</v>
      </c>
    </row>
    <row r="1461" spans="2:21" ht="9" customHeight="1" x14ac:dyDescent="0.45">
      <c r="B1461" s="563"/>
      <c r="M1461" s="532"/>
      <c r="N1461" s="471"/>
      <c r="O1461" s="552"/>
      <c r="Q1461" s="469"/>
      <c r="R1461" s="512" t="str">
        <f>R$1459</f>
        <v>DELETE</v>
      </c>
    </row>
    <row r="1462" spans="2:21" ht="31.5" customHeight="1" x14ac:dyDescent="0.45">
      <c r="B1462" s="563"/>
      <c r="D1462" s="449" t="s">
        <v>457</v>
      </c>
      <c r="M1462" s="533">
        <f>-TrialBalance!L232</f>
        <v>0</v>
      </c>
      <c r="N1462" s="491"/>
      <c r="O1462" s="553">
        <f>-TrialBalance!N232</f>
        <v>0</v>
      </c>
      <c r="Q1462" s="469"/>
      <c r="R1462" s="512" t="str">
        <f t="shared" ref="R1462:R1463" si="46">IF(M1462+O1462=0,"DELETE"," ")</f>
        <v>DELETE</v>
      </c>
      <c r="S1462" s="517">
        <f>-M1462</f>
        <v>0</v>
      </c>
      <c r="U1462" s="517">
        <f>-O1462</f>
        <v>0</v>
      </c>
    </row>
    <row r="1463" spans="2:21" ht="31.5" customHeight="1" x14ac:dyDescent="0.45">
      <c r="B1463" s="563"/>
      <c r="D1463" s="449" t="s">
        <v>956</v>
      </c>
      <c r="M1463" s="533">
        <f>TrialBalance!L238</f>
        <v>0</v>
      </c>
      <c r="N1463" s="491"/>
      <c r="O1463" s="553">
        <f>TrialBalance!N238</f>
        <v>0</v>
      </c>
      <c r="Q1463" s="469"/>
      <c r="R1463" s="512" t="str">
        <f t="shared" si="46"/>
        <v>DELETE</v>
      </c>
      <c r="S1463" s="517">
        <f>+M1463</f>
        <v>0</v>
      </c>
      <c r="U1463" s="517">
        <f>+O1463</f>
        <v>0</v>
      </c>
    </row>
    <row r="1464" spans="2:21" ht="9" customHeight="1" x14ac:dyDescent="0.45">
      <c r="B1464" s="563"/>
      <c r="M1464" s="534"/>
      <c r="N1464" s="473"/>
      <c r="O1464" s="554"/>
      <c r="Q1464" s="469"/>
      <c r="R1464" s="512" t="str">
        <f>R$1459</f>
        <v>DELETE</v>
      </c>
    </row>
    <row r="1465" spans="2:21" ht="9" customHeight="1" x14ac:dyDescent="0.45">
      <c r="B1465" s="563"/>
      <c r="M1465" s="531"/>
      <c r="N1465" s="470"/>
      <c r="O1465" s="531"/>
      <c r="Q1465" s="469"/>
      <c r="R1465" s="512" t="str">
        <f>R$1459</f>
        <v>DELETE</v>
      </c>
    </row>
    <row r="1466" spans="2:21" ht="31.5" customHeight="1" x14ac:dyDescent="0.45">
      <c r="B1466" s="563"/>
      <c r="D1466" s="449" t="s">
        <v>196</v>
      </c>
      <c r="M1466" s="531">
        <f>-SUM(S1468:S1471)</f>
        <v>0</v>
      </c>
      <c r="N1466" s="470"/>
      <c r="O1466" s="531">
        <f>-SUM(U1468:U1471)</f>
        <v>0</v>
      </c>
      <c r="Q1466" s="469"/>
      <c r="R1466" s="512" t="str">
        <f>IF(M1466+O1466=0,"DELETE"," ")</f>
        <v>DELETE</v>
      </c>
    </row>
    <row r="1467" spans="2:21" ht="9" customHeight="1" x14ac:dyDescent="0.45">
      <c r="B1467" s="563"/>
      <c r="M1467" s="531"/>
      <c r="N1467" s="470"/>
      <c r="O1467" s="531"/>
      <c r="Q1467" s="469"/>
      <c r="R1467" s="512" t="str">
        <f>R$1466</f>
        <v>DELETE</v>
      </c>
    </row>
    <row r="1468" spans="2:21" ht="9" customHeight="1" x14ac:dyDescent="0.45">
      <c r="B1468" s="563"/>
      <c r="M1468" s="532"/>
      <c r="N1468" s="471"/>
      <c r="O1468" s="552"/>
      <c r="Q1468" s="469"/>
      <c r="R1468" s="512" t="str">
        <f>R$1466</f>
        <v>DELETE</v>
      </c>
    </row>
    <row r="1469" spans="2:21" ht="31.5" customHeight="1" x14ac:dyDescent="0.45">
      <c r="B1469" s="563"/>
      <c r="D1469" s="449" t="s">
        <v>457</v>
      </c>
      <c r="M1469" s="533">
        <f>-TrialBalance!L231</f>
        <v>0</v>
      </c>
      <c r="N1469" s="491"/>
      <c r="O1469" s="553">
        <f>-TrialBalance!N231</f>
        <v>0</v>
      </c>
      <c r="Q1469" s="469"/>
      <c r="R1469" s="512" t="str">
        <f t="shared" ref="R1469:R1470" si="47">IF(M1469+O1469=0,"DELETE"," ")</f>
        <v>DELETE</v>
      </c>
      <c r="S1469" s="517">
        <f>-M1469</f>
        <v>0</v>
      </c>
      <c r="U1469" s="517">
        <f>-O1469</f>
        <v>0</v>
      </c>
    </row>
    <row r="1470" spans="2:21" ht="31.5" customHeight="1" x14ac:dyDescent="0.45">
      <c r="B1470" s="563"/>
      <c r="D1470" s="449" t="s">
        <v>956</v>
      </c>
      <c r="M1470" s="533">
        <f>TrialBalance!L237</f>
        <v>0</v>
      </c>
      <c r="N1470" s="491"/>
      <c r="O1470" s="553">
        <f>TrialBalance!N237</f>
        <v>0</v>
      </c>
      <c r="Q1470" s="469"/>
      <c r="R1470" s="512" t="str">
        <f t="shared" si="47"/>
        <v>DELETE</v>
      </c>
      <c r="S1470" s="517">
        <f>M1470</f>
        <v>0</v>
      </c>
      <c r="U1470" s="517">
        <f>O1470</f>
        <v>0</v>
      </c>
    </row>
    <row r="1471" spans="2:21" ht="9" customHeight="1" x14ac:dyDescent="0.45">
      <c r="B1471" s="563"/>
      <c r="M1471" s="534"/>
      <c r="N1471" s="473"/>
      <c r="O1471" s="554"/>
      <c r="Q1471" s="469"/>
      <c r="R1471" s="512" t="str">
        <f t="shared" ref="R1471:R1472" si="48">R$1466</f>
        <v>DELETE</v>
      </c>
    </row>
    <row r="1472" spans="2:21" ht="9" customHeight="1" x14ac:dyDescent="0.45">
      <c r="B1472" s="563"/>
      <c r="M1472" s="548"/>
      <c r="N1472" s="491"/>
      <c r="O1472" s="548"/>
      <c r="Q1472" s="469"/>
      <c r="R1472" s="512" t="str">
        <f t="shared" si="48"/>
        <v>DELETE</v>
      </c>
    </row>
    <row r="1473" spans="2:24" ht="31.5" customHeight="1" x14ac:dyDescent="0.45">
      <c r="B1473" s="563"/>
      <c r="D1473" s="449" t="s">
        <v>337</v>
      </c>
      <c r="M1473" s="548">
        <f>TrialBalance!L236</f>
        <v>0</v>
      </c>
      <c r="N1473" s="491"/>
      <c r="O1473" s="548">
        <f>TrialBalance!N236</f>
        <v>0</v>
      </c>
      <c r="P1473" s="634"/>
      <c r="Q1473" s="469"/>
      <c r="R1473" s="512" t="str">
        <f t="shared" si="45"/>
        <v>DELETE</v>
      </c>
      <c r="S1473" s="517">
        <f>M1473</f>
        <v>0</v>
      </c>
      <c r="U1473" s="517">
        <f>O1473</f>
        <v>0</v>
      </c>
    </row>
    <row r="1474" spans="2:24" ht="9" customHeight="1" x14ac:dyDescent="0.45">
      <c r="B1474" s="563"/>
      <c r="M1474" s="535"/>
      <c r="N1474" s="473"/>
      <c r="O1474" s="535"/>
      <c r="P1474" s="634"/>
      <c r="Q1474" s="469"/>
      <c r="R1474" s="512" t="str">
        <f t="shared" si="45"/>
        <v>DELETE</v>
      </c>
    </row>
    <row r="1475" spans="2:24" ht="9" customHeight="1" x14ac:dyDescent="0.45">
      <c r="B1475" s="563"/>
      <c r="M1475" s="548"/>
      <c r="N1475" s="491"/>
      <c r="O1475" s="548"/>
      <c r="P1475" s="634"/>
      <c r="Q1475" s="469"/>
      <c r="R1475" s="512" t="str">
        <f t="shared" si="45"/>
        <v>DELETE</v>
      </c>
    </row>
    <row r="1476" spans="2:24" ht="31.5" customHeight="1" x14ac:dyDescent="0.45">
      <c r="B1476" s="563"/>
      <c r="D1476" s="449" t="s">
        <v>1528</v>
      </c>
      <c r="K1476" s="464"/>
      <c r="M1476" s="531">
        <f>SUM(S1447:S1474)</f>
        <v>0</v>
      </c>
      <c r="N1476" s="470"/>
      <c r="O1476" s="531">
        <f>SUM(U1447:U1474)</f>
        <v>0</v>
      </c>
      <c r="Q1476" s="469"/>
      <c r="R1476" s="512" t="str">
        <f t="shared" si="45"/>
        <v>DELETE</v>
      </c>
      <c r="V1476" s="513" t="b">
        <f>M1476=M1480-M1481</f>
        <v>1</v>
      </c>
      <c r="X1476" s="513" t="b">
        <f>O1476=O1480-O1481</f>
        <v>1</v>
      </c>
    </row>
    <row r="1477" spans="2:24" ht="9" customHeight="1" thickBot="1" x14ac:dyDescent="0.5">
      <c r="B1477" s="563"/>
      <c r="M1477" s="536"/>
      <c r="N1477" s="474"/>
      <c r="O1477" s="536"/>
      <c r="Q1477" s="469"/>
      <c r="R1477" s="512" t="str">
        <f t="shared" si="45"/>
        <v>DELETE</v>
      </c>
    </row>
    <row r="1478" spans="2:24" ht="9" customHeight="1" thickTop="1" x14ac:dyDescent="0.45">
      <c r="B1478" s="563"/>
      <c r="M1478" s="531"/>
      <c r="N1478" s="470"/>
      <c r="O1478" s="531"/>
      <c r="Q1478" s="469"/>
      <c r="R1478" s="512" t="str">
        <f t="shared" si="45"/>
        <v>DELETE</v>
      </c>
    </row>
    <row r="1479" spans="2:24" ht="9" customHeight="1" x14ac:dyDescent="0.45">
      <c r="B1479" s="563"/>
      <c r="M1479" s="532"/>
      <c r="N1479" s="471"/>
      <c r="O1479" s="552"/>
      <c r="Q1479" s="469"/>
      <c r="R1479" s="512" t="str">
        <f t="shared" si="45"/>
        <v>DELETE</v>
      </c>
    </row>
    <row r="1480" spans="2:24" ht="31.5" customHeight="1" x14ac:dyDescent="0.45">
      <c r="B1480" s="563"/>
      <c r="D1480" s="449" t="s">
        <v>457</v>
      </c>
      <c r="M1480" s="533">
        <f>SUM(TrialBalance!L229:L233)</f>
        <v>0</v>
      </c>
      <c r="N1480" s="491"/>
      <c r="O1480" s="553">
        <f>SUM(TrialBalance!N229:N233)</f>
        <v>0</v>
      </c>
      <c r="Q1480" s="469"/>
      <c r="R1480" s="512" t="str">
        <f t="shared" si="45"/>
        <v>DELETE</v>
      </c>
    </row>
    <row r="1481" spans="2:24" ht="31.5" customHeight="1" x14ac:dyDescent="0.45">
      <c r="B1481" s="563"/>
      <c r="D1481" s="449" t="s">
        <v>956</v>
      </c>
      <c r="M1481" s="533">
        <f>-SUM(TrialBalance!L235:L238)</f>
        <v>0</v>
      </c>
      <c r="N1481" s="491"/>
      <c r="O1481" s="553">
        <f>-SUM(TrialBalance!N235:N238)</f>
        <v>0</v>
      </c>
      <c r="Q1481" s="469"/>
      <c r="R1481" s="512" t="str">
        <f t="shared" si="45"/>
        <v>DELETE</v>
      </c>
    </row>
    <row r="1482" spans="2:24" ht="9" customHeight="1" x14ac:dyDescent="0.45">
      <c r="B1482" s="563"/>
      <c r="M1482" s="534"/>
      <c r="N1482" s="473"/>
      <c r="O1482" s="554"/>
      <c r="Q1482" s="469"/>
      <c r="R1482" s="512" t="str">
        <f t="shared" si="45"/>
        <v>DELETE</v>
      </c>
    </row>
    <row r="1483" spans="2:24" ht="9" customHeight="1" x14ac:dyDescent="0.45">
      <c r="B1483" s="563"/>
      <c r="M1483" s="531"/>
      <c r="N1483" s="470"/>
      <c r="O1483" s="531"/>
      <c r="Q1483" s="469"/>
      <c r="R1483" s="512" t="str">
        <f t="shared" si="45"/>
        <v>DELETE</v>
      </c>
    </row>
    <row r="1484" spans="2:24" ht="31.5" customHeight="1" x14ac:dyDescent="0.45">
      <c r="B1484" s="563"/>
      <c r="Q1484" s="469"/>
      <c r="R1484" s="512" t="str">
        <f t="shared" si="45"/>
        <v>DELETE</v>
      </c>
    </row>
    <row r="1485" spans="2:24" ht="31.5" customHeight="1" x14ac:dyDescent="0.45">
      <c r="B1485" s="563"/>
      <c r="D1485" s="449" t="str">
        <f>IF(SUM(TrialBalance!L229:L233)=0," ",IF(Criteria!F133="Yes",CONCATENATE("Property is pledged as security - See note ",FS!B2182)," "))</f>
        <v xml:space="preserve"> </v>
      </c>
      <c r="Q1485" s="469"/>
      <c r="R1485" s="512" t="str">
        <f>IF(R$1446="DELETE","DELETE",IF(D1485=" ","DELETE"," "))</f>
        <v>DELETE</v>
      </c>
    </row>
    <row r="1486" spans="2:24" ht="31.5" customHeight="1" x14ac:dyDescent="0.45">
      <c r="B1486" s="563"/>
      <c r="Q1486" s="469"/>
      <c r="R1486" s="512" t="str">
        <f t="shared" si="45"/>
        <v>DELETE</v>
      </c>
    </row>
    <row r="1487" spans="2:24" ht="31.5" customHeight="1" x14ac:dyDescent="0.45">
      <c r="B1487" s="563"/>
      <c r="Q1487" s="469"/>
      <c r="R1487" s="512" t="str">
        <f t="shared" si="45"/>
        <v>DELETE</v>
      </c>
    </row>
    <row r="1488" spans="2:24" ht="31.5" customHeight="1" x14ac:dyDescent="0.45">
      <c r="B1488" s="564"/>
      <c r="C1488" s="585"/>
      <c r="D1488" s="461"/>
      <c r="E1488" s="461"/>
      <c r="F1488" s="461"/>
      <c r="G1488" s="461"/>
      <c r="H1488" s="461"/>
      <c r="I1488" s="461"/>
      <c r="J1488" s="461"/>
      <c r="K1488" s="461"/>
      <c r="L1488" s="461"/>
      <c r="M1488" s="535"/>
      <c r="N1488" s="473"/>
      <c r="O1488" s="535"/>
      <c r="P1488" s="631"/>
      <c r="Q1488" s="479"/>
      <c r="R1488" s="512" t="str">
        <f t="shared" si="45"/>
        <v>DELETE</v>
      </c>
    </row>
    <row r="1489" spans="2:18" ht="31.5" customHeight="1" x14ac:dyDescent="0.45">
      <c r="B1489" s="526"/>
      <c r="C1489" s="450"/>
      <c r="M1489" s="531"/>
      <c r="N1489" s="470"/>
      <c r="O1489" s="531"/>
      <c r="R1489" s="512" t="str">
        <f t="shared" si="45"/>
        <v>DELETE</v>
      </c>
    </row>
    <row r="1490" spans="2:18" ht="31.5" customHeight="1" x14ac:dyDescent="0.45">
      <c r="B1490" s="526"/>
      <c r="C1490" s="450"/>
      <c r="M1490" s="531"/>
      <c r="N1490" s="470"/>
      <c r="O1490" s="531"/>
      <c r="R1490" s="512" t="str">
        <f t="shared" ref="R1490:R1501" si="49">R$1542</f>
        <v>DELETE</v>
      </c>
    </row>
    <row r="1491" spans="2:18" ht="31.5" customHeight="1" x14ac:dyDescent="0.45">
      <c r="B1491" s="526"/>
      <c r="C1491" s="450"/>
      <c r="D1491" s="450" t="str">
        <f>Criteria!E9</f>
        <v>ABC COMPANY (PROPRIETARY) LIMITED</v>
      </c>
      <c r="M1491" s="639"/>
      <c r="N1491" s="647"/>
      <c r="O1491" s="548" t="s">
        <v>121</v>
      </c>
      <c r="P1491" s="634"/>
      <c r="Q1491" s="451">
        <f>MAX($Q$114:Q1490)+1</f>
        <v>35</v>
      </c>
      <c r="R1491" s="512" t="str">
        <f t="shared" si="49"/>
        <v>DELETE</v>
      </c>
    </row>
    <row r="1492" spans="2:18" ht="31.5" customHeight="1" x14ac:dyDescent="0.45">
      <c r="B1492" s="526"/>
      <c r="C1492" s="450"/>
      <c r="D1492" s="450" t="str">
        <f>Criteria!E10</f>
        <v>T/A SEAFRONT HOTEL, SEAFRONT RESTAURANT AND RENTAL PROPERTIES</v>
      </c>
      <c r="M1492" s="639"/>
      <c r="N1492" s="647"/>
      <c r="O1492" s="639"/>
      <c r="P1492" s="634"/>
      <c r="R1492" s="512" t="str">
        <f>IF(R$1542="DELETE","DELETE",IF(D1492=0,"DELETE"," "))</f>
        <v>DELETE</v>
      </c>
    </row>
    <row r="1493" spans="2:18" ht="31.5" customHeight="1" x14ac:dyDescent="0.45">
      <c r="B1493" s="526"/>
      <c r="C1493" s="450"/>
      <c r="M1493" s="639"/>
      <c r="N1493" s="647"/>
      <c r="O1493" s="639"/>
      <c r="P1493" s="634"/>
      <c r="R1493" s="512" t="str">
        <f t="shared" si="49"/>
        <v>DELETE</v>
      </c>
    </row>
    <row r="1494" spans="2:18" ht="31.5" customHeight="1" x14ac:dyDescent="0.45">
      <c r="B1494" s="526"/>
      <c r="C1494" s="450"/>
      <c r="D1494" s="450" t="s">
        <v>451</v>
      </c>
      <c r="M1494" s="639"/>
      <c r="N1494" s="647"/>
      <c r="O1494" s="639"/>
      <c r="P1494" s="634"/>
      <c r="R1494" s="512" t="str">
        <f t="shared" si="49"/>
        <v>DELETE</v>
      </c>
    </row>
    <row r="1495" spans="2:18" ht="31.5" customHeight="1" x14ac:dyDescent="0.45">
      <c r="B1495" s="526"/>
      <c r="C1495" s="450"/>
      <c r="D1495" s="450" t="str">
        <f>Criteria!E20</f>
        <v>29 FEBRUARY 2024</v>
      </c>
      <c r="J1495" s="449" t="s">
        <v>303</v>
      </c>
      <c r="M1495" s="639"/>
      <c r="N1495" s="647"/>
      <c r="O1495" s="639"/>
      <c r="P1495" s="634"/>
      <c r="R1495" s="512" t="str">
        <f t="shared" si="49"/>
        <v>DELETE</v>
      </c>
    </row>
    <row r="1496" spans="2:18" ht="31.5" customHeight="1" x14ac:dyDescent="0.45">
      <c r="B1496" s="526"/>
      <c r="C1496" s="450"/>
      <c r="M1496" s="531"/>
      <c r="N1496" s="470"/>
      <c r="O1496" s="531"/>
      <c r="R1496" s="512" t="str">
        <f t="shared" si="49"/>
        <v>DELETE</v>
      </c>
    </row>
    <row r="1497" spans="2:18" ht="31.5" customHeight="1" x14ac:dyDescent="0.45">
      <c r="B1497" s="565"/>
      <c r="C1497" s="503"/>
      <c r="D1497" s="466"/>
      <c r="E1497" s="466"/>
      <c r="F1497" s="466"/>
      <c r="G1497" s="466"/>
      <c r="H1497" s="466"/>
      <c r="I1497" s="466"/>
      <c r="J1497" s="466"/>
      <c r="K1497" s="466"/>
      <c r="L1497" s="466"/>
      <c r="M1497" s="546"/>
      <c r="N1497" s="471"/>
      <c r="O1497" s="546"/>
      <c r="P1497" s="643"/>
      <c r="Q1497" s="467"/>
      <c r="R1497" s="512" t="str">
        <f t="shared" si="49"/>
        <v>DELETE</v>
      </c>
    </row>
    <row r="1498" spans="2:18" ht="31.5" customHeight="1" x14ac:dyDescent="0.45">
      <c r="B1498" s="563"/>
      <c r="C1498" s="450"/>
      <c r="M1498" s="549">
        <f>Criteria!E22</f>
        <v>2024</v>
      </c>
      <c r="N1498" s="508"/>
      <c r="O1498" s="549">
        <f>Criteria!E27</f>
        <v>2023</v>
      </c>
      <c r="P1498" s="634"/>
      <c r="Q1498" s="469"/>
      <c r="R1498" s="512" t="str">
        <f t="shared" si="49"/>
        <v>DELETE</v>
      </c>
    </row>
    <row r="1499" spans="2:18" ht="31.5" customHeight="1" x14ac:dyDescent="0.45">
      <c r="B1499" s="563"/>
      <c r="C1499" s="450"/>
      <c r="M1499" s="548"/>
      <c r="N1499" s="491"/>
      <c r="O1499" s="548"/>
      <c r="P1499" s="634"/>
      <c r="Q1499" s="469"/>
      <c r="R1499" s="512" t="str">
        <f t="shared" si="49"/>
        <v>DELETE</v>
      </c>
    </row>
    <row r="1500" spans="2:18" ht="31.5" customHeight="1" x14ac:dyDescent="0.45">
      <c r="B1500" s="563"/>
      <c r="C1500" s="449" t="s">
        <v>1697</v>
      </c>
      <c r="M1500" s="548"/>
      <c r="N1500" s="491"/>
      <c r="O1500" s="548"/>
      <c r="P1500" s="634"/>
      <c r="Q1500" s="469"/>
      <c r="R1500" s="512" t="str">
        <f t="shared" si="49"/>
        <v>DELETE</v>
      </c>
    </row>
    <row r="1501" spans="2:18" ht="31.5" customHeight="1" x14ac:dyDescent="0.45">
      <c r="B1501" s="563"/>
      <c r="C1501" s="450"/>
      <c r="M1501" s="548"/>
      <c r="N1501" s="491"/>
      <c r="O1501" s="548"/>
      <c r="P1501" s="634"/>
      <c r="Q1501" s="469"/>
      <c r="R1501" s="512" t="str">
        <f t="shared" si="49"/>
        <v>DELETE</v>
      </c>
    </row>
    <row r="1502" spans="2:18" ht="31.5" customHeight="1" x14ac:dyDescent="0.45">
      <c r="B1502" s="563"/>
      <c r="C1502" s="450"/>
      <c r="D1502" s="449">
        <f>Criteria!C138</f>
        <v>0</v>
      </c>
      <c r="M1502" s="548">
        <f>Criteria!F138</f>
        <v>0</v>
      </c>
      <c r="N1502" s="491"/>
      <c r="O1502" s="548">
        <f>Criteria!G138</f>
        <v>0</v>
      </c>
      <c r="P1502" s="634"/>
      <c r="Q1502" s="469"/>
      <c r="R1502" s="512" t="str">
        <f>IF(M1502=0,IF(O1502=0,"DELETE"," ")," ")</f>
        <v>DELETE</v>
      </c>
    </row>
    <row r="1503" spans="2:18" ht="31.5" customHeight="1" x14ac:dyDescent="0.45">
      <c r="B1503" s="563"/>
      <c r="C1503" s="450"/>
      <c r="D1503" s="449">
        <f>Criteria!C139</f>
        <v>0</v>
      </c>
      <c r="M1503" s="548">
        <f>Criteria!F139</f>
        <v>0</v>
      </c>
      <c r="N1503" s="491"/>
      <c r="O1503" s="548">
        <f>Criteria!G139</f>
        <v>0</v>
      </c>
      <c r="P1503" s="634"/>
      <c r="Q1503" s="469"/>
      <c r="R1503" s="512" t="str">
        <f t="shared" ref="R1503:R1539" si="50">IF(M1503=0,IF(O1503=0,"DELETE"," ")," ")</f>
        <v>DELETE</v>
      </c>
    </row>
    <row r="1504" spans="2:18" ht="31.5" customHeight="1" x14ac:dyDescent="0.45">
      <c r="B1504" s="563"/>
      <c r="C1504" s="450"/>
      <c r="D1504" s="449">
        <f>Criteria!C140</f>
        <v>0</v>
      </c>
      <c r="M1504" s="548">
        <f>Criteria!F140</f>
        <v>0</v>
      </c>
      <c r="N1504" s="491"/>
      <c r="O1504" s="548">
        <f>Criteria!G140</f>
        <v>0</v>
      </c>
      <c r="P1504" s="634"/>
      <c r="Q1504" s="469"/>
      <c r="R1504" s="512" t="str">
        <f t="shared" si="50"/>
        <v>DELETE</v>
      </c>
    </row>
    <row r="1505" spans="2:18" ht="31.5" customHeight="1" x14ac:dyDescent="0.45">
      <c r="B1505" s="563"/>
      <c r="C1505" s="450"/>
      <c r="D1505" s="449">
        <f>Criteria!C141</f>
        <v>0</v>
      </c>
      <c r="M1505" s="548">
        <f>Criteria!F141</f>
        <v>0</v>
      </c>
      <c r="N1505" s="491"/>
      <c r="O1505" s="548">
        <f>Criteria!G141</f>
        <v>0</v>
      </c>
      <c r="P1505" s="634"/>
      <c r="Q1505" s="469"/>
      <c r="R1505" s="512" t="str">
        <f t="shared" si="50"/>
        <v>DELETE</v>
      </c>
    </row>
    <row r="1506" spans="2:18" ht="31.5" customHeight="1" x14ac:dyDescent="0.45">
      <c r="B1506" s="563"/>
      <c r="C1506" s="450"/>
      <c r="D1506" s="449">
        <f>Criteria!C142</f>
        <v>0</v>
      </c>
      <c r="M1506" s="548">
        <f>Criteria!F142</f>
        <v>0</v>
      </c>
      <c r="N1506" s="491"/>
      <c r="O1506" s="548">
        <f>Criteria!G142</f>
        <v>0</v>
      </c>
      <c r="P1506" s="634"/>
      <c r="Q1506" s="469"/>
      <c r="R1506" s="512" t="str">
        <f t="shared" si="50"/>
        <v>DELETE</v>
      </c>
    </row>
    <row r="1507" spans="2:18" ht="31.5" customHeight="1" x14ac:dyDescent="0.45">
      <c r="B1507" s="563"/>
      <c r="C1507" s="450"/>
      <c r="D1507" s="449">
        <f>Criteria!C143</f>
        <v>0</v>
      </c>
      <c r="M1507" s="548">
        <f>Criteria!F143</f>
        <v>0</v>
      </c>
      <c r="N1507" s="491"/>
      <c r="O1507" s="548">
        <f>Criteria!G143</f>
        <v>0</v>
      </c>
      <c r="P1507" s="634"/>
      <c r="Q1507" s="469"/>
      <c r="R1507" s="512" t="str">
        <f t="shared" si="50"/>
        <v>DELETE</v>
      </c>
    </row>
    <row r="1508" spans="2:18" ht="31.5" customHeight="1" x14ac:dyDescent="0.45">
      <c r="B1508" s="563"/>
      <c r="C1508" s="450"/>
      <c r="D1508" s="449">
        <f>Criteria!C144</f>
        <v>0</v>
      </c>
      <c r="M1508" s="548">
        <f>Criteria!F144</f>
        <v>0</v>
      </c>
      <c r="N1508" s="491"/>
      <c r="O1508" s="548">
        <f>Criteria!G144</f>
        <v>0</v>
      </c>
      <c r="P1508" s="634"/>
      <c r="Q1508" s="469"/>
      <c r="R1508" s="512" t="str">
        <f t="shared" si="50"/>
        <v>DELETE</v>
      </c>
    </row>
    <row r="1509" spans="2:18" ht="31.5" customHeight="1" x14ac:dyDescent="0.45">
      <c r="B1509" s="563"/>
      <c r="C1509" s="450"/>
      <c r="D1509" s="449">
        <f>Criteria!C145</f>
        <v>0</v>
      </c>
      <c r="M1509" s="548">
        <f>Criteria!F145</f>
        <v>0</v>
      </c>
      <c r="N1509" s="491"/>
      <c r="O1509" s="548">
        <f>Criteria!G145</f>
        <v>0</v>
      </c>
      <c r="P1509" s="634"/>
      <c r="Q1509" s="469"/>
      <c r="R1509" s="512" t="str">
        <f t="shared" si="50"/>
        <v>DELETE</v>
      </c>
    </row>
    <row r="1510" spans="2:18" ht="31.5" customHeight="1" x14ac:dyDescent="0.45">
      <c r="B1510" s="563"/>
      <c r="C1510" s="450"/>
      <c r="D1510" s="449">
        <f>Criteria!C146</f>
        <v>0</v>
      </c>
      <c r="M1510" s="548">
        <f>Criteria!F146</f>
        <v>0</v>
      </c>
      <c r="N1510" s="491"/>
      <c r="O1510" s="548">
        <f>Criteria!G146</f>
        <v>0</v>
      </c>
      <c r="P1510" s="634"/>
      <c r="Q1510" s="469"/>
      <c r="R1510" s="512" t="str">
        <f t="shared" si="50"/>
        <v>DELETE</v>
      </c>
    </row>
    <row r="1511" spans="2:18" ht="31.5" customHeight="1" x14ac:dyDescent="0.45">
      <c r="B1511" s="563"/>
      <c r="C1511" s="450"/>
      <c r="D1511" s="449">
        <f>Criteria!C147</f>
        <v>0</v>
      </c>
      <c r="M1511" s="548">
        <f>Criteria!F147</f>
        <v>0</v>
      </c>
      <c r="N1511" s="491"/>
      <c r="O1511" s="548">
        <f>Criteria!G147</f>
        <v>0</v>
      </c>
      <c r="P1511" s="634"/>
      <c r="Q1511" s="469"/>
      <c r="R1511" s="512" t="str">
        <f t="shared" si="50"/>
        <v>DELETE</v>
      </c>
    </row>
    <row r="1512" spans="2:18" ht="31.5" customHeight="1" x14ac:dyDescent="0.45">
      <c r="B1512" s="563"/>
      <c r="C1512" s="450"/>
      <c r="D1512" s="449">
        <f>Criteria!C148</f>
        <v>0</v>
      </c>
      <c r="M1512" s="548">
        <f>Criteria!F148</f>
        <v>0</v>
      </c>
      <c r="N1512" s="491"/>
      <c r="O1512" s="548">
        <f>Criteria!G148</f>
        <v>0</v>
      </c>
      <c r="P1512" s="634"/>
      <c r="Q1512" s="469"/>
      <c r="R1512" s="512" t="str">
        <f t="shared" si="50"/>
        <v>DELETE</v>
      </c>
    </row>
    <row r="1513" spans="2:18" ht="31.5" customHeight="1" x14ac:dyDescent="0.45">
      <c r="B1513" s="563"/>
      <c r="C1513" s="450"/>
      <c r="D1513" s="449">
        <f>Criteria!C149</f>
        <v>0</v>
      </c>
      <c r="M1513" s="548">
        <f>Criteria!F149</f>
        <v>0</v>
      </c>
      <c r="N1513" s="491"/>
      <c r="O1513" s="548">
        <f>Criteria!G149</f>
        <v>0</v>
      </c>
      <c r="P1513" s="634"/>
      <c r="Q1513" s="469"/>
      <c r="R1513" s="512" t="str">
        <f t="shared" si="50"/>
        <v>DELETE</v>
      </c>
    </row>
    <row r="1514" spans="2:18" ht="31.5" customHeight="1" x14ac:dyDescent="0.45">
      <c r="B1514" s="563"/>
      <c r="C1514" s="450"/>
      <c r="D1514" s="449">
        <f>Criteria!C150</f>
        <v>0</v>
      </c>
      <c r="M1514" s="548">
        <f>Criteria!F150</f>
        <v>0</v>
      </c>
      <c r="N1514" s="491"/>
      <c r="O1514" s="548">
        <f>Criteria!G150</f>
        <v>0</v>
      </c>
      <c r="P1514" s="634"/>
      <c r="Q1514" s="469"/>
      <c r="R1514" s="512" t="str">
        <f t="shared" si="50"/>
        <v>DELETE</v>
      </c>
    </row>
    <row r="1515" spans="2:18" ht="31.5" customHeight="1" x14ac:dyDescent="0.45">
      <c r="B1515" s="563"/>
      <c r="C1515" s="450"/>
      <c r="D1515" s="449">
        <f>Criteria!C151</f>
        <v>0</v>
      </c>
      <c r="M1515" s="548">
        <f>Criteria!F151</f>
        <v>0</v>
      </c>
      <c r="N1515" s="491"/>
      <c r="O1515" s="548">
        <f>Criteria!G151</f>
        <v>0</v>
      </c>
      <c r="P1515" s="634"/>
      <c r="Q1515" s="469"/>
      <c r="R1515" s="512" t="str">
        <f t="shared" si="50"/>
        <v>DELETE</v>
      </c>
    </row>
    <row r="1516" spans="2:18" ht="31.5" customHeight="1" x14ac:dyDescent="0.45">
      <c r="B1516" s="563"/>
      <c r="C1516" s="450"/>
      <c r="D1516" s="449">
        <f>Criteria!C152</f>
        <v>0</v>
      </c>
      <c r="M1516" s="548">
        <f>Criteria!F152</f>
        <v>0</v>
      </c>
      <c r="N1516" s="491"/>
      <c r="O1516" s="548">
        <f>Criteria!G152</f>
        <v>0</v>
      </c>
      <c r="P1516" s="634"/>
      <c r="Q1516" s="469"/>
      <c r="R1516" s="512" t="str">
        <f t="shared" si="50"/>
        <v>DELETE</v>
      </c>
    </row>
    <row r="1517" spans="2:18" ht="31.5" customHeight="1" x14ac:dyDescent="0.45">
      <c r="B1517" s="563"/>
      <c r="C1517" s="450"/>
      <c r="D1517" s="449">
        <f>Criteria!C153</f>
        <v>0</v>
      </c>
      <c r="M1517" s="548">
        <f>Criteria!F153</f>
        <v>0</v>
      </c>
      <c r="N1517" s="491"/>
      <c r="O1517" s="548">
        <f>Criteria!G153</f>
        <v>0</v>
      </c>
      <c r="P1517" s="634"/>
      <c r="Q1517" s="469"/>
      <c r="R1517" s="512" t="str">
        <f t="shared" si="50"/>
        <v>DELETE</v>
      </c>
    </row>
    <row r="1518" spans="2:18" ht="31.5" customHeight="1" x14ac:dyDescent="0.45">
      <c r="B1518" s="563"/>
      <c r="C1518" s="450"/>
      <c r="D1518" s="449">
        <f>Criteria!C154</f>
        <v>0</v>
      </c>
      <c r="M1518" s="548">
        <f>Criteria!F154</f>
        <v>0</v>
      </c>
      <c r="N1518" s="491"/>
      <c r="O1518" s="548">
        <f>Criteria!G154</f>
        <v>0</v>
      </c>
      <c r="P1518" s="634"/>
      <c r="Q1518" s="469"/>
      <c r="R1518" s="512" t="str">
        <f t="shared" si="50"/>
        <v>DELETE</v>
      </c>
    </row>
    <row r="1519" spans="2:18" ht="31.5" customHeight="1" x14ac:dyDescent="0.45">
      <c r="B1519" s="563"/>
      <c r="C1519" s="450"/>
      <c r="D1519" s="449">
        <f>Criteria!C155</f>
        <v>0</v>
      </c>
      <c r="M1519" s="548">
        <f>Criteria!F155</f>
        <v>0</v>
      </c>
      <c r="N1519" s="491"/>
      <c r="O1519" s="548">
        <f>Criteria!G155</f>
        <v>0</v>
      </c>
      <c r="P1519" s="634"/>
      <c r="Q1519" s="469"/>
      <c r="R1519" s="512" t="str">
        <f t="shared" si="50"/>
        <v>DELETE</v>
      </c>
    </row>
    <row r="1520" spans="2:18" ht="31.5" customHeight="1" x14ac:dyDescent="0.45">
      <c r="B1520" s="563"/>
      <c r="C1520" s="450"/>
      <c r="D1520" s="449">
        <f>Criteria!C156</f>
        <v>0</v>
      </c>
      <c r="M1520" s="548">
        <f>Criteria!F156</f>
        <v>0</v>
      </c>
      <c r="N1520" s="491"/>
      <c r="O1520" s="548">
        <f>Criteria!G156</f>
        <v>0</v>
      </c>
      <c r="P1520" s="634"/>
      <c r="Q1520" s="469"/>
      <c r="R1520" s="512" t="str">
        <f t="shared" si="50"/>
        <v>DELETE</v>
      </c>
    </row>
    <row r="1521" spans="2:18" ht="31.5" customHeight="1" x14ac:dyDescent="0.45">
      <c r="B1521" s="563"/>
      <c r="C1521" s="450"/>
      <c r="D1521" s="449">
        <f>Criteria!C157</f>
        <v>0</v>
      </c>
      <c r="M1521" s="548">
        <f>Criteria!F157</f>
        <v>0</v>
      </c>
      <c r="N1521" s="491"/>
      <c r="O1521" s="548">
        <f>Criteria!G157</f>
        <v>0</v>
      </c>
      <c r="P1521" s="634"/>
      <c r="Q1521" s="469"/>
      <c r="R1521" s="512" t="str">
        <f t="shared" si="50"/>
        <v>DELETE</v>
      </c>
    </row>
    <row r="1522" spans="2:18" ht="31.5" customHeight="1" x14ac:dyDescent="0.45">
      <c r="B1522" s="563"/>
      <c r="C1522" s="450"/>
      <c r="D1522" s="449">
        <f>Criteria!C158</f>
        <v>0</v>
      </c>
      <c r="M1522" s="548">
        <f>Criteria!F158</f>
        <v>0</v>
      </c>
      <c r="N1522" s="491"/>
      <c r="O1522" s="548">
        <f>Criteria!G158</f>
        <v>0</v>
      </c>
      <c r="P1522" s="634"/>
      <c r="Q1522" s="469"/>
      <c r="R1522" s="512" t="str">
        <f t="shared" si="50"/>
        <v>DELETE</v>
      </c>
    </row>
    <row r="1523" spans="2:18" ht="31.5" customHeight="1" x14ac:dyDescent="0.45">
      <c r="B1523" s="563"/>
      <c r="C1523" s="450"/>
      <c r="D1523" s="449">
        <f>Criteria!C159</f>
        <v>0</v>
      </c>
      <c r="M1523" s="548">
        <f>Criteria!F159</f>
        <v>0</v>
      </c>
      <c r="N1523" s="491"/>
      <c r="O1523" s="548">
        <f>Criteria!G159</f>
        <v>0</v>
      </c>
      <c r="P1523" s="634"/>
      <c r="Q1523" s="469"/>
      <c r="R1523" s="512" t="str">
        <f t="shared" si="50"/>
        <v>DELETE</v>
      </c>
    </row>
    <row r="1524" spans="2:18" ht="31.5" customHeight="1" x14ac:dyDescent="0.45">
      <c r="B1524" s="563"/>
      <c r="C1524" s="450"/>
      <c r="D1524" s="449">
        <f>Criteria!C160</f>
        <v>0</v>
      </c>
      <c r="M1524" s="548">
        <f>Criteria!F160</f>
        <v>0</v>
      </c>
      <c r="N1524" s="491"/>
      <c r="O1524" s="548">
        <f>Criteria!G160</f>
        <v>0</v>
      </c>
      <c r="P1524" s="634"/>
      <c r="Q1524" s="469"/>
      <c r="R1524" s="512" t="str">
        <f t="shared" si="50"/>
        <v>DELETE</v>
      </c>
    </row>
    <row r="1525" spans="2:18" ht="31.5" customHeight="1" x14ac:dyDescent="0.45">
      <c r="B1525" s="563"/>
      <c r="C1525" s="450"/>
      <c r="D1525" s="449">
        <f>Criteria!C161</f>
        <v>0</v>
      </c>
      <c r="M1525" s="548">
        <f>Criteria!F161</f>
        <v>0</v>
      </c>
      <c r="N1525" s="491"/>
      <c r="O1525" s="548">
        <f>Criteria!G161</f>
        <v>0</v>
      </c>
      <c r="P1525" s="634"/>
      <c r="Q1525" s="469"/>
      <c r="R1525" s="512" t="str">
        <f t="shared" si="50"/>
        <v>DELETE</v>
      </c>
    </row>
    <row r="1526" spans="2:18" ht="31.5" customHeight="1" x14ac:dyDescent="0.45">
      <c r="B1526" s="563"/>
      <c r="C1526" s="450"/>
      <c r="D1526" s="449">
        <f>Criteria!C162</f>
        <v>0</v>
      </c>
      <c r="M1526" s="548">
        <f>Criteria!F162</f>
        <v>0</v>
      </c>
      <c r="N1526" s="491"/>
      <c r="O1526" s="548">
        <f>Criteria!G162</f>
        <v>0</v>
      </c>
      <c r="P1526" s="634"/>
      <c r="Q1526" s="469"/>
      <c r="R1526" s="512" t="str">
        <f t="shared" si="50"/>
        <v>DELETE</v>
      </c>
    </row>
    <row r="1527" spans="2:18" ht="31.5" customHeight="1" x14ac:dyDescent="0.45">
      <c r="B1527" s="563"/>
      <c r="C1527" s="450"/>
      <c r="D1527" s="449">
        <f>Criteria!C163</f>
        <v>0</v>
      </c>
      <c r="M1527" s="548">
        <f>Criteria!F163</f>
        <v>0</v>
      </c>
      <c r="N1527" s="491"/>
      <c r="O1527" s="548">
        <f>Criteria!G163</f>
        <v>0</v>
      </c>
      <c r="P1527" s="634"/>
      <c r="Q1527" s="469"/>
      <c r="R1527" s="512" t="str">
        <f t="shared" si="50"/>
        <v>DELETE</v>
      </c>
    </row>
    <row r="1528" spans="2:18" ht="31.5" customHeight="1" x14ac:dyDescent="0.45">
      <c r="B1528" s="563"/>
      <c r="C1528" s="450"/>
      <c r="D1528" s="449">
        <f>Criteria!C164</f>
        <v>0</v>
      </c>
      <c r="M1528" s="548">
        <f>Criteria!F164</f>
        <v>0</v>
      </c>
      <c r="N1528" s="491"/>
      <c r="O1528" s="548">
        <f>Criteria!G164</f>
        <v>0</v>
      </c>
      <c r="P1528" s="634"/>
      <c r="Q1528" s="469"/>
      <c r="R1528" s="512" t="str">
        <f t="shared" si="50"/>
        <v>DELETE</v>
      </c>
    </row>
    <row r="1529" spans="2:18" ht="31.5" customHeight="1" x14ac:dyDescent="0.45">
      <c r="B1529" s="563"/>
      <c r="C1529" s="450"/>
      <c r="D1529" s="449">
        <f>Criteria!C165</f>
        <v>0</v>
      </c>
      <c r="M1529" s="548">
        <f>Criteria!F165</f>
        <v>0</v>
      </c>
      <c r="N1529" s="491"/>
      <c r="O1529" s="548">
        <f>Criteria!G165</f>
        <v>0</v>
      </c>
      <c r="P1529" s="634"/>
      <c r="Q1529" s="469"/>
      <c r="R1529" s="512" t="str">
        <f t="shared" si="50"/>
        <v>DELETE</v>
      </c>
    </row>
    <row r="1530" spans="2:18" ht="31.5" customHeight="1" x14ac:dyDescent="0.45">
      <c r="B1530" s="563"/>
      <c r="C1530" s="450"/>
      <c r="D1530" s="449">
        <f>Criteria!C166</f>
        <v>0</v>
      </c>
      <c r="M1530" s="548">
        <f>Criteria!F166</f>
        <v>0</v>
      </c>
      <c r="N1530" s="491"/>
      <c r="O1530" s="548">
        <f>Criteria!G166</f>
        <v>0</v>
      </c>
      <c r="P1530" s="634"/>
      <c r="Q1530" s="469"/>
      <c r="R1530" s="512" t="str">
        <f t="shared" si="50"/>
        <v>DELETE</v>
      </c>
    </row>
    <row r="1531" spans="2:18" ht="31.5" customHeight="1" x14ac:dyDescent="0.45">
      <c r="B1531" s="563"/>
      <c r="C1531" s="450"/>
      <c r="D1531" s="449">
        <f>Criteria!C167</f>
        <v>0</v>
      </c>
      <c r="M1531" s="548">
        <f>Criteria!F167</f>
        <v>0</v>
      </c>
      <c r="N1531" s="491"/>
      <c r="O1531" s="548">
        <f>Criteria!G167</f>
        <v>0</v>
      </c>
      <c r="P1531" s="634"/>
      <c r="Q1531" s="469"/>
      <c r="R1531" s="512" t="str">
        <f t="shared" si="50"/>
        <v>DELETE</v>
      </c>
    </row>
    <row r="1532" spans="2:18" ht="31.5" customHeight="1" x14ac:dyDescent="0.45">
      <c r="B1532" s="563"/>
      <c r="C1532" s="450"/>
      <c r="D1532" s="449">
        <f>Criteria!C168</f>
        <v>0</v>
      </c>
      <c r="M1532" s="548">
        <f>Criteria!F168</f>
        <v>0</v>
      </c>
      <c r="N1532" s="491"/>
      <c r="O1532" s="548">
        <f>Criteria!G168</f>
        <v>0</v>
      </c>
      <c r="P1532" s="634"/>
      <c r="Q1532" s="469"/>
      <c r="R1532" s="512" t="str">
        <f t="shared" si="50"/>
        <v>DELETE</v>
      </c>
    </row>
    <row r="1533" spans="2:18" ht="31.5" customHeight="1" x14ac:dyDescent="0.45">
      <c r="B1533" s="563"/>
      <c r="C1533" s="450"/>
      <c r="D1533" s="449">
        <f>Criteria!C169</f>
        <v>0</v>
      </c>
      <c r="M1533" s="548">
        <f>Criteria!F169</f>
        <v>0</v>
      </c>
      <c r="N1533" s="491"/>
      <c r="O1533" s="548">
        <f>Criteria!G169</f>
        <v>0</v>
      </c>
      <c r="P1533" s="634"/>
      <c r="Q1533" s="469"/>
      <c r="R1533" s="512" t="str">
        <f t="shared" si="50"/>
        <v>DELETE</v>
      </c>
    </row>
    <row r="1534" spans="2:18" ht="31.5" customHeight="1" x14ac:dyDescent="0.45">
      <c r="B1534" s="563"/>
      <c r="C1534" s="450"/>
      <c r="D1534" s="449">
        <f>Criteria!C170</f>
        <v>0</v>
      </c>
      <c r="M1534" s="548">
        <f>Criteria!F170</f>
        <v>0</v>
      </c>
      <c r="N1534" s="491"/>
      <c r="O1534" s="548">
        <f>Criteria!G170</f>
        <v>0</v>
      </c>
      <c r="P1534" s="634"/>
      <c r="Q1534" s="469"/>
      <c r="R1534" s="512" t="str">
        <f t="shared" si="50"/>
        <v>DELETE</v>
      </c>
    </row>
    <row r="1535" spans="2:18" ht="31.5" customHeight="1" x14ac:dyDescent="0.45">
      <c r="B1535" s="563"/>
      <c r="C1535" s="450"/>
      <c r="D1535" s="449">
        <f>Criteria!C171</f>
        <v>0</v>
      </c>
      <c r="M1535" s="548">
        <f>Criteria!F171</f>
        <v>0</v>
      </c>
      <c r="N1535" s="491"/>
      <c r="O1535" s="548">
        <f>Criteria!G171</f>
        <v>0</v>
      </c>
      <c r="P1535" s="634"/>
      <c r="Q1535" s="469"/>
      <c r="R1535" s="512" t="str">
        <f t="shared" si="50"/>
        <v>DELETE</v>
      </c>
    </row>
    <row r="1536" spans="2:18" ht="31.5" customHeight="1" x14ac:dyDescent="0.45">
      <c r="B1536" s="563"/>
      <c r="C1536" s="450"/>
      <c r="D1536" s="449">
        <f>Criteria!C172</f>
        <v>0</v>
      </c>
      <c r="M1536" s="548">
        <f>Criteria!F172</f>
        <v>0</v>
      </c>
      <c r="N1536" s="491"/>
      <c r="O1536" s="548">
        <f>Criteria!G172</f>
        <v>0</v>
      </c>
      <c r="P1536" s="634"/>
      <c r="Q1536" s="469"/>
      <c r="R1536" s="512" t="str">
        <f t="shared" si="50"/>
        <v>DELETE</v>
      </c>
    </row>
    <row r="1537" spans="2:24" ht="31.5" customHeight="1" x14ac:dyDescent="0.45">
      <c r="B1537" s="563"/>
      <c r="C1537" s="450"/>
      <c r="D1537" s="449">
        <f>Criteria!C173</f>
        <v>0</v>
      </c>
      <c r="M1537" s="548">
        <f>Criteria!F173</f>
        <v>0</v>
      </c>
      <c r="N1537" s="491"/>
      <c r="O1537" s="548">
        <f>Criteria!G173</f>
        <v>0</v>
      </c>
      <c r="P1537" s="634"/>
      <c r="Q1537" s="469"/>
      <c r="R1537" s="512" t="str">
        <f t="shared" si="50"/>
        <v>DELETE</v>
      </c>
    </row>
    <row r="1538" spans="2:24" ht="31.5" customHeight="1" x14ac:dyDescent="0.45">
      <c r="B1538" s="563"/>
      <c r="C1538" s="450"/>
      <c r="D1538" s="449">
        <f>Criteria!C174</f>
        <v>0</v>
      </c>
      <c r="M1538" s="548">
        <f>Criteria!F174</f>
        <v>0</v>
      </c>
      <c r="N1538" s="491"/>
      <c r="O1538" s="548">
        <f>Criteria!G174</f>
        <v>0</v>
      </c>
      <c r="P1538" s="634"/>
      <c r="Q1538" s="469"/>
      <c r="R1538" s="512" t="str">
        <f t="shared" si="50"/>
        <v>DELETE</v>
      </c>
    </row>
    <row r="1539" spans="2:24" ht="31.5" customHeight="1" x14ac:dyDescent="0.45">
      <c r="B1539" s="563"/>
      <c r="C1539" s="450"/>
      <c r="D1539" s="449">
        <f>Criteria!C175</f>
        <v>0</v>
      </c>
      <c r="M1539" s="548">
        <f>Criteria!F175</f>
        <v>0</v>
      </c>
      <c r="N1539" s="491"/>
      <c r="O1539" s="548">
        <f>Criteria!G175</f>
        <v>0</v>
      </c>
      <c r="P1539" s="634"/>
      <c r="Q1539" s="469"/>
      <c r="R1539" s="512" t="str">
        <f t="shared" si="50"/>
        <v>DELETE</v>
      </c>
    </row>
    <row r="1540" spans="2:24" ht="9" customHeight="1" x14ac:dyDescent="0.45">
      <c r="B1540" s="563"/>
      <c r="C1540" s="450"/>
      <c r="M1540" s="535"/>
      <c r="N1540" s="473"/>
      <c r="O1540" s="535"/>
      <c r="P1540" s="634"/>
      <c r="Q1540" s="469"/>
      <c r="R1540" s="512" t="str">
        <f>R$1542</f>
        <v>DELETE</v>
      </c>
    </row>
    <row r="1541" spans="2:24" ht="9" customHeight="1" x14ac:dyDescent="0.45">
      <c r="B1541" s="563"/>
      <c r="C1541" s="450"/>
      <c r="M1541" s="548"/>
      <c r="N1541" s="491"/>
      <c r="O1541" s="548"/>
      <c r="P1541" s="634"/>
      <c r="Q1541" s="469"/>
      <c r="R1541" s="512" t="str">
        <f>R$1542</f>
        <v>DELETE</v>
      </c>
    </row>
    <row r="1542" spans="2:24" ht="31.5" customHeight="1" x14ac:dyDescent="0.45">
      <c r="B1542" s="563"/>
      <c r="C1542" s="450"/>
      <c r="M1542" s="548">
        <f>SUM(M1502:M1540)</f>
        <v>0</v>
      </c>
      <c r="N1542" s="491"/>
      <c r="O1542" s="548">
        <f>SUM(O1502:O1540)</f>
        <v>0</v>
      </c>
      <c r="P1542" s="634"/>
      <c r="Q1542" s="469"/>
      <c r="R1542" s="512" t="str">
        <f>IF(M1542=0,IF(O1542=0,"DELETE"," ")," ")</f>
        <v>DELETE</v>
      </c>
      <c r="V1542" s="513" t="b">
        <f>M1542=M1480</f>
        <v>1</v>
      </c>
      <c r="X1542" s="513" t="b">
        <f>O1542=O1480</f>
        <v>1</v>
      </c>
    </row>
    <row r="1543" spans="2:24" ht="9" customHeight="1" thickBot="1" x14ac:dyDescent="0.5">
      <c r="B1543" s="563"/>
      <c r="C1543" s="450"/>
      <c r="M1543" s="536"/>
      <c r="N1543" s="474"/>
      <c r="O1543" s="536"/>
      <c r="P1543" s="634"/>
      <c r="Q1543" s="469"/>
      <c r="R1543" s="512" t="str">
        <f t="shared" ref="R1543:R1547" si="51">R$1542</f>
        <v>DELETE</v>
      </c>
    </row>
    <row r="1544" spans="2:24" ht="9" customHeight="1" thickTop="1" x14ac:dyDescent="0.45">
      <c r="B1544" s="563"/>
      <c r="C1544" s="450"/>
      <c r="M1544" s="548"/>
      <c r="N1544" s="491"/>
      <c r="O1544" s="548"/>
      <c r="P1544" s="634"/>
      <c r="Q1544" s="469"/>
      <c r="R1544" s="512" t="str">
        <f t="shared" si="51"/>
        <v>DELETE</v>
      </c>
    </row>
    <row r="1545" spans="2:24" ht="31.5" customHeight="1" x14ac:dyDescent="0.45">
      <c r="B1545" s="563"/>
      <c r="C1545" s="450"/>
      <c r="M1545" s="548"/>
      <c r="N1545" s="491"/>
      <c r="O1545" s="548"/>
      <c r="P1545" s="634"/>
      <c r="Q1545" s="469"/>
      <c r="R1545" s="512" t="str">
        <f t="shared" si="51"/>
        <v>DELETE</v>
      </c>
    </row>
    <row r="1546" spans="2:24" ht="31.5" customHeight="1" x14ac:dyDescent="0.45">
      <c r="B1546" s="564"/>
      <c r="C1546" s="502"/>
      <c r="D1546" s="461"/>
      <c r="E1546" s="461"/>
      <c r="F1546" s="461"/>
      <c r="G1546" s="461"/>
      <c r="H1546" s="461"/>
      <c r="I1546" s="461"/>
      <c r="J1546" s="461"/>
      <c r="K1546" s="461"/>
      <c r="L1546" s="461"/>
      <c r="M1546" s="535"/>
      <c r="N1546" s="473"/>
      <c r="O1546" s="535"/>
      <c r="P1546" s="631"/>
      <c r="Q1546" s="479"/>
      <c r="R1546" s="512" t="str">
        <f t="shared" si="51"/>
        <v>DELETE</v>
      </c>
    </row>
    <row r="1547" spans="2:24" ht="31.5" customHeight="1" x14ac:dyDescent="0.45">
      <c r="B1547" s="526"/>
      <c r="C1547" s="450"/>
      <c r="M1547" s="531"/>
      <c r="N1547" s="470"/>
      <c r="O1547" s="531"/>
      <c r="R1547" s="512" t="str">
        <f t="shared" si="51"/>
        <v>DELETE</v>
      </c>
    </row>
    <row r="1548" spans="2:24" ht="31.5" customHeight="1" x14ac:dyDescent="0.45">
      <c r="B1548" s="526"/>
      <c r="C1548" s="450"/>
      <c r="M1548" s="531"/>
      <c r="N1548" s="470"/>
      <c r="O1548" s="531"/>
      <c r="R1548" s="512" t="str">
        <f t="shared" ref="R1548:R1555" si="52">R$1556</f>
        <v>DELETE</v>
      </c>
    </row>
    <row r="1549" spans="2:24" ht="31.5" customHeight="1" x14ac:dyDescent="0.45">
      <c r="B1549" s="526"/>
      <c r="C1549" s="450"/>
      <c r="D1549" s="450" t="str">
        <f>Criteria!E9</f>
        <v>ABC COMPANY (PROPRIETARY) LIMITED</v>
      </c>
      <c r="M1549" s="639"/>
      <c r="N1549" s="647"/>
      <c r="O1549" s="548" t="s">
        <v>121</v>
      </c>
      <c r="P1549" s="634"/>
      <c r="Q1549" s="451">
        <f>MAX($Q$114:Q1548)+1</f>
        <v>36</v>
      </c>
      <c r="R1549" s="512" t="str">
        <f t="shared" si="52"/>
        <v>DELETE</v>
      </c>
    </row>
    <row r="1550" spans="2:24" ht="31.5" customHeight="1" x14ac:dyDescent="0.45">
      <c r="B1550" s="526"/>
      <c r="C1550" s="450"/>
      <c r="D1550" s="450" t="str">
        <f>Criteria!E10</f>
        <v>T/A SEAFRONT HOTEL, SEAFRONT RESTAURANT AND RENTAL PROPERTIES</v>
      </c>
      <c r="M1550" s="639"/>
      <c r="N1550" s="647"/>
      <c r="O1550" s="639"/>
      <c r="P1550" s="634"/>
      <c r="R1550" s="512" t="str">
        <f>IF(R$1556="DELETE","DELETE",IF(D1550=0,"DELETE"," "))</f>
        <v>DELETE</v>
      </c>
    </row>
    <row r="1551" spans="2:24" ht="31.5" customHeight="1" x14ac:dyDescent="0.45">
      <c r="B1551" s="526"/>
      <c r="C1551" s="450"/>
      <c r="M1551" s="639"/>
      <c r="N1551" s="647"/>
      <c r="O1551" s="639"/>
      <c r="P1551" s="634"/>
      <c r="R1551" s="512" t="str">
        <f t="shared" si="52"/>
        <v>DELETE</v>
      </c>
    </row>
    <row r="1552" spans="2:24" ht="31.5" customHeight="1" x14ac:dyDescent="0.45">
      <c r="B1552" s="526"/>
      <c r="C1552" s="450"/>
      <c r="D1552" s="450" t="s">
        <v>451</v>
      </c>
      <c r="M1552" s="639"/>
      <c r="N1552" s="647"/>
      <c r="O1552" s="639"/>
      <c r="P1552" s="634"/>
      <c r="R1552" s="512" t="str">
        <f t="shared" si="52"/>
        <v>DELETE</v>
      </c>
    </row>
    <row r="1553" spans="2:24" ht="31.5" customHeight="1" x14ac:dyDescent="0.45">
      <c r="B1553" s="526"/>
      <c r="C1553" s="450"/>
      <c r="D1553" s="450" t="str">
        <f>Criteria!E20</f>
        <v>29 FEBRUARY 2024</v>
      </c>
      <c r="J1553" s="449" t="s">
        <v>303</v>
      </c>
      <c r="M1553" s="639"/>
      <c r="N1553" s="647"/>
      <c r="O1553" s="639"/>
      <c r="P1553" s="634"/>
      <c r="R1553" s="512" t="str">
        <f t="shared" si="52"/>
        <v>DELETE</v>
      </c>
    </row>
    <row r="1554" spans="2:24" ht="31.5" customHeight="1" x14ac:dyDescent="0.45">
      <c r="R1554" s="512" t="str">
        <f t="shared" si="52"/>
        <v>DELETE</v>
      </c>
    </row>
    <row r="1555" spans="2:24" ht="31.5" customHeight="1" x14ac:dyDescent="0.45">
      <c r="B1555" s="465"/>
      <c r="C1555" s="466"/>
      <c r="D1555" s="466"/>
      <c r="E1555" s="466"/>
      <c r="F1555" s="466"/>
      <c r="G1555" s="466"/>
      <c r="H1555" s="466"/>
      <c r="I1555" s="466"/>
      <c r="J1555" s="466"/>
      <c r="K1555" s="466"/>
      <c r="L1555" s="466"/>
      <c r="M1555" s="642"/>
      <c r="N1555" s="643"/>
      <c r="O1555" s="642"/>
      <c r="P1555" s="643"/>
      <c r="Q1555" s="467"/>
      <c r="R1555" s="512" t="str">
        <f t="shared" si="52"/>
        <v>DELETE</v>
      </c>
    </row>
    <row r="1556" spans="2:24" ht="31.5" customHeight="1" x14ac:dyDescent="0.45">
      <c r="B1556" s="563">
        <f>MAX(B$802:B1555)+1</f>
        <v>10</v>
      </c>
      <c r="C1556" s="450" t="s">
        <v>208</v>
      </c>
      <c r="Q1556" s="469"/>
      <c r="R1556" s="512" t="str">
        <f>IF(O1563+O1567+O1585+O1589+O1607&gt;0," ","DELETE")</f>
        <v>DELETE</v>
      </c>
    </row>
    <row r="1557" spans="2:24" ht="31.5" customHeight="1" x14ac:dyDescent="0.45">
      <c r="B1557" s="563"/>
      <c r="C1557" s="583">
        <f>B1556+0.1</f>
        <v>10.1</v>
      </c>
      <c r="D1557" s="449" t="s">
        <v>1434</v>
      </c>
      <c r="Q1557" s="469"/>
      <c r="R1557" s="512" t="str">
        <f t="shared" ref="R1557:R1588" si="53">R$1556</f>
        <v>DELETE</v>
      </c>
    </row>
    <row r="1558" spans="2:24" ht="31.5" customHeight="1" x14ac:dyDescent="0.45">
      <c r="B1558" s="563"/>
      <c r="C1558" s="650"/>
      <c r="D1558" s="452"/>
      <c r="G1558" s="620"/>
      <c r="H1558" s="459" t="str">
        <f>Criteria!G220</f>
        <v>Plant and</v>
      </c>
      <c r="I1558" s="459"/>
      <c r="J1558" s="459" t="str">
        <f>Criteria!H220</f>
        <v>Motor</v>
      </c>
      <c r="K1558" s="459" t="str">
        <f>Criteria!I220</f>
        <v>Electronic</v>
      </c>
      <c r="L1558" s="459"/>
      <c r="M1558" s="529" t="str">
        <f>Criteria!J220</f>
        <v>Furniture and</v>
      </c>
      <c r="N1558" s="459"/>
      <c r="O1558" s="529" t="s">
        <v>456</v>
      </c>
      <c r="P1558" s="459"/>
      <c r="Q1558" s="469"/>
      <c r="R1558" s="512" t="str">
        <f t="shared" si="53"/>
        <v>DELETE</v>
      </c>
    </row>
    <row r="1559" spans="2:24" ht="31.5" customHeight="1" x14ac:dyDescent="0.45">
      <c r="B1559" s="563"/>
      <c r="C1559" s="583"/>
      <c r="G1559" s="620"/>
      <c r="H1559" s="459" t="str">
        <f>Criteria!G221</f>
        <v>equipment</v>
      </c>
      <c r="I1559" s="459"/>
      <c r="J1559" s="459" t="str">
        <f>Criteria!H221</f>
        <v>vehicles</v>
      </c>
      <c r="K1559" s="459" t="str">
        <f>Criteria!I221</f>
        <v>equipment</v>
      </c>
      <c r="L1559" s="459"/>
      <c r="M1559" s="529" t="str">
        <f>Criteria!J221</f>
        <v>fittings</v>
      </c>
      <c r="N1559" s="459"/>
      <c r="O1559" s="529"/>
      <c r="P1559" s="459"/>
      <c r="Q1559" s="469"/>
      <c r="R1559" s="512" t="str">
        <f t="shared" si="53"/>
        <v>DELETE</v>
      </c>
    </row>
    <row r="1560" spans="2:24" ht="31.5" customHeight="1" x14ac:dyDescent="0.45">
      <c r="B1560" s="563"/>
      <c r="C1560" s="583"/>
      <c r="D1560" s="570" t="s">
        <v>239</v>
      </c>
      <c r="G1560" s="651">
        <f>Criteria!G22</f>
        <v>44620</v>
      </c>
      <c r="H1560" s="568">
        <f>H1563-H1564</f>
        <v>0</v>
      </c>
      <c r="I1560" s="568"/>
      <c r="J1560" s="568">
        <f>J1563-J1564</f>
        <v>0</v>
      </c>
      <c r="K1560" s="568">
        <f>K1563-K1564</f>
        <v>0</v>
      </c>
      <c r="L1560" s="568"/>
      <c r="M1560" s="568">
        <f>M1563-M1564</f>
        <v>0</v>
      </c>
      <c r="N1560" s="568"/>
      <c r="O1560" s="568">
        <f>O1563-O1564</f>
        <v>0</v>
      </c>
      <c r="P1560" s="459"/>
      <c r="Q1560" s="469"/>
      <c r="R1560" s="512" t="str">
        <f t="shared" si="53"/>
        <v>DELETE</v>
      </c>
      <c r="X1560" s="513" t="b">
        <f>O1560=SUM(H1560:N1560)</f>
        <v>1</v>
      </c>
    </row>
    <row r="1561" spans="2:24" ht="9" customHeight="1" x14ac:dyDescent="0.45">
      <c r="B1561" s="563"/>
      <c r="C1561" s="583"/>
      <c r="D1561" s="570"/>
      <c r="G1561" s="652"/>
      <c r="H1561" s="568"/>
      <c r="I1561" s="568"/>
      <c r="J1561" s="568"/>
      <c r="K1561" s="568"/>
      <c r="L1561" s="568"/>
      <c r="M1561" s="568"/>
      <c r="N1561" s="568"/>
      <c r="O1561" s="568"/>
      <c r="P1561" s="459"/>
      <c r="Q1561" s="469"/>
      <c r="R1561" s="512" t="str">
        <f t="shared" si="53"/>
        <v>DELETE</v>
      </c>
    </row>
    <row r="1562" spans="2:24" ht="9" customHeight="1" x14ac:dyDescent="0.45">
      <c r="B1562" s="563"/>
      <c r="C1562" s="583"/>
      <c r="D1562" s="570"/>
      <c r="G1562" s="652"/>
      <c r="H1562" s="572"/>
      <c r="I1562" s="573"/>
      <c r="J1562" s="573"/>
      <c r="K1562" s="573"/>
      <c r="L1562" s="573"/>
      <c r="M1562" s="573"/>
      <c r="N1562" s="573"/>
      <c r="O1562" s="574"/>
      <c r="P1562" s="459"/>
      <c r="Q1562" s="469"/>
      <c r="R1562" s="512" t="str">
        <f t="shared" si="53"/>
        <v>DELETE</v>
      </c>
    </row>
    <row r="1563" spans="2:24" ht="31.5" customHeight="1" x14ac:dyDescent="0.45">
      <c r="B1563" s="563"/>
      <c r="C1563" s="583"/>
      <c r="D1563" s="570" t="s">
        <v>457</v>
      </c>
      <c r="G1563" s="620"/>
      <c r="H1563" s="575">
        <f>TrialBalance!N251</f>
        <v>0</v>
      </c>
      <c r="I1563" s="568"/>
      <c r="J1563" s="568">
        <f>TrialBalance!N259</f>
        <v>0</v>
      </c>
      <c r="K1563" s="568">
        <f>TrialBalance!N267</f>
        <v>0</v>
      </c>
      <c r="L1563" s="568"/>
      <c r="M1563" s="568">
        <f>TrialBalance!N275</f>
        <v>0</v>
      </c>
      <c r="N1563" s="568"/>
      <c r="O1563" s="576">
        <f>SUM(H1563:M1563)</f>
        <v>0</v>
      </c>
      <c r="P1563" s="459"/>
      <c r="Q1563" s="469"/>
      <c r="R1563" s="512" t="str">
        <f t="shared" si="53"/>
        <v>DELETE</v>
      </c>
    </row>
    <row r="1564" spans="2:24" ht="31.5" customHeight="1" x14ac:dyDescent="0.45">
      <c r="B1564" s="563"/>
      <c r="C1564" s="583"/>
      <c r="D1564" s="570" t="s">
        <v>649</v>
      </c>
      <c r="G1564" s="620"/>
      <c r="H1564" s="575">
        <f>-TrialBalance!N255</f>
        <v>0</v>
      </c>
      <c r="I1564" s="568"/>
      <c r="J1564" s="568">
        <f>-TrialBalance!N263</f>
        <v>0</v>
      </c>
      <c r="K1564" s="568">
        <f>-TrialBalance!N271</f>
        <v>0</v>
      </c>
      <c r="L1564" s="568"/>
      <c r="M1564" s="568">
        <f>-TrialBalance!N279</f>
        <v>0</v>
      </c>
      <c r="N1564" s="568"/>
      <c r="O1564" s="576">
        <f>SUM(H1564:M1564)</f>
        <v>0</v>
      </c>
      <c r="P1564" s="459"/>
      <c r="Q1564" s="469"/>
      <c r="R1564" s="512" t="str">
        <f t="shared" si="53"/>
        <v>DELETE</v>
      </c>
    </row>
    <row r="1565" spans="2:24" ht="9" customHeight="1" x14ac:dyDescent="0.45">
      <c r="B1565" s="563"/>
      <c r="C1565" s="583"/>
      <c r="D1565" s="570"/>
      <c r="G1565" s="620"/>
      <c r="H1565" s="577"/>
      <c r="I1565" s="569"/>
      <c r="J1565" s="569"/>
      <c r="K1565" s="569"/>
      <c r="L1565" s="569"/>
      <c r="M1565" s="569"/>
      <c r="N1565" s="569"/>
      <c r="O1565" s="578"/>
      <c r="P1565" s="459"/>
      <c r="Q1565" s="469"/>
      <c r="R1565" s="512" t="str">
        <f t="shared" si="53"/>
        <v>DELETE</v>
      </c>
    </row>
    <row r="1566" spans="2:24" ht="9" customHeight="1" x14ac:dyDescent="0.45">
      <c r="B1566" s="563"/>
      <c r="C1566" s="583"/>
      <c r="D1566" s="570"/>
      <c r="G1566" s="620"/>
      <c r="H1566" s="568"/>
      <c r="I1566" s="568"/>
      <c r="J1566" s="568"/>
      <c r="K1566" s="568"/>
      <c r="L1566" s="568"/>
      <c r="M1566" s="568"/>
      <c r="N1566" s="568"/>
      <c r="O1566" s="568"/>
      <c r="P1566" s="459"/>
      <c r="Q1566" s="469"/>
      <c r="R1566" s="512" t="str">
        <f t="shared" si="53"/>
        <v>DELETE</v>
      </c>
    </row>
    <row r="1567" spans="2:24" ht="31.5" customHeight="1" x14ac:dyDescent="0.45">
      <c r="B1567" s="563"/>
      <c r="C1567" s="583"/>
      <c r="D1567" s="570" t="s">
        <v>458</v>
      </c>
      <c r="G1567" s="620"/>
      <c r="H1567" s="568">
        <f>TrialBalance!N252</f>
        <v>0</v>
      </c>
      <c r="I1567" s="568"/>
      <c r="J1567" s="568">
        <f>TrialBalance!N260</f>
        <v>0</v>
      </c>
      <c r="K1567" s="568">
        <f>TrialBalance!N268</f>
        <v>0</v>
      </c>
      <c r="L1567" s="568"/>
      <c r="M1567" s="568">
        <f>+TrialBalance!N276</f>
        <v>0</v>
      </c>
      <c r="N1567" s="568"/>
      <c r="O1567" s="568">
        <f>SUM(H1567:M1567)</f>
        <v>0</v>
      </c>
      <c r="P1567" s="459"/>
      <c r="Q1567" s="469"/>
      <c r="R1567" s="512" t="str">
        <f t="shared" si="53"/>
        <v>DELETE</v>
      </c>
    </row>
    <row r="1568" spans="2:24" ht="9" customHeight="1" x14ac:dyDescent="0.45">
      <c r="B1568" s="563"/>
      <c r="C1568" s="583"/>
      <c r="D1568" s="570"/>
      <c r="G1568" s="620"/>
      <c r="H1568" s="569"/>
      <c r="I1568" s="569"/>
      <c r="J1568" s="569"/>
      <c r="K1568" s="569"/>
      <c r="L1568" s="569"/>
      <c r="M1568" s="569"/>
      <c r="N1568" s="569"/>
      <c r="O1568" s="569"/>
      <c r="P1568" s="459"/>
      <c r="Q1568" s="469"/>
      <c r="R1568" s="512" t="str">
        <f t="shared" si="53"/>
        <v>DELETE</v>
      </c>
    </row>
    <row r="1569" spans="2:24" ht="9" customHeight="1" x14ac:dyDescent="0.45">
      <c r="B1569" s="563"/>
      <c r="C1569" s="583"/>
      <c r="D1569" s="570"/>
      <c r="G1569" s="620"/>
      <c r="H1569" s="568"/>
      <c r="I1569" s="568"/>
      <c r="J1569" s="568"/>
      <c r="K1569" s="568"/>
      <c r="L1569" s="568"/>
      <c r="M1569" s="568"/>
      <c r="N1569" s="568"/>
      <c r="O1569" s="568"/>
      <c r="P1569" s="459"/>
      <c r="Q1569" s="469"/>
      <c r="R1569" s="512" t="str">
        <f t="shared" si="53"/>
        <v>DELETE</v>
      </c>
    </row>
    <row r="1570" spans="2:24" ht="31.5" customHeight="1" x14ac:dyDescent="0.45">
      <c r="B1570" s="563"/>
      <c r="C1570" s="583"/>
      <c r="D1570" s="570"/>
      <c r="G1570" s="620"/>
      <c r="H1570" s="568">
        <f>H1560+H1567</f>
        <v>0</v>
      </c>
      <c r="I1570" s="568"/>
      <c r="J1570" s="568">
        <f>J1560+J1567</f>
        <v>0</v>
      </c>
      <c r="K1570" s="568">
        <f>K1560+K1567</f>
        <v>0</v>
      </c>
      <c r="L1570" s="568"/>
      <c r="M1570" s="568">
        <f>M1560+M1567</f>
        <v>0</v>
      </c>
      <c r="N1570" s="568"/>
      <c r="O1570" s="568">
        <f>O1560+O1567</f>
        <v>0</v>
      </c>
      <c r="P1570" s="459"/>
      <c r="Q1570" s="469"/>
      <c r="R1570" s="512" t="str">
        <f t="shared" si="53"/>
        <v>DELETE</v>
      </c>
    </row>
    <row r="1571" spans="2:24" ht="31.5" customHeight="1" x14ac:dyDescent="0.45">
      <c r="B1571" s="563"/>
      <c r="C1571" s="583"/>
      <c r="D1571" s="570" t="s">
        <v>196</v>
      </c>
      <c r="G1571" s="620"/>
      <c r="H1571" s="568">
        <f>H1574-H1575</f>
        <v>0</v>
      </c>
      <c r="I1571" s="568"/>
      <c r="J1571" s="568">
        <f>J1574-J1575</f>
        <v>0</v>
      </c>
      <c r="K1571" s="568">
        <f>K1574-K1575</f>
        <v>0</v>
      </c>
      <c r="L1571" s="568"/>
      <c r="M1571" s="568">
        <f>M1574-M1575</f>
        <v>0</v>
      </c>
      <c r="N1571" s="568"/>
      <c r="O1571" s="568">
        <f>O1574-O1575</f>
        <v>0</v>
      </c>
      <c r="P1571" s="459"/>
      <c r="Q1571" s="469"/>
      <c r="R1571" s="512" t="str">
        <f t="shared" si="53"/>
        <v>DELETE</v>
      </c>
    </row>
    <row r="1572" spans="2:24" ht="9" customHeight="1" x14ac:dyDescent="0.45">
      <c r="B1572" s="563"/>
      <c r="C1572" s="583"/>
      <c r="D1572" s="570"/>
      <c r="G1572" s="620"/>
      <c r="H1572" s="568"/>
      <c r="I1572" s="568"/>
      <c r="J1572" s="568"/>
      <c r="K1572" s="568"/>
      <c r="L1572" s="568"/>
      <c r="M1572" s="568"/>
      <c r="N1572" s="568"/>
      <c r="O1572" s="568"/>
      <c r="P1572" s="459"/>
      <c r="Q1572" s="469"/>
      <c r="R1572" s="512" t="str">
        <f t="shared" si="53"/>
        <v>DELETE</v>
      </c>
    </row>
    <row r="1573" spans="2:24" ht="9" customHeight="1" x14ac:dyDescent="0.45">
      <c r="B1573" s="563"/>
      <c r="C1573" s="583"/>
      <c r="D1573" s="570"/>
      <c r="G1573" s="620"/>
      <c r="H1573" s="572"/>
      <c r="I1573" s="573"/>
      <c r="J1573" s="573"/>
      <c r="K1573" s="573"/>
      <c r="L1573" s="573"/>
      <c r="M1573" s="573"/>
      <c r="N1573" s="573"/>
      <c r="O1573" s="574"/>
      <c r="P1573" s="459"/>
      <c r="Q1573" s="469"/>
      <c r="R1573" s="512" t="str">
        <f t="shared" si="53"/>
        <v>DELETE</v>
      </c>
    </row>
    <row r="1574" spans="2:24" ht="31.5" customHeight="1" x14ac:dyDescent="0.45">
      <c r="B1574" s="563"/>
      <c r="C1574" s="583"/>
      <c r="D1574" s="570" t="s">
        <v>62</v>
      </c>
      <c r="G1574" s="620"/>
      <c r="H1574" s="575">
        <f>-TrialBalance!N253</f>
        <v>0</v>
      </c>
      <c r="I1574" s="568"/>
      <c r="J1574" s="568">
        <f>-TrialBalance!N261</f>
        <v>0</v>
      </c>
      <c r="K1574" s="568">
        <f>-TrialBalance!N269</f>
        <v>0</v>
      </c>
      <c r="L1574" s="568"/>
      <c r="M1574" s="568">
        <f>-TrialBalance!N277</f>
        <v>0</v>
      </c>
      <c r="N1574" s="568"/>
      <c r="O1574" s="576">
        <f>SUM(H1574:M1574)</f>
        <v>0</v>
      </c>
      <c r="P1574" s="459"/>
      <c r="Q1574" s="469"/>
      <c r="R1574" s="512" t="str">
        <f t="shared" si="53"/>
        <v>DELETE</v>
      </c>
    </row>
    <row r="1575" spans="2:24" ht="31.5" customHeight="1" x14ac:dyDescent="0.45">
      <c r="B1575" s="563"/>
      <c r="C1575" s="583"/>
      <c r="D1575" s="570" t="s">
        <v>650</v>
      </c>
      <c r="G1575" s="620"/>
      <c r="H1575" s="575">
        <f>TrialBalance!N257</f>
        <v>0</v>
      </c>
      <c r="I1575" s="568"/>
      <c r="J1575" s="568">
        <f>TrialBalance!N265</f>
        <v>0</v>
      </c>
      <c r="K1575" s="568">
        <f>TrialBalance!N273</f>
        <v>0</v>
      </c>
      <c r="L1575" s="568"/>
      <c r="M1575" s="568">
        <f>+TrialBalance!N281</f>
        <v>0</v>
      </c>
      <c r="N1575" s="568"/>
      <c r="O1575" s="576">
        <f>SUM(H1575:M1575)</f>
        <v>0</v>
      </c>
      <c r="P1575" s="459"/>
      <c r="Q1575" s="469"/>
      <c r="R1575" s="512" t="str">
        <f t="shared" si="53"/>
        <v>DELETE</v>
      </c>
    </row>
    <row r="1576" spans="2:24" ht="9" customHeight="1" x14ac:dyDescent="0.45">
      <c r="B1576" s="563"/>
      <c r="C1576" s="583"/>
      <c r="D1576" s="570"/>
      <c r="G1576" s="620"/>
      <c r="H1576" s="577"/>
      <c r="I1576" s="569"/>
      <c r="J1576" s="569"/>
      <c r="K1576" s="569"/>
      <c r="L1576" s="569"/>
      <c r="M1576" s="569"/>
      <c r="N1576" s="569"/>
      <c r="O1576" s="578"/>
      <c r="P1576" s="459"/>
      <c r="Q1576" s="469"/>
      <c r="R1576" s="512" t="str">
        <f t="shared" si="53"/>
        <v>DELETE</v>
      </c>
    </row>
    <row r="1577" spans="2:24" ht="9" customHeight="1" x14ac:dyDescent="0.45">
      <c r="B1577" s="563"/>
      <c r="C1577" s="583"/>
      <c r="D1577" s="570"/>
      <c r="G1577" s="620"/>
      <c r="H1577" s="568"/>
      <c r="I1577" s="568"/>
      <c r="J1577" s="568"/>
      <c r="K1577" s="568"/>
      <c r="L1577" s="568"/>
      <c r="M1577" s="568"/>
      <c r="N1577" s="568"/>
      <c r="O1577" s="568"/>
      <c r="P1577" s="459"/>
      <c r="Q1577" s="469"/>
      <c r="R1577" s="512" t="str">
        <f t="shared" si="53"/>
        <v>DELETE</v>
      </c>
    </row>
    <row r="1578" spans="2:24" ht="31.5" customHeight="1" x14ac:dyDescent="0.45">
      <c r="B1578" s="563"/>
      <c r="C1578" s="583"/>
      <c r="D1578" s="570" t="s">
        <v>446</v>
      </c>
      <c r="G1578" s="620"/>
      <c r="H1578" s="568">
        <f>TrialBalance!N256</f>
        <v>0</v>
      </c>
      <c r="I1578" s="568"/>
      <c r="J1578" s="568">
        <f>TrialBalance!N264</f>
        <v>0</v>
      </c>
      <c r="K1578" s="568">
        <f>TrialBalance!N272</f>
        <v>0</v>
      </c>
      <c r="L1578" s="568"/>
      <c r="M1578" s="568">
        <f>+TrialBalance!N280</f>
        <v>0</v>
      </c>
      <c r="N1578" s="568"/>
      <c r="O1578" s="568">
        <f>SUM(H1578:M1578)</f>
        <v>0</v>
      </c>
      <c r="P1578" s="459"/>
      <c r="Q1578" s="469"/>
      <c r="R1578" s="512" t="str">
        <f t="shared" si="53"/>
        <v>DELETE</v>
      </c>
    </row>
    <row r="1579" spans="2:24" ht="9" customHeight="1" x14ac:dyDescent="0.45">
      <c r="B1579" s="563"/>
      <c r="C1579" s="583"/>
      <c r="D1579" s="570"/>
      <c r="G1579" s="620"/>
      <c r="H1579" s="569"/>
      <c r="I1579" s="569"/>
      <c r="J1579" s="569"/>
      <c r="K1579" s="569"/>
      <c r="L1579" s="569"/>
      <c r="M1579" s="569"/>
      <c r="N1579" s="569"/>
      <c r="O1579" s="569"/>
      <c r="P1579" s="459"/>
      <c r="Q1579" s="469"/>
      <c r="R1579" s="512" t="str">
        <f t="shared" si="53"/>
        <v>DELETE</v>
      </c>
    </row>
    <row r="1580" spans="2:24" ht="9" customHeight="1" x14ac:dyDescent="0.45">
      <c r="B1580" s="563"/>
      <c r="C1580" s="583"/>
      <c r="D1580" s="570"/>
      <c r="G1580" s="620"/>
      <c r="H1580" s="568"/>
      <c r="I1580" s="568"/>
      <c r="J1580" s="568"/>
      <c r="K1580" s="568"/>
      <c r="L1580" s="568"/>
      <c r="M1580" s="568"/>
      <c r="N1580" s="568"/>
      <c r="O1580" s="568"/>
      <c r="P1580" s="459"/>
      <c r="Q1580" s="469"/>
      <c r="R1580" s="512" t="str">
        <f t="shared" si="53"/>
        <v>DELETE</v>
      </c>
    </row>
    <row r="1581" spans="2:24" ht="31.5" customHeight="1" x14ac:dyDescent="0.45">
      <c r="B1581" s="563"/>
      <c r="C1581" s="583"/>
      <c r="D1581" s="570" t="s">
        <v>239</v>
      </c>
      <c r="G1581" s="651">
        <f>Criteria!G21</f>
        <v>44985</v>
      </c>
      <c r="H1581" s="579">
        <f>H1560+H1567-H1571+H1578</f>
        <v>0</v>
      </c>
      <c r="I1581" s="579"/>
      <c r="J1581" s="579">
        <f>J1560+J1567-J1571+J1578</f>
        <v>0</v>
      </c>
      <c r="K1581" s="579">
        <f>K1560+K1567-K1571+K1578</f>
        <v>0</v>
      </c>
      <c r="L1581" s="579"/>
      <c r="M1581" s="579">
        <f>M1560+M1567-M1571+M1578</f>
        <v>0</v>
      </c>
      <c r="N1581" s="579"/>
      <c r="O1581" s="579">
        <f>O1560+O1567-O1571+O1578</f>
        <v>0</v>
      </c>
      <c r="P1581" s="459"/>
      <c r="Q1581" s="469"/>
      <c r="R1581" s="512" t="str">
        <f t="shared" si="53"/>
        <v>DELETE</v>
      </c>
      <c r="X1581" s="513" t="b">
        <f>O1581=SUM(H1581:N1581)</f>
        <v>1</v>
      </c>
    </row>
    <row r="1582" spans="2:24" ht="9" customHeight="1" thickBot="1" x14ac:dyDescent="0.5">
      <c r="B1582" s="563"/>
      <c r="C1582" s="583"/>
      <c r="D1582" s="570"/>
      <c r="G1582" s="652"/>
      <c r="H1582" s="580"/>
      <c r="I1582" s="580"/>
      <c r="J1582" s="580"/>
      <c r="K1582" s="580"/>
      <c r="L1582" s="580"/>
      <c r="M1582" s="580"/>
      <c r="N1582" s="580"/>
      <c r="O1582" s="580"/>
      <c r="P1582" s="459"/>
      <c r="Q1582" s="469"/>
      <c r="R1582" s="512" t="str">
        <f t="shared" si="53"/>
        <v>DELETE</v>
      </c>
    </row>
    <row r="1583" spans="2:24" ht="9" customHeight="1" thickTop="1" x14ac:dyDescent="0.45">
      <c r="B1583" s="563"/>
      <c r="C1583" s="583"/>
      <c r="D1583" s="570"/>
      <c r="G1583" s="652"/>
      <c r="H1583" s="568"/>
      <c r="I1583" s="568"/>
      <c r="J1583" s="568"/>
      <c r="K1583" s="568"/>
      <c r="L1583" s="568"/>
      <c r="M1583" s="568"/>
      <c r="N1583" s="568"/>
      <c r="O1583" s="568"/>
      <c r="P1583" s="459"/>
      <c r="Q1583" s="469"/>
      <c r="R1583" s="512" t="str">
        <f t="shared" si="53"/>
        <v>DELETE</v>
      </c>
    </row>
    <row r="1584" spans="2:24" ht="9" customHeight="1" x14ac:dyDescent="0.45">
      <c r="B1584" s="563"/>
      <c r="C1584" s="583"/>
      <c r="D1584" s="570"/>
      <c r="G1584" s="652"/>
      <c r="H1584" s="572"/>
      <c r="I1584" s="573"/>
      <c r="J1584" s="573"/>
      <c r="K1584" s="573"/>
      <c r="L1584" s="573"/>
      <c r="M1584" s="573"/>
      <c r="N1584" s="573"/>
      <c r="O1584" s="574"/>
      <c r="P1584" s="459"/>
      <c r="Q1584" s="469"/>
      <c r="R1584" s="512" t="str">
        <f t="shared" si="53"/>
        <v>DELETE</v>
      </c>
    </row>
    <row r="1585" spans="2:24" ht="31.5" customHeight="1" x14ac:dyDescent="0.45">
      <c r="B1585" s="563"/>
      <c r="C1585" s="583"/>
      <c r="D1585" s="570" t="s">
        <v>457</v>
      </c>
      <c r="G1585" s="620"/>
      <c r="H1585" s="575">
        <f>H1563+H1567-H1574</f>
        <v>0</v>
      </c>
      <c r="I1585" s="581"/>
      <c r="J1585" s="581">
        <f>J1563+J1567-J1574</f>
        <v>0</v>
      </c>
      <c r="K1585" s="581">
        <f>K1563+K1567-K1574</f>
        <v>0</v>
      </c>
      <c r="L1585" s="581"/>
      <c r="M1585" s="581">
        <f>M1563+M1567-M1574</f>
        <v>0</v>
      </c>
      <c r="N1585" s="581"/>
      <c r="O1585" s="576">
        <f>O1563+O1567-O1574</f>
        <v>0</v>
      </c>
      <c r="P1585" s="459"/>
      <c r="Q1585" s="469"/>
      <c r="R1585" s="512" t="str">
        <f t="shared" si="53"/>
        <v>DELETE</v>
      </c>
      <c r="X1585" s="513" t="b">
        <f>O1585=SUM(H1585:N1585)</f>
        <v>1</v>
      </c>
    </row>
    <row r="1586" spans="2:24" ht="31.5" customHeight="1" x14ac:dyDescent="0.45">
      <c r="B1586" s="563"/>
      <c r="C1586" s="583"/>
      <c r="D1586" s="570" t="s">
        <v>649</v>
      </c>
      <c r="G1586" s="620"/>
      <c r="H1586" s="575">
        <f>H1564-H1575-H1578</f>
        <v>0</v>
      </c>
      <c r="I1586" s="581"/>
      <c r="J1586" s="581">
        <f>J1564-J1575-J1578</f>
        <v>0</v>
      </c>
      <c r="K1586" s="581">
        <f>K1564-K1575-K1578</f>
        <v>0</v>
      </c>
      <c r="L1586" s="581"/>
      <c r="M1586" s="581">
        <f>M1564-M1575-M1578</f>
        <v>0</v>
      </c>
      <c r="N1586" s="581"/>
      <c r="O1586" s="576">
        <f>O1564-O1575-O1578</f>
        <v>0</v>
      </c>
      <c r="P1586" s="459"/>
      <c r="Q1586" s="469"/>
      <c r="R1586" s="512" t="str">
        <f t="shared" si="53"/>
        <v>DELETE</v>
      </c>
      <c r="X1586" s="513" t="b">
        <f>O1586=SUM(H1586:N1586)</f>
        <v>1</v>
      </c>
    </row>
    <row r="1587" spans="2:24" ht="9" customHeight="1" x14ac:dyDescent="0.45">
      <c r="B1587" s="563"/>
      <c r="C1587" s="583"/>
      <c r="D1587" s="570"/>
      <c r="G1587" s="620"/>
      <c r="H1587" s="577"/>
      <c r="I1587" s="569"/>
      <c r="J1587" s="569"/>
      <c r="K1587" s="569"/>
      <c r="L1587" s="569"/>
      <c r="M1587" s="569"/>
      <c r="N1587" s="569"/>
      <c r="O1587" s="578"/>
      <c r="P1587" s="459"/>
      <c r="Q1587" s="469"/>
      <c r="R1587" s="512" t="str">
        <f t="shared" si="53"/>
        <v>DELETE</v>
      </c>
    </row>
    <row r="1588" spans="2:24" ht="9" customHeight="1" x14ac:dyDescent="0.45">
      <c r="B1588" s="563"/>
      <c r="C1588" s="583"/>
      <c r="D1588" s="570"/>
      <c r="G1588" s="620"/>
      <c r="H1588" s="568"/>
      <c r="I1588" s="568"/>
      <c r="J1588" s="568"/>
      <c r="K1588" s="568"/>
      <c r="L1588" s="568"/>
      <c r="M1588" s="568"/>
      <c r="N1588" s="568"/>
      <c r="O1588" s="568"/>
      <c r="P1588" s="459"/>
      <c r="Q1588" s="469"/>
      <c r="R1588" s="512" t="str">
        <f t="shared" si="53"/>
        <v>DELETE</v>
      </c>
    </row>
    <row r="1589" spans="2:24" ht="31.5" customHeight="1" x14ac:dyDescent="0.45">
      <c r="B1589" s="563"/>
      <c r="C1589" s="583"/>
      <c r="D1589" s="570" t="s">
        <v>458</v>
      </c>
      <c r="G1589" s="620"/>
      <c r="H1589" s="568">
        <f>TrialBalance!L252</f>
        <v>0</v>
      </c>
      <c r="I1589" s="568"/>
      <c r="J1589" s="568">
        <f>TrialBalance!L260</f>
        <v>0</v>
      </c>
      <c r="K1589" s="568">
        <f>TrialBalance!L268</f>
        <v>0</v>
      </c>
      <c r="L1589" s="568"/>
      <c r="M1589" s="568">
        <f>+TrialBalance!L276</f>
        <v>0</v>
      </c>
      <c r="N1589" s="568"/>
      <c r="O1589" s="568">
        <f>SUM(H1589:M1589)</f>
        <v>0</v>
      </c>
      <c r="P1589" s="459"/>
      <c r="Q1589" s="469"/>
      <c r="R1589" s="512" t="str">
        <f t="shared" ref="R1589:R1609" si="54">R$1556</f>
        <v>DELETE</v>
      </c>
      <c r="X1589" s="513" t="b">
        <f>O1581=O1585-O1586</f>
        <v>1</v>
      </c>
    </row>
    <row r="1590" spans="2:24" ht="9" customHeight="1" x14ac:dyDescent="0.45">
      <c r="B1590" s="563"/>
      <c r="C1590" s="583"/>
      <c r="D1590" s="570"/>
      <c r="G1590" s="620"/>
      <c r="H1590" s="569"/>
      <c r="I1590" s="569"/>
      <c r="J1590" s="569"/>
      <c r="K1590" s="569"/>
      <c r="L1590" s="569"/>
      <c r="M1590" s="569"/>
      <c r="N1590" s="569"/>
      <c r="O1590" s="569"/>
      <c r="P1590" s="459"/>
      <c r="Q1590" s="469"/>
      <c r="R1590" s="512" t="str">
        <f t="shared" si="54"/>
        <v>DELETE</v>
      </c>
    </row>
    <row r="1591" spans="2:24" ht="9" customHeight="1" x14ac:dyDescent="0.45">
      <c r="B1591" s="563"/>
      <c r="C1591" s="583"/>
      <c r="D1591" s="570"/>
      <c r="G1591" s="620"/>
      <c r="H1591" s="568"/>
      <c r="I1591" s="568"/>
      <c r="J1591" s="568"/>
      <c r="K1591" s="568"/>
      <c r="L1591" s="568"/>
      <c r="M1591" s="568"/>
      <c r="N1591" s="568"/>
      <c r="O1591" s="568"/>
      <c r="P1591" s="459"/>
      <c r="Q1591" s="469"/>
      <c r="R1591" s="512" t="str">
        <f t="shared" si="54"/>
        <v>DELETE</v>
      </c>
    </row>
    <row r="1592" spans="2:24" ht="31.5" customHeight="1" x14ac:dyDescent="0.45">
      <c r="B1592" s="563"/>
      <c r="C1592" s="583"/>
      <c r="D1592" s="570"/>
      <c r="G1592" s="620"/>
      <c r="H1592" s="568">
        <f>+H1581+H1589</f>
        <v>0</v>
      </c>
      <c r="I1592" s="568"/>
      <c r="J1592" s="568">
        <f>+J1581+J1589</f>
        <v>0</v>
      </c>
      <c r="K1592" s="568">
        <f>+K1581+K1589</f>
        <v>0</v>
      </c>
      <c r="L1592" s="568"/>
      <c r="M1592" s="568">
        <f>+M1581+M1589</f>
        <v>0</v>
      </c>
      <c r="N1592" s="568"/>
      <c r="O1592" s="568">
        <f>+O1581+O1589</f>
        <v>0</v>
      </c>
      <c r="P1592" s="459"/>
      <c r="Q1592" s="469"/>
      <c r="R1592" s="512" t="str">
        <f t="shared" si="54"/>
        <v>DELETE</v>
      </c>
    </row>
    <row r="1593" spans="2:24" ht="31.5" customHeight="1" x14ac:dyDescent="0.45">
      <c r="B1593" s="563"/>
      <c r="C1593" s="583"/>
      <c r="D1593" s="570" t="s">
        <v>196</v>
      </c>
      <c r="G1593" s="620"/>
      <c r="H1593" s="568">
        <f>H1596-H1597</f>
        <v>0</v>
      </c>
      <c r="I1593" s="568"/>
      <c r="J1593" s="568">
        <f>J1596-J1597</f>
        <v>0</v>
      </c>
      <c r="K1593" s="568">
        <f>K1596-K1597</f>
        <v>0</v>
      </c>
      <c r="L1593" s="568"/>
      <c r="M1593" s="568">
        <f>M1596-M1597</f>
        <v>0</v>
      </c>
      <c r="N1593" s="568"/>
      <c r="O1593" s="568">
        <f>O1596-O1597</f>
        <v>0</v>
      </c>
      <c r="P1593" s="459"/>
      <c r="Q1593" s="469"/>
      <c r="R1593" s="512" t="str">
        <f t="shared" si="54"/>
        <v>DELETE</v>
      </c>
    </row>
    <row r="1594" spans="2:24" ht="9" customHeight="1" x14ac:dyDescent="0.45">
      <c r="B1594" s="563"/>
      <c r="C1594" s="583"/>
      <c r="D1594" s="570"/>
      <c r="G1594" s="620"/>
      <c r="H1594" s="568"/>
      <c r="I1594" s="568"/>
      <c r="J1594" s="568"/>
      <c r="K1594" s="568"/>
      <c r="L1594" s="568"/>
      <c r="M1594" s="568"/>
      <c r="N1594" s="568"/>
      <c r="O1594" s="568"/>
      <c r="P1594" s="459"/>
      <c r="Q1594" s="469"/>
      <c r="R1594" s="512" t="str">
        <f t="shared" si="54"/>
        <v>DELETE</v>
      </c>
    </row>
    <row r="1595" spans="2:24" ht="9" customHeight="1" x14ac:dyDescent="0.45">
      <c r="B1595" s="563"/>
      <c r="C1595" s="583"/>
      <c r="D1595" s="570"/>
      <c r="G1595" s="620"/>
      <c r="H1595" s="572"/>
      <c r="I1595" s="573"/>
      <c r="J1595" s="573"/>
      <c r="K1595" s="573"/>
      <c r="L1595" s="573"/>
      <c r="M1595" s="573"/>
      <c r="N1595" s="573"/>
      <c r="O1595" s="574"/>
      <c r="P1595" s="459"/>
      <c r="Q1595" s="469"/>
      <c r="R1595" s="512" t="str">
        <f t="shared" si="54"/>
        <v>DELETE</v>
      </c>
    </row>
    <row r="1596" spans="2:24" ht="31.5" customHeight="1" x14ac:dyDescent="0.45">
      <c r="B1596" s="563"/>
      <c r="C1596" s="583"/>
      <c r="D1596" s="570" t="s">
        <v>62</v>
      </c>
      <c r="G1596" s="620"/>
      <c r="H1596" s="575">
        <f>-TrialBalance!L253</f>
        <v>0</v>
      </c>
      <c r="I1596" s="568"/>
      <c r="J1596" s="568">
        <f>-TrialBalance!L261</f>
        <v>0</v>
      </c>
      <c r="K1596" s="568">
        <f>-TrialBalance!L269</f>
        <v>0</v>
      </c>
      <c r="L1596" s="568"/>
      <c r="M1596" s="568">
        <f>-TrialBalance!L277</f>
        <v>0</v>
      </c>
      <c r="N1596" s="568"/>
      <c r="O1596" s="576">
        <f>SUM(H1596:M1596)</f>
        <v>0</v>
      </c>
      <c r="P1596" s="459"/>
      <c r="Q1596" s="469"/>
      <c r="R1596" s="512" t="str">
        <f t="shared" si="54"/>
        <v>DELETE</v>
      </c>
    </row>
    <row r="1597" spans="2:24" ht="31.5" customHeight="1" x14ac:dyDescent="0.45">
      <c r="B1597" s="563"/>
      <c r="C1597" s="583"/>
      <c r="D1597" s="570" t="s">
        <v>650</v>
      </c>
      <c r="G1597" s="620"/>
      <c r="H1597" s="575">
        <f>TrialBalance!L257</f>
        <v>0</v>
      </c>
      <c r="I1597" s="568"/>
      <c r="J1597" s="568">
        <f>TrialBalance!L265</f>
        <v>0</v>
      </c>
      <c r="K1597" s="568">
        <f>TrialBalance!L273</f>
        <v>0</v>
      </c>
      <c r="L1597" s="568"/>
      <c r="M1597" s="568">
        <f>+TrialBalance!L281</f>
        <v>0</v>
      </c>
      <c r="N1597" s="568"/>
      <c r="O1597" s="576">
        <f>SUM(H1597:M1597)</f>
        <v>0</v>
      </c>
      <c r="P1597" s="459"/>
      <c r="Q1597" s="469"/>
      <c r="R1597" s="512" t="str">
        <f t="shared" si="54"/>
        <v>DELETE</v>
      </c>
    </row>
    <row r="1598" spans="2:24" ht="9" customHeight="1" x14ac:dyDescent="0.45">
      <c r="B1598" s="563"/>
      <c r="C1598" s="583"/>
      <c r="D1598" s="570"/>
      <c r="G1598" s="620"/>
      <c r="H1598" s="577"/>
      <c r="I1598" s="569"/>
      <c r="J1598" s="569"/>
      <c r="K1598" s="569"/>
      <c r="L1598" s="569"/>
      <c r="M1598" s="569"/>
      <c r="N1598" s="569"/>
      <c r="O1598" s="578"/>
      <c r="P1598" s="459"/>
      <c r="Q1598" s="469"/>
      <c r="R1598" s="512" t="str">
        <f t="shared" si="54"/>
        <v>DELETE</v>
      </c>
    </row>
    <row r="1599" spans="2:24" ht="9" customHeight="1" x14ac:dyDescent="0.45">
      <c r="B1599" s="563"/>
      <c r="C1599" s="583"/>
      <c r="D1599" s="570"/>
      <c r="G1599" s="620"/>
      <c r="H1599" s="568"/>
      <c r="I1599" s="568"/>
      <c r="J1599" s="568"/>
      <c r="K1599" s="568"/>
      <c r="L1599" s="568"/>
      <c r="M1599" s="568"/>
      <c r="N1599" s="568"/>
      <c r="O1599" s="568"/>
      <c r="P1599" s="459"/>
      <c r="Q1599" s="469"/>
      <c r="R1599" s="512" t="str">
        <f t="shared" si="54"/>
        <v>DELETE</v>
      </c>
    </row>
    <row r="1600" spans="2:24" ht="31.5" customHeight="1" x14ac:dyDescent="0.45">
      <c r="B1600" s="563"/>
      <c r="C1600" s="583"/>
      <c r="D1600" s="570" t="s">
        <v>446</v>
      </c>
      <c r="G1600" s="620"/>
      <c r="H1600" s="568">
        <f>TrialBalance!L256</f>
        <v>0</v>
      </c>
      <c r="I1600" s="568"/>
      <c r="J1600" s="568">
        <f>TrialBalance!L264</f>
        <v>0</v>
      </c>
      <c r="K1600" s="568">
        <f>TrialBalance!L272</f>
        <v>0</v>
      </c>
      <c r="L1600" s="568"/>
      <c r="M1600" s="568">
        <f>+TrialBalance!L280</f>
        <v>0</v>
      </c>
      <c r="N1600" s="568"/>
      <c r="O1600" s="568">
        <f>SUM(H1600:M1600)</f>
        <v>0</v>
      </c>
      <c r="P1600" s="459"/>
      <c r="Q1600" s="469"/>
      <c r="R1600" s="512" t="str">
        <f t="shared" si="54"/>
        <v>DELETE</v>
      </c>
    </row>
    <row r="1601" spans="2:22" ht="9" customHeight="1" x14ac:dyDescent="0.45">
      <c r="B1601" s="563"/>
      <c r="C1601" s="583"/>
      <c r="D1601" s="570"/>
      <c r="G1601" s="620"/>
      <c r="H1601" s="569"/>
      <c r="I1601" s="569"/>
      <c r="J1601" s="569"/>
      <c r="K1601" s="569"/>
      <c r="L1601" s="569"/>
      <c r="M1601" s="569"/>
      <c r="N1601" s="569"/>
      <c r="O1601" s="569"/>
      <c r="P1601" s="459"/>
      <c r="Q1601" s="469"/>
      <c r="R1601" s="512" t="str">
        <f t="shared" si="54"/>
        <v>DELETE</v>
      </c>
    </row>
    <row r="1602" spans="2:22" ht="9" customHeight="1" x14ac:dyDescent="0.45">
      <c r="B1602" s="563"/>
      <c r="C1602" s="583"/>
      <c r="D1602" s="570"/>
      <c r="G1602" s="620"/>
      <c r="H1602" s="568"/>
      <c r="I1602" s="568"/>
      <c r="J1602" s="568"/>
      <c r="K1602" s="568"/>
      <c r="L1602" s="568"/>
      <c r="M1602" s="568"/>
      <c r="N1602" s="568"/>
      <c r="O1602" s="568"/>
      <c r="P1602" s="459"/>
      <c r="Q1602" s="469"/>
      <c r="R1602" s="512" t="str">
        <f t="shared" si="54"/>
        <v>DELETE</v>
      </c>
    </row>
    <row r="1603" spans="2:22" ht="31.5" customHeight="1" x14ac:dyDescent="0.45">
      <c r="B1603" s="563"/>
      <c r="C1603" s="583"/>
      <c r="D1603" s="570" t="s">
        <v>239</v>
      </c>
      <c r="G1603" s="651">
        <f>Criteria!G20</f>
        <v>45351</v>
      </c>
      <c r="H1603" s="579">
        <f>+H1581+H1589-H1593+H1600</f>
        <v>0</v>
      </c>
      <c r="I1603" s="579"/>
      <c r="J1603" s="579">
        <f>+J1581+J1589-J1593+J1600</f>
        <v>0</v>
      </c>
      <c r="K1603" s="579">
        <f>+K1581+K1589-K1593+K1600</f>
        <v>0</v>
      </c>
      <c r="L1603" s="579"/>
      <c r="M1603" s="579">
        <f>+M1581+M1589-M1593+M1600</f>
        <v>0</v>
      </c>
      <c r="N1603" s="579"/>
      <c r="O1603" s="579">
        <f>+O1581+O1589-O1593+O1600</f>
        <v>0</v>
      </c>
      <c r="P1603" s="457"/>
      <c r="Q1603" s="469"/>
      <c r="R1603" s="512" t="str">
        <f t="shared" si="54"/>
        <v>DELETE</v>
      </c>
      <c r="V1603" s="513" t="b">
        <f>O1603=SUM(H1603:N1603)</f>
        <v>1</v>
      </c>
    </row>
    <row r="1604" spans="2:22" ht="9" customHeight="1" thickBot="1" x14ac:dyDescent="0.5">
      <c r="B1604" s="563"/>
      <c r="C1604" s="583"/>
      <c r="D1604" s="570"/>
      <c r="G1604" s="652"/>
      <c r="H1604" s="580"/>
      <c r="I1604" s="580"/>
      <c r="J1604" s="580"/>
      <c r="K1604" s="580"/>
      <c r="L1604" s="580"/>
      <c r="M1604" s="580"/>
      <c r="N1604" s="580"/>
      <c r="O1604" s="580"/>
      <c r="P1604" s="459"/>
      <c r="Q1604" s="469"/>
      <c r="R1604" s="512" t="str">
        <f t="shared" si="54"/>
        <v>DELETE</v>
      </c>
    </row>
    <row r="1605" spans="2:22" ht="9" customHeight="1" thickTop="1" x14ac:dyDescent="0.45">
      <c r="B1605" s="563"/>
      <c r="C1605" s="583"/>
      <c r="D1605" s="570"/>
      <c r="G1605" s="652"/>
      <c r="H1605" s="568"/>
      <c r="I1605" s="568"/>
      <c r="J1605" s="568"/>
      <c r="K1605" s="568"/>
      <c r="L1605" s="568"/>
      <c r="M1605" s="568"/>
      <c r="N1605" s="568"/>
      <c r="O1605" s="568"/>
      <c r="P1605" s="459"/>
      <c r="Q1605" s="469"/>
      <c r="R1605" s="512" t="str">
        <f t="shared" si="54"/>
        <v>DELETE</v>
      </c>
    </row>
    <row r="1606" spans="2:22" ht="9" customHeight="1" x14ac:dyDescent="0.45">
      <c r="B1606" s="563"/>
      <c r="C1606" s="583"/>
      <c r="D1606" s="570"/>
      <c r="G1606" s="652"/>
      <c r="H1606" s="572"/>
      <c r="I1606" s="573"/>
      <c r="J1606" s="573"/>
      <c r="K1606" s="573"/>
      <c r="L1606" s="573"/>
      <c r="M1606" s="573"/>
      <c r="N1606" s="573"/>
      <c r="O1606" s="574"/>
      <c r="P1606" s="459"/>
      <c r="Q1606" s="469"/>
      <c r="R1606" s="512" t="str">
        <f t="shared" si="54"/>
        <v>DELETE</v>
      </c>
    </row>
    <row r="1607" spans="2:22" ht="31.5" customHeight="1" x14ac:dyDescent="0.45">
      <c r="B1607" s="563"/>
      <c r="C1607" s="583"/>
      <c r="D1607" s="570" t="s">
        <v>457</v>
      </c>
      <c r="G1607" s="620"/>
      <c r="H1607" s="575">
        <f>H1585+H1589-H1596</f>
        <v>0</v>
      </c>
      <c r="I1607" s="581"/>
      <c r="J1607" s="581">
        <f>J1585+J1589-J1596</f>
        <v>0</v>
      </c>
      <c r="K1607" s="581">
        <f>K1585+K1589-K1596</f>
        <v>0</v>
      </c>
      <c r="L1607" s="581"/>
      <c r="M1607" s="581">
        <f>M1585+M1589-M1596</f>
        <v>0</v>
      </c>
      <c r="N1607" s="581"/>
      <c r="O1607" s="576">
        <f>O1585+O1589-O1596</f>
        <v>0</v>
      </c>
      <c r="P1607" s="459"/>
      <c r="Q1607" s="469"/>
      <c r="R1607" s="512" t="str">
        <f t="shared" si="54"/>
        <v>DELETE</v>
      </c>
      <c r="V1607" s="513" t="b">
        <f>O1607=SUM(H1607:N1607)</f>
        <v>1</v>
      </c>
    </row>
    <row r="1608" spans="2:22" ht="31.5" customHeight="1" x14ac:dyDescent="0.45">
      <c r="B1608" s="563"/>
      <c r="C1608" s="583"/>
      <c r="D1608" s="570" t="s">
        <v>649</v>
      </c>
      <c r="G1608" s="620"/>
      <c r="H1608" s="575">
        <f>H1586-H1597-H1600</f>
        <v>0</v>
      </c>
      <c r="I1608" s="581"/>
      <c r="J1608" s="581">
        <f>J1586-J1597-J1600</f>
        <v>0</v>
      </c>
      <c r="K1608" s="581">
        <f>K1586-K1597-K1600</f>
        <v>0</v>
      </c>
      <c r="L1608" s="581"/>
      <c r="M1608" s="581">
        <f>M1586-M1597-M1600</f>
        <v>0</v>
      </c>
      <c r="N1608" s="581"/>
      <c r="O1608" s="576">
        <f>O1586-O1597-O1600</f>
        <v>0</v>
      </c>
      <c r="P1608" s="459"/>
      <c r="Q1608" s="469"/>
      <c r="R1608" s="512" t="str">
        <f t="shared" si="54"/>
        <v>DELETE</v>
      </c>
      <c r="V1608" s="513" t="b">
        <f>O1608=SUM(H1608:N1608)</f>
        <v>1</v>
      </c>
    </row>
    <row r="1609" spans="2:22" ht="9" customHeight="1" x14ac:dyDescent="0.45">
      <c r="B1609" s="563"/>
      <c r="C1609" s="583"/>
      <c r="G1609" s="620"/>
      <c r="H1609" s="577"/>
      <c r="I1609" s="569"/>
      <c r="J1609" s="569"/>
      <c r="K1609" s="569"/>
      <c r="L1609" s="569"/>
      <c r="M1609" s="569"/>
      <c r="N1609" s="569"/>
      <c r="O1609" s="578"/>
      <c r="P1609" s="459"/>
      <c r="Q1609" s="469"/>
      <c r="R1609" s="512" t="str">
        <f t="shared" si="54"/>
        <v>DELETE</v>
      </c>
    </row>
    <row r="1610" spans="2:22" ht="31.5" customHeight="1" x14ac:dyDescent="0.45">
      <c r="B1610" s="563"/>
      <c r="C1610" s="583"/>
      <c r="G1610" s="620"/>
      <c r="H1610" s="470"/>
      <c r="I1610" s="470"/>
      <c r="J1610" s="470"/>
      <c r="K1610" s="470"/>
      <c r="L1610" s="470"/>
      <c r="M1610" s="531"/>
      <c r="N1610" s="470"/>
      <c r="O1610" s="531"/>
      <c r="P1610" s="459"/>
      <c r="Q1610" s="469"/>
      <c r="R1610" s="512" t="str">
        <f t="shared" ref="R1610:R1613" si="55">R$1556</f>
        <v>DELETE</v>
      </c>
    </row>
    <row r="1611" spans="2:22" ht="31.5" customHeight="1" x14ac:dyDescent="0.45">
      <c r="B1611" s="563"/>
      <c r="C1611" s="583"/>
      <c r="G1611" s="620"/>
      <c r="H1611" s="470"/>
      <c r="I1611" s="470"/>
      <c r="J1611" s="470"/>
      <c r="K1611" s="470"/>
      <c r="L1611" s="470"/>
      <c r="M1611" s="531"/>
      <c r="N1611" s="470"/>
      <c r="O1611" s="531"/>
      <c r="P1611" s="459"/>
      <c r="Q1611" s="469"/>
      <c r="R1611" s="512" t="str">
        <f t="shared" si="55"/>
        <v>DELETE</v>
      </c>
    </row>
    <row r="1612" spans="2:22" ht="31.5" customHeight="1" x14ac:dyDescent="0.45">
      <c r="B1612" s="564"/>
      <c r="C1612" s="653"/>
      <c r="D1612" s="461"/>
      <c r="E1612" s="461"/>
      <c r="F1612" s="461"/>
      <c r="G1612" s="461"/>
      <c r="H1612" s="505"/>
      <c r="I1612" s="505"/>
      <c r="J1612" s="505"/>
      <c r="K1612" s="505"/>
      <c r="L1612" s="505"/>
      <c r="M1612" s="640"/>
      <c r="N1612" s="646"/>
      <c r="O1612" s="640"/>
      <c r="P1612" s="631"/>
      <c r="Q1612" s="479"/>
      <c r="R1612" s="512" t="str">
        <f t="shared" si="55"/>
        <v>DELETE</v>
      </c>
    </row>
    <row r="1613" spans="2:22" ht="31.5" customHeight="1" x14ac:dyDescent="0.45">
      <c r="B1613" s="526"/>
      <c r="C1613" s="583"/>
      <c r="R1613" s="512" t="str">
        <f t="shared" si="55"/>
        <v>DELETE</v>
      </c>
    </row>
    <row r="1614" spans="2:22" ht="31.5" customHeight="1" x14ac:dyDescent="0.45">
      <c r="B1614" s="527"/>
      <c r="C1614" s="583"/>
      <c r="R1614" s="512" t="str">
        <f>R$1622</f>
        <v>DELETE</v>
      </c>
    </row>
    <row r="1615" spans="2:22" ht="31.5" customHeight="1" x14ac:dyDescent="0.45">
      <c r="B1615" s="527"/>
      <c r="C1615" s="583"/>
      <c r="D1615" s="450" t="str">
        <f>Criteria!E9</f>
        <v>ABC COMPANY (PROPRIETARY) LIMITED</v>
      </c>
      <c r="O1615" s="529" t="s">
        <v>121</v>
      </c>
      <c r="Q1615" s="451">
        <f>MAX($Q$114:Q1614)+1</f>
        <v>37</v>
      </c>
      <c r="R1615" s="512" t="str">
        <f t="shared" ref="R1615:R1621" si="56">R$1622</f>
        <v>DELETE</v>
      </c>
    </row>
    <row r="1616" spans="2:22" ht="31.5" customHeight="1" x14ac:dyDescent="0.45">
      <c r="B1616" s="527"/>
      <c r="C1616" s="583"/>
      <c r="D1616" s="450" t="str">
        <f>Criteria!E10</f>
        <v>T/A SEAFRONT HOTEL, SEAFRONT RESTAURANT AND RENTAL PROPERTIES</v>
      </c>
      <c r="R1616" s="512" t="str">
        <f>IF(R$1622="DELETE","DELETE",IF(D1616=0,"DELETE"," "))</f>
        <v>DELETE</v>
      </c>
    </row>
    <row r="1617" spans="2:18" ht="31.5" customHeight="1" x14ac:dyDescent="0.45">
      <c r="B1617" s="527"/>
      <c r="C1617" s="583"/>
      <c r="R1617" s="512" t="str">
        <f t="shared" si="56"/>
        <v>DELETE</v>
      </c>
    </row>
    <row r="1618" spans="2:18" ht="31.5" customHeight="1" x14ac:dyDescent="0.45">
      <c r="B1618" s="527"/>
      <c r="C1618" s="583"/>
      <c r="D1618" s="450" t="s">
        <v>451</v>
      </c>
      <c r="R1618" s="512" t="str">
        <f t="shared" si="56"/>
        <v>DELETE</v>
      </c>
    </row>
    <row r="1619" spans="2:18" ht="31.5" customHeight="1" x14ac:dyDescent="0.45">
      <c r="B1619" s="527"/>
      <c r="C1619" s="583"/>
      <c r="D1619" s="450" t="str">
        <f>Criteria!E20</f>
        <v>29 FEBRUARY 2024</v>
      </c>
      <c r="J1619" s="449" t="s">
        <v>303</v>
      </c>
      <c r="R1619" s="512" t="str">
        <f t="shared" si="56"/>
        <v>DELETE</v>
      </c>
    </row>
    <row r="1620" spans="2:18" ht="31.5" customHeight="1" x14ac:dyDescent="0.45">
      <c r="B1620" s="527"/>
      <c r="C1620" s="583"/>
      <c r="R1620" s="512" t="str">
        <f t="shared" si="56"/>
        <v>DELETE</v>
      </c>
    </row>
    <row r="1621" spans="2:18" ht="31.5" customHeight="1" x14ac:dyDescent="0.45">
      <c r="B1621" s="566"/>
      <c r="C1621" s="654"/>
      <c r="D1621" s="466"/>
      <c r="E1621" s="466"/>
      <c r="F1621" s="466"/>
      <c r="G1621" s="466"/>
      <c r="H1621" s="466"/>
      <c r="I1621" s="466"/>
      <c r="J1621" s="466"/>
      <c r="K1621" s="466"/>
      <c r="L1621" s="466"/>
      <c r="M1621" s="642"/>
      <c r="N1621" s="643"/>
      <c r="O1621" s="642"/>
      <c r="P1621" s="643"/>
      <c r="Q1621" s="467"/>
      <c r="R1621" s="512" t="str">
        <f t="shared" si="56"/>
        <v>DELETE</v>
      </c>
    </row>
    <row r="1622" spans="2:18" ht="31.5" customHeight="1" x14ac:dyDescent="0.45">
      <c r="B1622" s="563"/>
      <c r="C1622" s="583">
        <f>MAX(C1557:C1621)+0.1</f>
        <v>10.199999999999999</v>
      </c>
      <c r="D1622" s="449" t="s">
        <v>1435</v>
      </c>
      <c r="Q1622" s="469"/>
      <c r="R1622" s="512" t="str">
        <f>IF(Criteria!J228+Criteria!J235=0,"DELETE"," ")</f>
        <v>DELETE</v>
      </c>
    </row>
    <row r="1623" spans="2:18" ht="31.5" customHeight="1" x14ac:dyDescent="0.45">
      <c r="B1623" s="563"/>
      <c r="C1623" s="583"/>
      <c r="H1623" s="459" t="str">
        <f>Criteria!G220</f>
        <v>Plant and</v>
      </c>
      <c r="I1623" s="459"/>
      <c r="J1623" s="459" t="str">
        <f>Criteria!H220</f>
        <v>Motor</v>
      </c>
      <c r="K1623" s="459" t="str">
        <f>Criteria!I220</f>
        <v>Electronic</v>
      </c>
      <c r="L1623" s="459"/>
      <c r="M1623" s="529" t="str">
        <f>Criteria!J220</f>
        <v>Furniture and</v>
      </c>
      <c r="N1623" s="459"/>
      <c r="O1623" s="529" t="s">
        <v>456</v>
      </c>
      <c r="Q1623" s="469"/>
      <c r="R1623" s="512" t="str">
        <f>R$1622</f>
        <v>DELETE</v>
      </c>
    </row>
    <row r="1624" spans="2:18" ht="31.5" customHeight="1" x14ac:dyDescent="0.45">
      <c r="B1624" s="563"/>
      <c r="C1624" s="583"/>
      <c r="H1624" s="459" t="str">
        <f>Criteria!G221</f>
        <v>equipment</v>
      </c>
      <c r="I1624" s="459"/>
      <c r="J1624" s="459" t="str">
        <f>Criteria!H221</f>
        <v>vehicles</v>
      </c>
      <c r="K1624" s="459" t="str">
        <f>Criteria!I221</f>
        <v>equipment</v>
      </c>
      <c r="L1624" s="459"/>
      <c r="M1624" s="529" t="str">
        <f>Criteria!J221</f>
        <v>fittings</v>
      </c>
      <c r="N1624" s="459"/>
      <c r="O1624" s="529"/>
      <c r="Q1624" s="469"/>
      <c r="R1624" s="512" t="str">
        <f>R$1622</f>
        <v>DELETE</v>
      </c>
    </row>
    <row r="1625" spans="2:18" ht="31.5" customHeight="1" x14ac:dyDescent="0.45">
      <c r="B1625" s="563"/>
      <c r="C1625" s="583"/>
      <c r="D1625" s="570" t="s">
        <v>239</v>
      </c>
      <c r="G1625" s="571">
        <f>Criteria!G21</f>
        <v>44985</v>
      </c>
      <c r="H1625" s="568">
        <f>H1628-H1629</f>
        <v>0</v>
      </c>
      <c r="I1625" s="568"/>
      <c r="J1625" s="568">
        <f>J1628-J1629</f>
        <v>0</v>
      </c>
      <c r="K1625" s="568">
        <f>K1628-K1629</f>
        <v>0</v>
      </c>
      <c r="L1625" s="568"/>
      <c r="M1625" s="568">
        <f>M1628-M1629</f>
        <v>0</v>
      </c>
      <c r="N1625" s="568"/>
      <c r="O1625" s="568">
        <f>O1628-O1629</f>
        <v>0</v>
      </c>
      <c r="P1625" s="621"/>
      <c r="Q1625" s="469"/>
      <c r="R1625" s="512" t="str">
        <f t="shared" ref="R1625:R1642" si="57">R$1622</f>
        <v>DELETE</v>
      </c>
    </row>
    <row r="1626" spans="2:18" ht="9" customHeight="1" x14ac:dyDescent="0.45">
      <c r="B1626" s="563"/>
      <c r="C1626" s="583"/>
      <c r="D1626" s="570"/>
      <c r="G1626" s="504"/>
      <c r="H1626" s="568"/>
      <c r="I1626" s="568"/>
      <c r="J1626" s="568"/>
      <c r="K1626" s="568"/>
      <c r="L1626" s="568"/>
      <c r="M1626" s="568"/>
      <c r="N1626" s="568"/>
      <c r="O1626" s="568"/>
      <c r="P1626" s="621"/>
      <c r="Q1626" s="469"/>
      <c r="R1626" s="512" t="str">
        <f t="shared" si="57"/>
        <v>DELETE</v>
      </c>
    </row>
    <row r="1627" spans="2:18" ht="9" customHeight="1" x14ac:dyDescent="0.45">
      <c r="B1627" s="563"/>
      <c r="C1627" s="583"/>
      <c r="D1627" s="570"/>
      <c r="G1627" s="504"/>
      <c r="H1627" s="572"/>
      <c r="I1627" s="573"/>
      <c r="J1627" s="573"/>
      <c r="K1627" s="573"/>
      <c r="L1627" s="573"/>
      <c r="M1627" s="573"/>
      <c r="N1627" s="573"/>
      <c r="O1627" s="574"/>
      <c r="P1627" s="621"/>
      <c r="Q1627" s="469"/>
      <c r="R1627" s="512" t="str">
        <f t="shared" si="57"/>
        <v>DELETE</v>
      </c>
    </row>
    <row r="1628" spans="2:18" ht="31.5" customHeight="1" x14ac:dyDescent="0.45">
      <c r="B1628" s="563"/>
      <c r="C1628" s="583"/>
      <c r="D1628" s="570" t="s">
        <v>457</v>
      </c>
      <c r="G1628" s="459"/>
      <c r="H1628" s="575">
        <f>Criteria!F231</f>
        <v>0</v>
      </c>
      <c r="I1628" s="568"/>
      <c r="J1628" s="568">
        <f>Criteria!G231</f>
        <v>0</v>
      </c>
      <c r="K1628" s="568">
        <f>Criteria!H231</f>
        <v>0</v>
      </c>
      <c r="L1628" s="568"/>
      <c r="M1628" s="568">
        <f>Criteria!I231</f>
        <v>0</v>
      </c>
      <c r="N1628" s="568"/>
      <c r="O1628" s="576">
        <f>SUM(H1628:M1628)</f>
        <v>0</v>
      </c>
      <c r="P1628" s="621"/>
      <c r="Q1628" s="469"/>
      <c r="R1628" s="512" t="str">
        <f t="shared" si="57"/>
        <v>DELETE</v>
      </c>
    </row>
    <row r="1629" spans="2:18" ht="31.5" customHeight="1" x14ac:dyDescent="0.45">
      <c r="B1629" s="563"/>
      <c r="C1629" s="583"/>
      <c r="D1629" s="570" t="s">
        <v>649</v>
      </c>
      <c r="G1629" s="459"/>
      <c r="H1629" s="575">
        <f>Criteria!F232</f>
        <v>0</v>
      </c>
      <c r="I1629" s="568"/>
      <c r="J1629" s="568">
        <f>Criteria!G232</f>
        <v>0</v>
      </c>
      <c r="K1629" s="568">
        <f>Criteria!H232</f>
        <v>0</v>
      </c>
      <c r="L1629" s="568"/>
      <c r="M1629" s="568">
        <f>Criteria!I232</f>
        <v>0</v>
      </c>
      <c r="N1629" s="568"/>
      <c r="O1629" s="576">
        <f>SUM(H1629:M1629)</f>
        <v>0</v>
      </c>
      <c r="P1629" s="621"/>
      <c r="Q1629" s="469"/>
      <c r="R1629" s="512" t="str">
        <f t="shared" si="57"/>
        <v>DELETE</v>
      </c>
    </row>
    <row r="1630" spans="2:18" ht="9" customHeight="1" x14ac:dyDescent="0.45">
      <c r="B1630" s="563"/>
      <c r="C1630" s="583"/>
      <c r="D1630" s="570"/>
      <c r="G1630" s="459"/>
      <c r="H1630" s="577"/>
      <c r="I1630" s="569"/>
      <c r="J1630" s="569"/>
      <c r="K1630" s="569"/>
      <c r="L1630" s="569"/>
      <c r="M1630" s="569"/>
      <c r="N1630" s="569"/>
      <c r="O1630" s="578"/>
      <c r="P1630" s="621"/>
      <c r="Q1630" s="469"/>
      <c r="R1630" s="512" t="str">
        <f t="shared" si="57"/>
        <v>DELETE</v>
      </c>
    </row>
    <row r="1631" spans="2:18" ht="9" customHeight="1" x14ac:dyDescent="0.45">
      <c r="B1631" s="563"/>
      <c r="C1631" s="583"/>
      <c r="D1631" s="570"/>
      <c r="G1631" s="459"/>
      <c r="H1631" s="568"/>
      <c r="I1631" s="568"/>
      <c r="J1631" s="568"/>
      <c r="K1631" s="568"/>
      <c r="L1631" s="568"/>
      <c r="M1631" s="568"/>
      <c r="N1631" s="568"/>
      <c r="O1631" s="568"/>
      <c r="P1631" s="621"/>
      <c r="Q1631" s="469"/>
      <c r="R1631" s="512" t="str">
        <f t="shared" si="57"/>
        <v>DELETE</v>
      </c>
    </row>
    <row r="1632" spans="2:18" ht="31.5" customHeight="1" x14ac:dyDescent="0.45">
      <c r="B1632" s="563"/>
      <c r="C1632" s="583"/>
      <c r="D1632" s="570" t="s">
        <v>239</v>
      </c>
      <c r="G1632" s="571">
        <f>Criteria!G20</f>
        <v>45351</v>
      </c>
      <c r="H1632" s="568">
        <f>H1635-H1636</f>
        <v>0</v>
      </c>
      <c r="I1632" s="568"/>
      <c r="J1632" s="568">
        <f>J1635-J1636</f>
        <v>0</v>
      </c>
      <c r="K1632" s="568">
        <f>K1635-K1636</f>
        <v>0</v>
      </c>
      <c r="L1632" s="568"/>
      <c r="M1632" s="568">
        <f>M1635-M1636</f>
        <v>0</v>
      </c>
      <c r="N1632" s="568"/>
      <c r="O1632" s="568">
        <f>O1635-O1636</f>
        <v>0</v>
      </c>
      <c r="P1632" s="621"/>
      <c r="Q1632" s="469"/>
      <c r="R1632" s="512" t="str">
        <f t="shared" si="57"/>
        <v>DELETE</v>
      </c>
    </row>
    <row r="1633" spans="2:18" ht="9" customHeight="1" x14ac:dyDescent="0.45">
      <c r="B1633" s="563"/>
      <c r="C1633" s="583"/>
      <c r="D1633" s="570"/>
      <c r="G1633" s="504"/>
      <c r="H1633" s="568"/>
      <c r="I1633" s="568"/>
      <c r="J1633" s="568"/>
      <c r="K1633" s="568"/>
      <c r="L1633" s="568"/>
      <c r="M1633" s="568"/>
      <c r="N1633" s="568"/>
      <c r="O1633" s="568"/>
      <c r="P1633" s="621"/>
      <c r="Q1633" s="469"/>
      <c r="R1633" s="512" t="str">
        <f t="shared" si="57"/>
        <v>DELETE</v>
      </c>
    </row>
    <row r="1634" spans="2:18" ht="9" customHeight="1" x14ac:dyDescent="0.45">
      <c r="B1634" s="563"/>
      <c r="C1634" s="583"/>
      <c r="D1634" s="570"/>
      <c r="G1634" s="504"/>
      <c r="H1634" s="572"/>
      <c r="I1634" s="573"/>
      <c r="J1634" s="573"/>
      <c r="K1634" s="573"/>
      <c r="L1634" s="573"/>
      <c r="M1634" s="573"/>
      <c r="N1634" s="573"/>
      <c r="O1634" s="574"/>
      <c r="P1634" s="621"/>
      <c r="Q1634" s="469"/>
      <c r="R1634" s="512" t="str">
        <f t="shared" si="57"/>
        <v>DELETE</v>
      </c>
    </row>
    <row r="1635" spans="2:18" ht="31.5" customHeight="1" x14ac:dyDescent="0.45">
      <c r="B1635" s="563"/>
      <c r="C1635" s="583"/>
      <c r="D1635" s="570" t="s">
        <v>457</v>
      </c>
      <c r="G1635" s="459"/>
      <c r="H1635" s="575">
        <f>Criteria!F238</f>
        <v>0</v>
      </c>
      <c r="I1635" s="568"/>
      <c r="J1635" s="568">
        <f>Criteria!G238</f>
        <v>0</v>
      </c>
      <c r="K1635" s="568">
        <f>Criteria!H238</f>
        <v>0</v>
      </c>
      <c r="L1635" s="568"/>
      <c r="M1635" s="568">
        <f>Criteria!I238</f>
        <v>0</v>
      </c>
      <c r="N1635" s="568"/>
      <c r="O1635" s="576">
        <f>SUM(H1635:M1635)</f>
        <v>0</v>
      </c>
      <c r="P1635" s="621"/>
      <c r="Q1635" s="469"/>
      <c r="R1635" s="512" t="str">
        <f t="shared" si="57"/>
        <v>DELETE</v>
      </c>
    </row>
    <row r="1636" spans="2:18" ht="31.5" customHeight="1" x14ac:dyDescent="0.45">
      <c r="B1636" s="563"/>
      <c r="C1636" s="583"/>
      <c r="D1636" s="570" t="s">
        <v>649</v>
      </c>
      <c r="G1636" s="459"/>
      <c r="H1636" s="575">
        <f>Criteria!F239</f>
        <v>0</v>
      </c>
      <c r="I1636" s="568"/>
      <c r="J1636" s="568">
        <f>Criteria!G239</f>
        <v>0</v>
      </c>
      <c r="K1636" s="568">
        <f>Criteria!H239</f>
        <v>0</v>
      </c>
      <c r="L1636" s="568"/>
      <c r="M1636" s="568">
        <f>Criteria!I239</f>
        <v>0</v>
      </c>
      <c r="N1636" s="568"/>
      <c r="O1636" s="576">
        <f>SUM(H1636:M1636)</f>
        <v>0</v>
      </c>
      <c r="P1636" s="621"/>
      <c r="Q1636" s="469"/>
      <c r="R1636" s="512" t="str">
        <f t="shared" si="57"/>
        <v>DELETE</v>
      </c>
    </row>
    <row r="1637" spans="2:18" ht="9" customHeight="1" x14ac:dyDescent="0.45">
      <c r="B1637" s="563"/>
      <c r="C1637" s="583"/>
      <c r="G1637" s="459"/>
      <c r="H1637" s="577"/>
      <c r="I1637" s="569"/>
      <c r="J1637" s="569"/>
      <c r="K1637" s="569"/>
      <c r="L1637" s="569"/>
      <c r="M1637" s="569"/>
      <c r="N1637" s="569"/>
      <c r="O1637" s="578"/>
      <c r="P1637" s="621"/>
      <c r="Q1637" s="469"/>
      <c r="R1637" s="512" t="str">
        <f t="shared" si="57"/>
        <v>DELETE</v>
      </c>
    </row>
    <row r="1638" spans="2:18" ht="9" customHeight="1" x14ac:dyDescent="0.45">
      <c r="B1638" s="563"/>
      <c r="C1638" s="583"/>
      <c r="Q1638" s="469"/>
      <c r="R1638" s="512" t="str">
        <f t="shared" si="57"/>
        <v>DELETE</v>
      </c>
    </row>
    <row r="1639" spans="2:18" ht="31.5" customHeight="1" x14ac:dyDescent="0.45">
      <c r="B1639" s="563"/>
      <c r="C1639" s="583"/>
      <c r="Q1639" s="469"/>
      <c r="R1639" s="512" t="str">
        <f t="shared" si="57"/>
        <v>DELETE</v>
      </c>
    </row>
    <row r="1640" spans="2:18" ht="31.5" customHeight="1" x14ac:dyDescent="0.45">
      <c r="B1640" s="563"/>
      <c r="C1640" s="583"/>
      <c r="Q1640" s="469"/>
      <c r="R1640" s="512" t="str">
        <f t="shared" si="57"/>
        <v>DELETE</v>
      </c>
    </row>
    <row r="1641" spans="2:18" ht="31.5" customHeight="1" x14ac:dyDescent="0.45">
      <c r="B1641" s="564"/>
      <c r="C1641" s="653"/>
      <c r="D1641" s="461"/>
      <c r="E1641" s="461"/>
      <c r="F1641" s="461"/>
      <c r="G1641" s="461"/>
      <c r="H1641" s="461"/>
      <c r="I1641" s="461"/>
      <c r="J1641" s="461"/>
      <c r="K1641" s="461"/>
      <c r="L1641" s="461"/>
      <c r="M1641" s="630"/>
      <c r="N1641" s="631"/>
      <c r="O1641" s="630"/>
      <c r="P1641" s="631"/>
      <c r="Q1641" s="479"/>
      <c r="R1641" s="512" t="str">
        <f t="shared" si="57"/>
        <v>DELETE</v>
      </c>
    </row>
    <row r="1642" spans="2:18" ht="31.5" customHeight="1" x14ac:dyDescent="0.45">
      <c r="B1642" s="527"/>
      <c r="C1642" s="583"/>
      <c r="R1642" s="512" t="str">
        <f t="shared" si="57"/>
        <v>DELETE</v>
      </c>
    </row>
    <row r="1643" spans="2:18" ht="31.5" customHeight="1" x14ac:dyDescent="0.45">
      <c r="B1643" s="527"/>
      <c r="C1643" s="583"/>
      <c r="R1643" s="512" t="str">
        <f>R$1653</f>
        <v>DELETE</v>
      </c>
    </row>
    <row r="1644" spans="2:18" ht="31.5" customHeight="1" x14ac:dyDescent="0.45">
      <c r="B1644" s="527"/>
      <c r="C1644" s="583"/>
      <c r="D1644" s="450" t="str">
        <f>Criteria!E9</f>
        <v>ABC COMPANY (PROPRIETARY) LIMITED</v>
      </c>
      <c r="O1644" s="529" t="s">
        <v>121</v>
      </c>
      <c r="Q1644" s="451">
        <f>MAX($Q$114:Q1643)+1</f>
        <v>38</v>
      </c>
      <c r="R1644" s="512" t="str">
        <f t="shared" ref="R1644:R1696" si="58">R$1653</f>
        <v>DELETE</v>
      </c>
    </row>
    <row r="1645" spans="2:18" ht="31.5" customHeight="1" x14ac:dyDescent="0.45">
      <c r="B1645" s="527"/>
      <c r="C1645" s="583"/>
      <c r="D1645" s="450" t="str">
        <f>Criteria!E10</f>
        <v>T/A SEAFRONT HOTEL, SEAFRONT RESTAURANT AND RENTAL PROPERTIES</v>
      </c>
      <c r="R1645" s="512" t="str">
        <f>IF(R$1653="DELETE","DELETE",IF(D1645=0,"DELETE"," "))</f>
        <v>DELETE</v>
      </c>
    </row>
    <row r="1646" spans="2:18" ht="31.5" customHeight="1" x14ac:dyDescent="0.45">
      <c r="B1646" s="527"/>
      <c r="C1646" s="583"/>
      <c r="R1646" s="512" t="str">
        <f t="shared" si="58"/>
        <v>DELETE</v>
      </c>
    </row>
    <row r="1647" spans="2:18" ht="31.5" customHeight="1" x14ac:dyDescent="0.45">
      <c r="B1647" s="527"/>
      <c r="C1647" s="583"/>
      <c r="D1647" s="450" t="s">
        <v>451</v>
      </c>
      <c r="R1647" s="512" t="str">
        <f t="shared" si="58"/>
        <v>DELETE</v>
      </c>
    </row>
    <row r="1648" spans="2:18" ht="31.5" customHeight="1" x14ac:dyDescent="0.45">
      <c r="B1648" s="527"/>
      <c r="C1648" s="583"/>
      <c r="D1648" s="450" t="str">
        <f>Criteria!E20</f>
        <v>29 FEBRUARY 2024</v>
      </c>
      <c r="J1648" s="449" t="s">
        <v>303</v>
      </c>
      <c r="R1648" s="512" t="str">
        <f t="shared" si="58"/>
        <v>DELETE</v>
      </c>
    </row>
    <row r="1649" spans="2:22" ht="31.5" customHeight="1" x14ac:dyDescent="0.45">
      <c r="B1649" s="527"/>
      <c r="C1649" s="583"/>
      <c r="R1649" s="512" t="str">
        <f t="shared" si="58"/>
        <v>DELETE</v>
      </c>
    </row>
    <row r="1650" spans="2:22" ht="31.5" customHeight="1" x14ac:dyDescent="0.45">
      <c r="B1650" s="566"/>
      <c r="C1650" s="654"/>
      <c r="D1650" s="466"/>
      <c r="E1650" s="466"/>
      <c r="F1650" s="466"/>
      <c r="G1650" s="466"/>
      <c r="H1650" s="466"/>
      <c r="I1650" s="466"/>
      <c r="J1650" s="466"/>
      <c r="K1650" s="466"/>
      <c r="L1650" s="466"/>
      <c r="M1650" s="642"/>
      <c r="N1650" s="643"/>
      <c r="O1650" s="642"/>
      <c r="P1650" s="643"/>
      <c r="Q1650" s="467"/>
      <c r="R1650" s="512" t="str">
        <f t="shared" si="58"/>
        <v>DELETE</v>
      </c>
    </row>
    <row r="1651" spans="2:22" ht="31.5" customHeight="1" x14ac:dyDescent="0.45">
      <c r="B1651" s="582"/>
      <c r="C1651" s="583"/>
      <c r="M1651" s="549">
        <f>Criteria!E22</f>
        <v>2024</v>
      </c>
      <c r="N1651" s="508"/>
      <c r="O1651" s="549">
        <f>Criteria!E27</f>
        <v>2023</v>
      </c>
      <c r="P1651" s="634"/>
      <c r="Q1651" s="469"/>
      <c r="R1651" s="512" t="str">
        <f t="shared" si="58"/>
        <v>DELETE</v>
      </c>
    </row>
    <row r="1652" spans="2:22" ht="31.5" customHeight="1" x14ac:dyDescent="0.45">
      <c r="B1652" s="582"/>
      <c r="C1652" s="583"/>
      <c r="M1652" s="633"/>
      <c r="N1652" s="634"/>
      <c r="O1652" s="633"/>
      <c r="P1652" s="634"/>
      <c r="Q1652" s="469"/>
      <c r="R1652" s="512" t="str">
        <f t="shared" si="58"/>
        <v>DELETE</v>
      </c>
    </row>
    <row r="1653" spans="2:22" ht="31.5" customHeight="1" x14ac:dyDescent="0.45">
      <c r="B1653" s="563">
        <f>MAX(B$802:B1652)+1</f>
        <v>11</v>
      </c>
      <c r="C1653" s="450" t="s">
        <v>1381</v>
      </c>
      <c r="M1653" s="633"/>
      <c r="N1653" s="634"/>
      <c r="O1653" s="633"/>
      <c r="P1653" s="634"/>
      <c r="Q1653" s="469"/>
      <c r="R1653" s="512" t="str">
        <f>IF(TrialBalance!N240+TrialBalance!N241+TrialBalance!N243+TrialBalance!L240+TrialBalance!L241+TrialBalance!L243=0,"DELETE"," ")</f>
        <v>DELETE</v>
      </c>
    </row>
    <row r="1654" spans="2:22" ht="31.5" customHeight="1" x14ac:dyDescent="0.45">
      <c r="B1654" s="582"/>
      <c r="C1654" s="583"/>
      <c r="D1654" s="449" t="s">
        <v>1523</v>
      </c>
      <c r="H1654" s="452"/>
      <c r="J1654" s="452"/>
      <c r="K1654" s="601"/>
      <c r="M1654" s="531">
        <f>M1657+M1658</f>
        <v>0</v>
      </c>
      <c r="N1654" s="470"/>
      <c r="O1654" s="531">
        <f>O1657+O1658</f>
        <v>0</v>
      </c>
      <c r="P1654" s="634"/>
      <c r="Q1654" s="469"/>
      <c r="R1654" s="512" t="str">
        <f t="shared" si="58"/>
        <v>DELETE</v>
      </c>
      <c r="V1654" s="513" t="b">
        <f>M1654=O1683</f>
        <v>1</v>
      </c>
    </row>
    <row r="1655" spans="2:22" ht="9" customHeight="1" x14ac:dyDescent="0.45">
      <c r="B1655" s="582"/>
      <c r="C1655" s="583"/>
      <c r="M1655" s="531"/>
      <c r="N1655" s="470"/>
      <c r="O1655" s="531"/>
      <c r="P1655" s="634"/>
      <c r="Q1655" s="469"/>
      <c r="R1655" s="512" t="str">
        <f t="shared" si="58"/>
        <v>DELETE</v>
      </c>
    </row>
    <row r="1656" spans="2:22" ht="9" customHeight="1" x14ac:dyDescent="0.45">
      <c r="B1656" s="582"/>
      <c r="C1656" s="583"/>
      <c r="M1656" s="532"/>
      <c r="N1656" s="471"/>
      <c r="O1656" s="552"/>
      <c r="P1656" s="634"/>
      <c r="Q1656" s="469"/>
      <c r="R1656" s="512" t="str">
        <f t="shared" si="58"/>
        <v>DELETE</v>
      </c>
    </row>
    <row r="1657" spans="2:22" ht="31.5" customHeight="1" x14ac:dyDescent="0.45">
      <c r="B1657" s="582"/>
      <c r="C1657" s="583"/>
      <c r="D1657" s="449" t="s">
        <v>457</v>
      </c>
      <c r="M1657" s="533">
        <f>TrialBalance!L240</f>
        <v>0</v>
      </c>
      <c r="N1657" s="491"/>
      <c r="O1657" s="553">
        <f>TrialBalance!N240</f>
        <v>0</v>
      </c>
      <c r="P1657" s="634"/>
      <c r="Q1657" s="469"/>
      <c r="R1657" s="512" t="str">
        <f t="shared" si="58"/>
        <v>DELETE</v>
      </c>
      <c r="S1657" s="517">
        <f>M1657</f>
        <v>0</v>
      </c>
      <c r="U1657" s="517">
        <f>O1657</f>
        <v>0</v>
      </c>
      <c r="V1657" s="513" t="b">
        <f>M1657=O1687</f>
        <v>1</v>
      </c>
    </row>
    <row r="1658" spans="2:22" ht="31.5" customHeight="1" x14ac:dyDescent="0.45">
      <c r="B1658" s="582"/>
      <c r="C1658" s="583"/>
      <c r="D1658" s="449" t="s">
        <v>1565</v>
      </c>
      <c r="M1658" s="533">
        <f>TrialBalance!L246</f>
        <v>0</v>
      </c>
      <c r="N1658" s="491"/>
      <c r="O1658" s="553">
        <f>TrialBalance!N246</f>
        <v>0</v>
      </c>
      <c r="P1658" s="634"/>
      <c r="Q1658" s="469"/>
      <c r="R1658" s="512" t="str">
        <f t="shared" si="58"/>
        <v>DELETE</v>
      </c>
      <c r="S1658" s="517">
        <f>M1658</f>
        <v>0</v>
      </c>
      <c r="U1658" s="517">
        <f>O1658</f>
        <v>0</v>
      </c>
      <c r="V1658" s="513" t="b">
        <f>M1658=O1688</f>
        <v>1</v>
      </c>
    </row>
    <row r="1659" spans="2:22" ht="9" customHeight="1" x14ac:dyDescent="0.45">
      <c r="B1659" s="582"/>
      <c r="C1659" s="583"/>
      <c r="M1659" s="534"/>
      <c r="N1659" s="473"/>
      <c r="O1659" s="554"/>
      <c r="P1659" s="634"/>
      <c r="Q1659" s="469"/>
      <c r="R1659" s="512" t="str">
        <f t="shared" si="58"/>
        <v>DELETE</v>
      </c>
    </row>
    <row r="1660" spans="2:22" ht="9" customHeight="1" x14ac:dyDescent="0.45">
      <c r="B1660" s="582"/>
      <c r="C1660" s="583"/>
      <c r="M1660" s="531"/>
      <c r="N1660" s="470"/>
      <c r="O1660" s="531"/>
      <c r="P1660" s="634"/>
      <c r="Q1660" s="469"/>
      <c r="R1660" s="512" t="str">
        <f t="shared" si="58"/>
        <v>DELETE</v>
      </c>
    </row>
    <row r="1661" spans="2:22" ht="31.5" customHeight="1" x14ac:dyDescent="0.45">
      <c r="B1661" s="582"/>
      <c r="C1661" s="583"/>
      <c r="D1661" s="449" t="s">
        <v>458</v>
      </c>
      <c r="M1661" s="531">
        <f>TrialBalance!L241</f>
        <v>0</v>
      </c>
      <c r="N1661" s="470"/>
      <c r="O1661" s="531">
        <f>TrialBalance!N241</f>
        <v>0</v>
      </c>
      <c r="P1661" s="634"/>
      <c r="Q1661" s="469"/>
      <c r="R1661" s="512" t="str">
        <f t="shared" si="58"/>
        <v>DELETE</v>
      </c>
      <c r="S1661" s="517">
        <f>M1661</f>
        <v>0</v>
      </c>
      <c r="U1661" s="517">
        <f>O1661</f>
        <v>0</v>
      </c>
    </row>
    <row r="1662" spans="2:22" ht="9" customHeight="1" x14ac:dyDescent="0.45">
      <c r="B1662" s="582"/>
      <c r="C1662" s="583"/>
      <c r="M1662" s="535"/>
      <c r="N1662" s="473"/>
      <c r="O1662" s="535"/>
      <c r="P1662" s="634"/>
      <c r="Q1662" s="469"/>
      <c r="R1662" s="512" t="str">
        <f t="shared" si="58"/>
        <v>DELETE</v>
      </c>
    </row>
    <row r="1663" spans="2:22" ht="9" customHeight="1" x14ac:dyDescent="0.45">
      <c r="B1663" s="582"/>
      <c r="C1663" s="583"/>
      <c r="M1663" s="531"/>
      <c r="N1663" s="470"/>
      <c r="O1663" s="531"/>
      <c r="P1663" s="634"/>
      <c r="Q1663" s="469"/>
      <c r="R1663" s="512" t="str">
        <f t="shared" si="58"/>
        <v>DELETE</v>
      </c>
    </row>
    <row r="1664" spans="2:22" ht="31.5" customHeight="1" x14ac:dyDescent="0.45">
      <c r="B1664" s="582"/>
      <c r="C1664" s="583"/>
      <c r="M1664" s="531">
        <f>M1654+M1661</f>
        <v>0</v>
      </c>
      <c r="N1664" s="470"/>
      <c r="O1664" s="531">
        <f>O1654+O1661</f>
        <v>0</v>
      </c>
      <c r="P1664" s="634"/>
      <c r="Q1664" s="469"/>
      <c r="R1664" s="512" t="str">
        <f t="shared" si="58"/>
        <v>DELETE</v>
      </c>
    </row>
    <row r="1665" spans="2:21" ht="31.5" customHeight="1" x14ac:dyDescent="0.45">
      <c r="B1665" s="582"/>
      <c r="C1665" s="583"/>
      <c r="D1665" s="449" t="s">
        <v>1566</v>
      </c>
      <c r="M1665" s="531">
        <f>TrialBalance!L243</f>
        <v>0</v>
      </c>
      <c r="N1665" s="470"/>
      <c r="O1665" s="531">
        <f>TrialBalance!N243</f>
        <v>0</v>
      </c>
      <c r="P1665" s="634"/>
      <c r="Q1665" s="469"/>
      <c r="R1665" s="512" t="str">
        <f>IF(M1665+O1665=0,"DELETE"," ")</f>
        <v>DELETE</v>
      </c>
      <c r="S1665" s="517">
        <f>M1665</f>
        <v>0</v>
      </c>
      <c r="U1665" s="517">
        <f>O1665</f>
        <v>0</v>
      </c>
    </row>
    <row r="1666" spans="2:21" ht="31.5" customHeight="1" x14ac:dyDescent="0.45">
      <c r="B1666" s="582"/>
      <c r="C1666" s="583"/>
      <c r="D1666" s="449" t="s">
        <v>1567</v>
      </c>
      <c r="M1666" s="531">
        <f>TrialBalance!L247</f>
        <v>0</v>
      </c>
      <c r="N1666" s="470"/>
      <c r="O1666" s="531">
        <f>TrialBalance!N247</f>
        <v>0</v>
      </c>
      <c r="P1666" s="634"/>
      <c r="Q1666" s="469"/>
      <c r="R1666" s="512" t="str">
        <f>IF(M1666+O1666=0,"DELETE"," ")</f>
        <v>DELETE</v>
      </c>
      <c r="S1666" s="517">
        <f>M1666</f>
        <v>0</v>
      </c>
      <c r="U1666" s="517">
        <f>O1666</f>
        <v>0</v>
      </c>
    </row>
    <row r="1667" spans="2:21" ht="31.5" customHeight="1" x14ac:dyDescent="0.45">
      <c r="B1667" s="582"/>
      <c r="C1667" s="583"/>
      <c r="D1667" s="449" t="s">
        <v>196</v>
      </c>
      <c r="M1667" s="531">
        <f>-SUM(S1669:S1672)</f>
        <v>0</v>
      </c>
      <c r="N1667" s="470"/>
      <c r="O1667" s="531">
        <f>-SUM(U1669:U1672)</f>
        <v>0</v>
      </c>
      <c r="P1667" s="634"/>
      <c r="Q1667" s="469"/>
      <c r="R1667" s="512" t="str">
        <f>IF(M1667+O1667=0,"DELETE"," ")</f>
        <v>DELETE</v>
      </c>
    </row>
    <row r="1668" spans="2:21" ht="9" customHeight="1" x14ac:dyDescent="0.45">
      <c r="B1668" s="582"/>
      <c r="C1668" s="583"/>
      <c r="M1668" s="531"/>
      <c r="N1668" s="470"/>
      <c r="O1668" s="531"/>
      <c r="P1668" s="634"/>
      <c r="Q1668" s="469"/>
      <c r="R1668" s="512" t="str">
        <f>R$1667</f>
        <v>DELETE</v>
      </c>
    </row>
    <row r="1669" spans="2:21" ht="9" customHeight="1" x14ac:dyDescent="0.45">
      <c r="B1669" s="582"/>
      <c r="C1669" s="583"/>
      <c r="M1669" s="532"/>
      <c r="N1669" s="471"/>
      <c r="O1669" s="552"/>
      <c r="P1669" s="634"/>
      <c r="Q1669" s="469"/>
      <c r="R1669" s="512" t="str">
        <f>R$1667</f>
        <v>DELETE</v>
      </c>
    </row>
    <row r="1670" spans="2:21" ht="31.5" customHeight="1" x14ac:dyDescent="0.45">
      <c r="B1670" s="582"/>
      <c r="C1670" s="583"/>
      <c r="D1670" s="449" t="s">
        <v>457</v>
      </c>
      <c r="M1670" s="533">
        <f>-TrialBalance!L242</f>
        <v>0</v>
      </c>
      <c r="N1670" s="491"/>
      <c r="O1670" s="553">
        <f>-TrialBalance!N242</f>
        <v>0</v>
      </c>
      <c r="P1670" s="634"/>
      <c r="Q1670" s="469"/>
      <c r="R1670" s="512" t="str">
        <f t="shared" ref="R1670:R1671" si="59">IF(M1670+O1670=0,"DELETE"," ")</f>
        <v>DELETE</v>
      </c>
      <c r="S1670" s="517">
        <f>-M1670</f>
        <v>0</v>
      </c>
      <c r="U1670" s="517">
        <f>-O1670</f>
        <v>0</v>
      </c>
    </row>
    <row r="1671" spans="2:21" ht="31.5" customHeight="1" x14ac:dyDescent="0.45">
      <c r="B1671" s="582"/>
      <c r="C1671" s="583"/>
      <c r="D1671" s="449" t="s">
        <v>1565</v>
      </c>
      <c r="M1671" s="533">
        <f>-TrialBalance!L248</f>
        <v>0</v>
      </c>
      <c r="N1671" s="491"/>
      <c r="O1671" s="553">
        <f>-TrialBalance!N248</f>
        <v>0</v>
      </c>
      <c r="P1671" s="634"/>
      <c r="Q1671" s="469"/>
      <c r="R1671" s="512" t="str">
        <f t="shared" si="59"/>
        <v>DELETE</v>
      </c>
      <c r="S1671" s="517">
        <f>-M1671</f>
        <v>0</v>
      </c>
      <c r="U1671" s="517">
        <f>-O1671</f>
        <v>0</v>
      </c>
    </row>
    <row r="1672" spans="2:21" ht="9" customHeight="1" x14ac:dyDescent="0.45">
      <c r="B1672" s="582"/>
      <c r="C1672" s="583"/>
      <c r="M1672" s="534"/>
      <c r="N1672" s="473"/>
      <c r="O1672" s="554"/>
      <c r="P1672" s="634"/>
      <c r="Q1672" s="469"/>
      <c r="R1672" s="512" t="str">
        <f t="shared" ref="R1672:R1673" si="60">R$1667</f>
        <v>DELETE</v>
      </c>
    </row>
    <row r="1673" spans="2:21" ht="9" customHeight="1" x14ac:dyDescent="0.45">
      <c r="B1673" s="582"/>
      <c r="C1673" s="583"/>
      <c r="M1673" s="548"/>
      <c r="N1673" s="491"/>
      <c r="O1673" s="548"/>
      <c r="P1673" s="634"/>
      <c r="Q1673" s="469"/>
      <c r="R1673" s="512" t="str">
        <f t="shared" si="60"/>
        <v>DELETE</v>
      </c>
    </row>
    <row r="1674" spans="2:21" ht="31.5" customHeight="1" x14ac:dyDescent="0.45">
      <c r="B1674" s="582"/>
      <c r="C1674" s="583"/>
      <c r="D1674" s="449" t="s">
        <v>1568</v>
      </c>
      <c r="M1674" s="531">
        <f>-SUM(S1676:S1679)</f>
        <v>0</v>
      </c>
      <c r="N1674" s="470"/>
      <c r="O1674" s="531">
        <f>-SUM(U1676:U1679)</f>
        <v>0</v>
      </c>
      <c r="P1674" s="634"/>
      <c r="Q1674" s="469"/>
      <c r="R1674" s="512" t="str">
        <f t="shared" ref="R1674" si="61">IF(M1674+O1674=0,"DELETE"," ")</f>
        <v>DELETE</v>
      </c>
    </row>
    <row r="1675" spans="2:21" ht="9" customHeight="1" x14ac:dyDescent="0.45">
      <c r="B1675" s="582"/>
      <c r="C1675" s="583"/>
      <c r="M1675" s="531"/>
      <c r="N1675" s="470"/>
      <c r="O1675" s="531"/>
      <c r="P1675" s="634"/>
      <c r="Q1675" s="469"/>
      <c r="R1675" s="512" t="str">
        <f>R$1674</f>
        <v>DELETE</v>
      </c>
    </row>
    <row r="1676" spans="2:21" ht="9" customHeight="1" x14ac:dyDescent="0.45">
      <c r="B1676" s="582"/>
      <c r="C1676" s="583"/>
      <c r="M1676" s="532"/>
      <c r="N1676" s="471"/>
      <c r="O1676" s="552"/>
      <c r="P1676" s="634"/>
      <c r="Q1676" s="469"/>
      <c r="R1676" s="512" t="str">
        <f>R$1674</f>
        <v>DELETE</v>
      </c>
    </row>
    <row r="1677" spans="2:21" ht="31.5" customHeight="1" x14ac:dyDescent="0.45">
      <c r="B1677" s="582"/>
      <c r="C1677" s="583"/>
      <c r="D1677" s="449" t="s">
        <v>457</v>
      </c>
      <c r="M1677" s="533">
        <f>-TrialBalance!L244</f>
        <v>0</v>
      </c>
      <c r="N1677" s="491"/>
      <c r="O1677" s="553">
        <f>-TrialBalance!N244</f>
        <v>0</v>
      </c>
      <c r="P1677" s="634"/>
      <c r="Q1677" s="469"/>
      <c r="R1677" s="512" t="str">
        <f t="shared" ref="R1677:R1678" si="62">IF(M1677+O1677=0,"DELETE"," ")</f>
        <v>DELETE</v>
      </c>
      <c r="S1677" s="517">
        <f>-M1677</f>
        <v>0</v>
      </c>
      <c r="U1677" s="517">
        <f>-O1677</f>
        <v>0</v>
      </c>
    </row>
    <row r="1678" spans="2:21" ht="31.5" customHeight="1" x14ac:dyDescent="0.45">
      <c r="B1678" s="582"/>
      <c r="C1678" s="583"/>
      <c r="D1678" s="449" t="s">
        <v>1565</v>
      </c>
      <c r="M1678" s="533">
        <f>-TrialBalance!L249</f>
        <v>0</v>
      </c>
      <c r="N1678" s="491"/>
      <c r="O1678" s="553">
        <f>-TrialBalance!N249</f>
        <v>0</v>
      </c>
      <c r="P1678" s="634"/>
      <c r="Q1678" s="469"/>
      <c r="R1678" s="512" t="str">
        <f t="shared" si="62"/>
        <v>DELETE</v>
      </c>
      <c r="S1678" s="517">
        <f>-M1678</f>
        <v>0</v>
      </c>
      <c r="U1678" s="517">
        <f>-O1678</f>
        <v>0</v>
      </c>
    </row>
    <row r="1679" spans="2:21" ht="9" customHeight="1" x14ac:dyDescent="0.45">
      <c r="B1679" s="582"/>
      <c r="C1679" s="583"/>
      <c r="M1679" s="534"/>
      <c r="N1679" s="473"/>
      <c r="O1679" s="554"/>
      <c r="P1679" s="634"/>
      <c r="Q1679" s="469"/>
      <c r="R1679" s="512" t="str">
        <f t="shared" ref="R1679:R1680" si="63">R$1674</f>
        <v>DELETE</v>
      </c>
    </row>
    <row r="1680" spans="2:21" ht="9" customHeight="1" x14ac:dyDescent="0.45">
      <c r="B1680" s="582"/>
      <c r="C1680" s="583"/>
      <c r="M1680" s="548"/>
      <c r="N1680" s="491"/>
      <c r="O1680" s="548"/>
      <c r="P1680" s="634"/>
      <c r="Q1680" s="469"/>
      <c r="R1680" s="512" t="str">
        <f t="shared" si="63"/>
        <v>DELETE</v>
      </c>
    </row>
    <row r="1681" spans="2:24" ht="9" customHeight="1" x14ac:dyDescent="0.45">
      <c r="B1681" s="582"/>
      <c r="C1681" s="583"/>
      <c r="M1681" s="535"/>
      <c r="N1681" s="473"/>
      <c r="O1681" s="535"/>
      <c r="P1681" s="634"/>
      <c r="Q1681" s="469"/>
      <c r="R1681" s="512" t="str">
        <f t="shared" si="58"/>
        <v>DELETE</v>
      </c>
    </row>
    <row r="1682" spans="2:24" ht="9" customHeight="1" x14ac:dyDescent="0.45">
      <c r="B1682" s="582"/>
      <c r="C1682" s="583"/>
      <c r="M1682" s="548"/>
      <c r="N1682" s="491"/>
      <c r="O1682" s="548"/>
      <c r="P1682" s="634"/>
      <c r="Q1682" s="469"/>
      <c r="R1682" s="512" t="str">
        <f t="shared" si="58"/>
        <v>DELETE</v>
      </c>
    </row>
    <row r="1683" spans="2:24" ht="31.5" customHeight="1" x14ac:dyDescent="0.45">
      <c r="B1683" s="582"/>
      <c r="C1683" s="583"/>
      <c r="D1683" s="449" t="s">
        <v>1528</v>
      </c>
      <c r="K1683" s="464"/>
      <c r="M1683" s="531">
        <f>SUM(S1656:S1679)</f>
        <v>0</v>
      </c>
      <c r="N1683" s="470"/>
      <c r="O1683" s="531">
        <f>SUM(U1656:U1679)</f>
        <v>0</v>
      </c>
      <c r="P1683" s="634"/>
      <c r="Q1683" s="469"/>
      <c r="R1683" s="512" t="str">
        <f t="shared" si="58"/>
        <v>DELETE</v>
      </c>
      <c r="V1683" s="513" t="b">
        <f>M1683=M1687+M1688</f>
        <v>1</v>
      </c>
      <c r="X1683" s="513" t="b">
        <f>O1683=O1687+O1688</f>
        <v>1</v>
      </c>
    </row>
    <row r="1684" spans="2:24" ht="9" customHeight="1" thickBot="1" x14ac:dyDescent="0.5">
      <c r="B1684" s="582"/>
      <c r="C1684" s="583"/>
      <c r="M1684" s="536"/>
      <c r="N1684" s="474"/>
      <c r="O1684" s="536"/>
      <c r="P1684" s="634"/>
      <c r="Q1684" s="469"/>
      <c r="R1684" s="512" t="str">
        <f t="shared" si="58"/>
        <v>DELETE</v>
      </c>
    </row>
    <row r="1685" spans="2:24" ht="9" customHeight="1" thickTop="1" x14ac:dyDescent="0.45">
      <c r="B1685" s="582"/>
      <c r="C1685" s="583"/>
      <c r="M1685" s="531"/>
      <c r="N1685" s="470"/>
      <c r="O1685" s="531"/>
      <c r="P1685" s="634"/>
      <c r="Q1685" s="469"/>
      <c r="R1685" s="512" t="str">
        <f t="shared" si="58"/>
        <v>DELETE</v>
      </c>
    </row>
    <row r="1686" spans="2:24" ht="9" customHeight="1" x14ac:dyDescent="0.45">
      <c r="B1686" s="582"/>
      <c r="C1686" s="583"/>
      <c r="M1686" s="532"/>
      <c r="N1686" s="471"/>
      <c r="O1686" s="552"/>
      <c r="P1686" s="634"/>
      <c r="Q1686" s="469"/>
      <c r="R1686" s="512" t="str">
        <f t="shared" si="58"/>
        <v>DELETE</v>
      </c>
    </row>
    <row r="1687" spans="2:24" ht="31.5" customHeight="1" x14ac:dyDescent="0.45">
      <c r="B1687" s="582"/>
      <c r="C1687" s="583"/>
      <c r="D1687" s="449" t="s">
        <v>457</v>
      </c>
      <c r="M1687" s="533">
        <f>SUM(TrialBalance!L240:L244)</f>
        <v>0</v>
      </c>
      <c r="N1687" s="491"/>
      <c r="O1687" s="553">
        <f>SUM(TrialBalance!N240:N244)</f>
        <v>0</v>
      </c>
      <c r="P1687" s="634"/>
      <c r="Q1687" s="469"/>
      <c r="R1687" s="512" t="str">
        <f t="shared" si="58"/>
        <v>DELETE</v>
      </c>
    </row>
    <row r="1688" spans="2:24" ht="31.5" customHeight="1" x14ac:dyDescent="0.45">
      <c r="B1688" s="582"/>
      <c r="C1688" s="583"/>
      <c r="D1688" s="449" t="s">
        <v>1565</v>
      </c>
      <c r="M1688" s="533">
        <f>SUM(TrialBalance!L246:L249)</f>
        <v>0</v>
      </c>
      <c r="N1688" s="491"/>
      <c r="O1688" s="553">
        <f>SUM(TrialBalance!N246:N249)</f>
        <v>0</v>
      </c>
      <c r="P1688" s="634"/>
      <c r="Q1688" s="469"/>
      <c r="R1688" s="512" t="str">
        <f t="shared" si="58"/>
        <v>DELETE</v>
      </c>
    </row>
    <row r="1689" spans="2:24" ht="9" customHeight="1" x14ac:dyDescent="0.45">
      <c r="B1689" s="582"/>
      <c r="C1689" s="583"/>
      <c r="M1689" s="534"/>
      <c r="N1689" s="473"/>
      <c r="O1689" s="554"/>
      <c r="P1689" s="634"/>
      <c r="Q1689" s="469"/>
      <c r="R1689" s="512" t="str">
        <f t="shared" si="58"/>
        <v>DELETE</v>
      </c>
    </row>
    <row r="1690" spans="2:24" ht="9" customHeight="1" x14ac:dyDescent="0.45">
      <c r="B1690" s="582"/>
      <c r="C1690" s="583"/>
      <c r="M1690" s="531"/>
      <c r="N1690" s="470"/>
      <c r="O1690" s="531"/>
      <c r="P1690" s="634"/>
      <c r="Q1690" s="469"/>
      <c r="R1690" s="512" t="str">
        <f t="shared" si="58"/>
        <v>DELETE</v>
      </c>
    </row>
    <row r="1691" spans="2:24" ht="31.5" customHeight="1" x14ac:dyDescent="0.45">
      <c r="B1691" s="582"/>
      <c r="C1691" s="583"/>
      <c r="M1691" s="633"/>
      <c r="N1691" s="634"/>
      <c r="O1691" s="633"/>
      <c r="P1691" s="634"/>
      <c r="Q1691" s="469"/>
      <c r="R1691" s="512" t="str">
        <f t="shared" si="58"/>
        <v>DELETE</v>
      </c>
    </row>
    <row r="1692" spans="2:24" ht="31.5" customHeight="1" x14ac:dyDescent="0.45">
      <c r="B1692" s="582"/>
      <c r="C1692" s="583"/>
      <c r="D1692" s="449" t="str">
        <f>IF(SUM(TrialBalance!L240:L244)=0," ",IF(Criteria!F133="Yes",CONCATENATE("Investment property is pledged as security - See note ",FS!B2182)," "))</f>
        <v xml:space="preserve"> </v>
      </c>
      <c r="M1692" s="633"/>
      <c r="N1692" s="634"/>
      <c r="O1692" s="633"/>
      <c r="P1692" s="634"/>
      <c r="Q1692" s="469"/>
      <c r="R1692" s="512" t="str">
        <f>IF(R$1653="DELETE","DELETE",IF(D1692=" ","DELETE"," "))</f>
        <v>DELETE</v>
      </c>
    </row>
    <row r="1693" spans="2:24" ht="31.5" customHeight="1" x14ac:dyDescent="0.45">
      <c r="B1693" s="582"/>
      <c r="C1693" s="583"/>
      <c r="M1693" s="633"/>
      <c r="N1693" s="634"/>
      <c r="O1693" s="633"/>
      <c r="P1693" s="634"/>
      <c r="Q1693" s="469"/>
      <c r="R1693" s="512" t="str">
        <f t="shared" si="58"/>
        <v>DELETE</v>
      </c>
    </row>
    <row r="1694" spans="2:24" ht="31.5" customHeight="1" x14ac:dyDescent="0.45">
      <c r="B1694" s="582"/>
      <c r="C1694" s="583"/>
      <c r="M1694" s="633"/>
      <c r="N1694" s="634"/>
      <c r="O1694" s="633"/>
      <c r="P1694" s="634"/>
      <c r="Q1694" s="469"/>
      <c r="R1694" s="512" t="str">
        <f t="shared" si="58"/>
        <v>DELETE</v>
      </c>
    </row>
    <row r="1695" spans="2:24" ht="31.5" customHeight="1" x14ac:dyDescent="0.45">
      <c r="B1695" s="567"/>
      <c r="C1695" s="653"/>
      <c r="D1695" s="461"/>
      <c r="E1695" s="461"/>
      <c r="F1695" s="461"/>
      <c r="G1695" s="461"/>
      <c r="H1695" s="461"/>
      <c r="I1695" s="461"/>
      <c r="J1695" s="461"/>
      <c r="K1695" s="461"/>
      <c r="L1695" s="461"/>
      <c r="M1695" s="630"/>
      <c r="N1695" s="631"/>
      <c r="O1695" s="630"/>
      <c r="P1695" s="631"/>
      <c r="Q1695" s="479"/>
      <c r="R1695" s="512" t="str">
        <f t="shared" si="58"/>
        <v>DELETE</v>
      </c>
    </row>
    <row r="1696" spans="2:24" ht="31.5" customHeight="1" x14ac:dyDescent="0.45">
      <c r="B1696" s="527"/>
      <c r="C1696" s="583"/>
      <c r="R1696" s="512" t="str">
        <f t="shared" si="58"/>
        <v>DELETE</v>
      </c>
    </row>
    <row r="1697" spans="2:18" ht="31.5" customHeight="1" x14ac:dyDescent="0.45">
      <c r="B1697" s="527"/>
      <c r="C1697" s="583"/>
      <c r="R1697" s="512" t="str">
        <f t="shared" ref="R1697:R1708" si="64">R$1749</f>
        <v>DELETE</v>
      </c>
    </row>
    <row r="1698" spans="2:18" ht="31.5" customHeight="1" x14ac:dyDescent="0.45">
      <c r="B1698" s="527"/>
      <c r="C1698" s="583"/>
      <c r="D1698" s="450" t="str">
        <f>Criteria!E9</f>
        <v>ABC COMPANY (PROPRIETARY) LIMITED</v>
      </c>
      <c r="O1698" s="529" t="s">
        <v>121</v>
      </c>
      <c r="Q1698" s="451">
        <f>MAX($Q$114:Q1697)+1</f>
        <v>39</v>
      </c>
      <c r="R1698" s="512" t="str">
        <f t="shared" si="64"/>
        <v>DELETE</v>
      </c>
    </row>
    <row r="1699" spans="2:18" ht="31.5" customHeight="1" x14ac:dyDescent="0.45">
      <c r="B1699" s="527"/>
      <c r="C1699" s="583"/>
      <c r="D1699" s="450" t="str">
        <f>Criteria!E10</f>
        <v>T/A SEAFRONT HOTEL, SEAFRONT RESTAURANT AND RENTAL PROPERTIES</v>
      </c>
      <c r="R1699" s="512" t="str">
        <f>IF(R$1749="DELETE","DELETE",IF(D1699=0,"DELETE"," "))</f>
        <v>DELETE</v>
      </c>
    </row>
    <row r="1700" spans="2:18" ht="31.5" customHeight="1" x14ac:dyDescent="0.45">
      <c r="B1700" s="527"/>
      <c r="C1700" s="583"/>
      <c r="R1700" s="512" t="str">
        <f t="shared" si="64"/>
        <v>DELETE</v>
      </c>
    </row>
    <row r="1701" spans="2:18" ht="31.5" customHeight="1" x14ac:dyDescent="0.45">
      <c r="B1701" s="527"/>
      <c r="C1701" s="583"/>
      <c r="D1701" s="450" t="s">
        <v>451</v>
      </c>
      <c r="R1701" s="512" t="str">
        <f t="shared" si="64"/>
        <v>DELETE</v>
      </c>
    </row>
    <row r="1702" spans="2:18" ht="31.5" customHeight="1" x14ac:dyDescent="0.45">
      <c r="B1702" s="527"/>
      <c r="C1702" s="583"/>
      <c r="D1702" s="450" t="str">
        <f>Criteria!E20</f>
        <v>29 FEBRUARY 2024</v>
      </c>
      <c r="J1702" s="449" t="s">
        <v>303</v>
      </c>
      <c r="R1702" s="512" t="str">
        <f t="shared" si="64"/>
        <v>DELETE</v>
      </c>
    </row>
    <row r="1703" spans="2:18" ht="31.5" customHeight="1" x14ac:dyDescent="0.45">
      <c r="B1703" s="527"/>
      <c r="C1703" s="583"/>
      <c r="R1703" s="512" t="str">
        <f t="shared" si="64"/>
        <v>DELETE</v>
      </c>
    </row>
    <row r="1704" spans="2:18" ht="31.5" customHeight="1" x14ac:dyDescent="0.45">
      <c r="B1704" s="566"/>
      <c r="C1704" s="654"/>
      <c r="D1704" s="466"/>
      <c r="E1704" s="466"/>
      <c r="F1704" s="466"/>
      <c r="G1704" s="466"/>
      <c r="H1704" s="466"/>
      <c r="I1704" s="466"/>
      <c r="J1704" s="466"/>
      <c r="K1704" s="466"/>
      <c r="L1704" s="466"/>
      <c r="M1704" s="642"/>
      <c r="N1704" s="643"/>
      <c r="O1704" s="642"/>
      <c r="P1704" s="643"/>
      <c r="Q1704" s="467"/>
      <c r="R1704" s="512" t="str">
        <f t="shared" si="64"/>
        <v>DELETE</v>
      </c>
    </row>
    <row r="1705" spans="2:18" ht="31.5" customHeight="1" x14ac:dyDescent="0.45">
      <c r="B1705" s="582"/>
      <c r="C1705" s="583"/>
      <c r="M1705" s="549">
        <f>Criteria!E22</f>
        <v>2024</v>
      </c>
      <c r="N1705" s="508"/>
      <c r="O1705" s="549">
        <f>Criteria!E27</f>
        <v>2023</v>
      </c>
      <c r="P1705" s="634"/>
      <c r="Q1705" s="469"/>
      <c r="R1705" s="512" t="str">
        <f t="shared" si="64"/>
        <v>DELETE</v>
      </c>
    </row>
    <row r="1706" spans="2:18" ht="31.5" customHeight="1" x14ac:dyDescent="0.45">
      <c r="B1706" s="582"/>
      <c r="C1706" s="583"/>
      <c r="M1706" s="633"/>
      <c r="N1706" s="634"/>
      <c r="O1706" s="633"/>
      <c r="P1706" s="634"/>
      <c r="Q1706" s="469"/>
      <c r="R1706" s="512" t="str">
        <f t="shared" si="64"/>
        <v>DELETE</v>
      </c>
    </row>
    <row r="1707" spans="2:18" ht="31.5" customHeight="1" x14ac:dyDescent="0.45">
      <c r="B1707" s="582"/>
      <c r="C1707" s="449" t="s">
        <v>1698</v>
      </c>
      <c r="M1707" s="633"/>
      <c r="N1707" s="634"/>
      <c r="O1707" s="633"/>
      <c r="P1707" s="634"/>
      <c r="Q1707" s="469"/>
      <c r="R1707" s="512" t="str">
        <f t="shared" si="64"/>
        <v>DELETE</v>
      </c>
    </row>
    <row r="1708" spans="2:18" ht="31.5" customHeight="1" x14ac:dyDescent="0.45">
      <c r="B1708" s="582"/>
      <c r="C1708" s="583"/>
      <c r="M1708" s="633"/>
      <c r="N1708" s="634"/>
      <c r="O1708" s="633"/>
      <c r="P1708" s="634"/>
      <c r="Q1708" s="469"/>
      <c r="R1708" s="512" t="str">
        <f t="shared" si="64"/>
        <v>DELETE</v>
      </c>
    </row>
    <row r="1709" spans="2:18" ht="31.5" customHeight="1" x14ac:dyDescent="0.45">
      <c r="B1709" s="582"/>
      <c r="C1709" s="583"/>
      <c r="D1709" s="449">
        <f>Criteria!C180</f>
        <v>0</v>
      </c>
      <c r="M1709" s="639">
        <f>Criteria!F180</f>
        <v>0</v>
      </c>
      <c r="N1709" s="647"/>
      <c r="O1709" s="639">
        <f>Criteria!G180</f>
        <v>0</v>
      </c>
      <c r="P1709" s="634"/>
      <c r="Q1709" s="469"/>
      <c r="R1709" s="512" t="str">
        <f>IF(M1709=0,IF(O1709=0,"DELETE"," ")," ")</f>
        <v>DELETE</v>
      </c>
    </row>
    <row r="1710" spans="2:18" ht="31.5" customHeight="1" x14ac:dyDescent="0.45">
      <c r="B1710" s="582"/>
      <c r="C1710" s="583"/>
      <c r="D1710" s="449">
        <f>Criteria!C181</f>
        <v>0</v>
      </c>
      <c r="M1710" s="639">
        <f>Criteria!F181</f>
        <v>0</v>
      </c>
      <c r="N1710" s="647"/>
      <c r="O1710" s="639">
        <f>Criteria!G181</f>
        <v>0</v>
      </c>
      <c r="P1710" s="634"/>
      <c r="Q1710" s="469"/>
      <c r="R1710" s="512" t="str">
        <f t="shared" ref="R1710:R1746" si="65">IF(M1710=0,IF(O1710=0,"DELETE"," ")," ")</f>
        <v>DELETE</v>
      </c>
    </row>
    <row r="1711" spans="2:18" ht="31.5" customHeight="1" x14ac:dyDescent="0.45">
      <c r="B1711" s="582"/>
      <c r="C1711" s="583"/>
      <c r="D1711" s="449">
        <f>Criteria!C182</f>
        <v>0</v>
      </c>
      <c r="M1711" s="639">
        <f>Criteria!F182</f>
        <v>0</v>
      </c>
      <c r="N1711" s="647"/>
      <c r="O1711" s="639">
        <f>Criteria!G182</f>
        <v>0</v>
      </c>
      <c r="P1711" s="634"/>
      <c r="Q1711" s="469"/>
      <c r="R1711" s="512" t="str">
        <f t="shared" si="65"/>
        <v>DELETE</v>
      </c>
    </row>
    <row r="1712" spans="2:18" ht="31.5" customHeight="1" x14ac:dyDescent="0.45">
      <c r="B1712" s="582"/>
      <c r="C1712" s="583"/>
      <c r="D1712" s="449">
        <f>Criteria!C183</f>
        <v>0</v>
      </c>
      <c r="M1712" s="639">
        <f>Criteria!F183</f>
        <v>0</v>
      </c>
      <c r="N1712" s="647"/>
      <c r="O1712" s="639">
        <f>Criteria!G183</f>
        <v>0</v>
      </c>
      <c r="P1712" s="634"/>
      <c r="Q1712" s="469"/>
      <c r="R1712" s="512" t="str">
        <f t="shared" si="65"/>
        <v>DELETE</v>
      </c>
    </row>
    <row r="1713" spans="2:18" ht="31.5" customHeight="1" x14ac:dyDescent="0.45">
      <c r="B1713" s="582"/>
      <c r="C1713" s="583"/>
      <c r="D1713" s="449">
        <f>Criteria!C184</f>
        <v>0</v>
      </c>
      <c r="M1713" s="639">
        <f>Criteria!F184</f>
        <v>0</v>
      </c>
      <c r="N1713" s="647"/>
      <c r="O1713" s="639">
        <f>Criteria!G184</f>
        <v>0</v>
      </c>
      <c r="P1713" s="634"/>
      <c r="Q1713" s="469"/>
      <c r="R1713" s="512" t="str">
        <f t="shared" si="65"/>
        <v>DELETE</v>
      </c>
    </row>
    <row r="1714" spans="2:18" ht="31.5" customHeight="1" x14ac:dyDescent="0.45">
      <c r="B1714" s="582"/>
      <c r="C1714" s="583"/>
      <c r="D1714" s="449">
        <f>Criteria!C185</f>
        <v>0</v>
      </c>
      <c r="M1714" s="639">
        <f>Criteria!F185</f>
        <v>0</v>
      </c>
      <c r="N1714" s="647"/>
      <c r="O1714" s="639">
        <f>Criteria!G185</f>
        <v>0</v>
      </c>
      <c r="P1714" s="634"/>
      <c r="Q1714" s="469"/>
      <c r="R1714" s="512" t="str">
        <f t="shared" si="65"/>
        <v>DELETE</v>
      </c>
    </row>
    <row r="1715" spans="2:18" ht="31.5" customHeight="1" x14ac:dyDescent="0.45">
      <c r="B1715" s="582"/>
      <c r="C1715" s="583"/>
      <c r="D1715" s="449">
        <f>Criteria!C186</f>
        <v>0</v>
      </c>
      <c r="M1715" s="639">
        <f>Criteria!F186</f>
        <v>0</v>
      </c>
      <c r="N1715" s="647"/>
      <c r="O1715" s="639">
        <f>Criteria!G186</f>
        <v>0</v>
      </c>
      <c r="P1715" s="634"/>
      <c r="Q1715" s="469"/>
      <c r="R1715" s="512" t="str">
        <f t="shared" si="65"/>
        <v>DELETE</v>
      </c>
    </row>
    <row r="1716" spans="2:18" ht="31.5" customHeight="1" x14ac:dyDescent="0.45">
      <c r="B1716" s="582"/>
      <c r="C1716" s="583"/>
      <c r="D1716" s="449">
        <f>Criteria!C187</f>
        <v>0</v>
      </c>
      <c r="M1716" s="639">
        <f>Criteria!F187</f>
        <v>0</v>
      </c>
      <c r="N1716" s="647"/>
      <c r="O1716" s="639">
        <f>Criteria!G187</f>
        <v>0</v>
      </c>
      <c r="P1716" s="634"/>
      <c r="Q1716" s="469"/>
      <c r="R1716" s="512" t="str">
        <f t="shared" si="65"/>
        <v>DELETE</v>
      </c>
    </row>
    <row r="1717" spans="2:18" ht="31.5" customHeight="1" x14ac:dyDescent="0.45">
      <c r="B1717" s="582"/>
      <c r="C1717" s="583"/>
      <c r="D1717" s="449">
        <f>Criteria!C188</f>
        <v>0</v>
      </c>
      <c r="M1717" s="639">
        <f>Criteria!F188</f>
        <v>0</v>
      </c>
      <c r="N1717" s="647"/>
      <c r="O1717" s="639">
        <f>Criteria!G188</f>
        <v>0</v>
      </c>
      <c r="P1717" s="634"/>
      <c r="Q1717" s="469"/>
      <c r="R1717" s="512" t="str">
        <f t="shared" si="65"/>
        <v>DELETE</v>
      </c>
    </row>
    <row r="1718" spans="2:18" ht="31.5" customHeight="1" x14ac:dyDescent="0.45">
      <c r="B1718" s="582"/>
      <c r="C1718" s="583"/>
      <c r="D1718" s="449">
        <f>Criteria!C189</f>
        <v>0</v>
      </c>
      <c r="M1718" s="639">
        <f>Criteria!F189</f>
        <v>0</v>
      </c>
      <c r="N1718" s="647"/>
      <c r="O1718" s="639">
        <f>Criteria!G189</f>
        <v>0</v>
      </c>
      <c r="P1718" s="634"/>
      <c r="Q1718" s="469"/>
      <c r="R1718" s="512" t="str">
        <f t="shared" si="65"/>
        <v>DELETE</v>
      </c>
    </row>
    <row r="1719" spans="2:18" ht="31.5" customHeight="1" x14ac:dyDescent="0.45">
      <c r="B1719" s="582"/>
      <c r="C1719" s="583"/>
      <c r="D1719" s="449">
        <f>Criteria!C190</f>
        <v>0</v>
      </c>
      <c r="M1719" s="639">
        <f>Criteria!F190</f>
        <v>0</v>
      </c>
      <c r="N1719" s="647"/>
      <c r="O1719" s="639">
        <f>Criteria!G190</f>
        <v>0</v>
      </c>
      <c r="P1719" s="634"/>
      <c r="Q1719" s="469"/>
      <c r="R1719" s="512" t="str">
        <f t="shared" si="65"/>
        <v>DELETE</v>
      </c>
    </row>
    <row r="1720" spans="2:18" ht="31.5" customHeight="1" x14ac:dyDescent="0.45">
      <c r="B1720" s="582"/>
      <c r="C1720" s="583"/>
      <c r="D1720" s="449">
        <f>Criteria!C191</f>
        <v>0</v>
      </c>
      <c r="M1720" s="639">
        <f>Criteria!F191</f>
        <v>0</v>
      </c>
      <c r="N1720" s="647"/>
      <c r="O1720" s="639">
        <f>Criteria!G191</f>
        <v>0</v>
      </c>
      <c r="P1720" s="634"/>
      <c r="Q1720" s="469"/>
      <c r="R1720" s="512" t="str">
        <f t="shared" si="65"/>
        <v>DELETE</v>
      </c>
    </row>
    <row r="1721" spans="2:18" ht="31.5" customHeight="1" x14ac:dyDescent="0.45">
      <c r="B1721" s="582"/>
      <c r="C1721" s="583"/>
      <c r="D1721" s="449">
        <f>Criteria!C192</f>
        <v>0</v>
      </c>
      <c r="M1721" s="639">
        <f>Criteria!F192</f>
        <v>0</v>
      </c>
      <c r="N1721" s="647"/>
      <c r="O1721" s="639">
        <f>Criteria!G192</f>
        <v>0</v>
      </c>
      <c r="P1721" s="634"/>
      <c r="Q1721" s="469"/>
      <c r="R1721" s="512" t="str">
        <f t="shared" si="65"/>
        <v>DELETE</v>
      </c>
    </row>
    <row r="1722" spans="2:18" ht="31.5" customHeight="1" x14ac:dyDescent="0.45">
      <c r="B1722" s="582"/>
      <c r="C1722" s="583"/>
      <c r="D1722" s="449">
        <f>Criteria!C193</f>
        <v>0</v>
      </c>
      <c r="M1722" s="639">
        <f>Criteria!F193</f>
        <v>0</v>
      </c>
      <c r="N1722" s="647"/>
      <c r="O1722" s="639">
        <f>Criteria!G193</f>
        <v>0</v>
      </c>
      <c r="P1722" s="634"/>
      <c r="Q1722" s="469"/>
      <c r="R1722" s="512" t="str">
        <f t="shared" si="65"/>
        <v>DELETE</v>
      </c>
    </row>
    <row r="1723" spans="2:18" ht="31.5" customHeight="1" x14ac:dyDescent="0.45">
      <c r="B1723" s="582"/>
      <c r="C1723" s="583"/>
      <c r="D1723" s="449">
        <f>Criteria!C194</f>
        <v>0</v>
      </c>
      <c r="M1723" s="639">
        <f>Criteria!F194</f>
        <v>0</v>
      </c>
      <c r="N1723" s="647"/>
      <c r="O1723" s="639">
        <f>Criteria!G194</f>
        <v>0</v>
      </c>
      <c r="P1723" s="634"/>
      <c r="Q1723" s="469"/>
      <c r="R1723" s="512" t="str">
        <f t="shared" si="65"/>
        <v>DELETE</v>
      </c>
    </row>
    <row r="1724" spans="2:18" ht="31.5" customHeight="1" x14ac:dyDescent="0.45">
      <c r="B1724" s="582"/>
      <c r="C1724" s="583"/>
      <c r="D1724" s="449">
        <f>Criteria!C195</f>
        <v>0</v>
      </c>
      <c r="M1724" s="639">
        <f>Criteria!F195</f>
        <v>0</v>
      </c>
      <c r="N1724" s="647"/>
      <c r="O1724" s="639">
        <f>Criteria!G195</f>
        <v>0</v>
      </c>
      <c r="P1724" s="634"/>
      <c r="Q1724" s="469"/>
      <c r="R1724" s="512" t="str">
        <f t="shared" si="65"/>
        <v>DELETE</v>
      </c>
    </row>
    <row r="1725" spans="2:18" ht="31.5" customHeight="1" x14ac:dyDescent="0.45">
      <c r="B1725" s="582"/>
      <c r="C1725" s="583"/>
      <c r="D1725" s="449">
        <f>Criteria!C196</f>
        <v>0</v>
      </c>
      <c r="M1725" s="639">
        <f>Criteria!F196</f>
        <v>0</v>
      </c>
      <c r="N1725" s="647"/>
      <c r="O1725" s="639">
        <f>Criteria!G196</f>
        <v>0</v>
      </c>
      <c r="P1725" s="634"/>
      <c r="Q1725" s="469"/>
      <c r="R1725" s="512" t="str">
        <f t="shared" si="65"/>
        <v>DELETE</v>
      </c>
    </row>
    <row r="1726" spans="2:18" ht="31.5" customHeight="1" x14ac:dyDescent="0.45">
      <c r="B1726" s="582"/>
      <c r="C1726" s="583"/>
      <c r="D1726" s="449">
        <f>Criteria!C197</f>
        <v>0</v>
      </c>
      <c r="M1726" s="639">
        <f>Criteria!F197</f>
        <v>0</v>
      </c>
      <c r="N1726" s="647"/>
      <c r="O1726" s="639">
        <f>Criteria!G197</f>
        <v>0</v>
      </c>
      <c r="P1726" s="634"/>
      <c r="Q1726" s="469"/>
      <c r="R1726" s="512" t="str">
        <f t="shared" si="65"/>
        <v>DELETE</v>
      </c>
    </row>
    <row r="1727" spans="2:18" ht="31.5" customHeight="1" x14ac:dyDescent="0.45">
      <c r="B1727" s="582"/>
      <c r="C1727" s="583"/>
      <c r="D1727" s="449">
        <f>Criteria!C198</f>
        <v>0</v>
      </c>
      <c r="M1727" s="639">
        <f>Criteria!F198</f>
        <v>0</v>
      </c>
      <c r="N1727" s="647"/>
      <c r="O1727" s="639">
        <f>Criteria!G198</f>
        <v>0</v>
      </c>
      <c r="P1727" s="634"/>
      <c r="Q1727" s="469"/>
      <c r="R1727" s="512" t="str">
        <f t="shared" si="65"/>
        <v>DELETE</v>
      </c>
    </row>
    <row r="1728" spans="2:18" ht="31.5" customHeight="1" x14ac:dyDescent="0.45">
      <c r="B1728" s="582"/>
      <c r="C1728" s="583"/>
      <c r="D1728" s="449">
        <f>Criteria!C199</f>
        <v>0</v>
      </c>
      <c r="M1728" s="639">
        <f>Criteria!F199</f>
        <v>0</v>
      </c>
      <c r="N1728" s="647"/>
      <c r="O1728" s="639">
        <f>Criteria!G199</f>
        <v>0</v>
      </c>
      <c r="P1728" s="634"/>
      <c r="Q1728" s="469"/>
      <c r="R1728" s="512" t="str">
        <f t="shared" si="65"/>
        <v>DELETE</v>
      </c>
    </row>
    <row r="1729" spans="2:18" ht="31.5" customHeight="1" x14ac:dyDescent="0.45">
      <c r="B1729" s="582"/>
      <c r="C1729" s="583"/>
      <c r="D1729" s="449">
        <f>Criteria!C200</f>
        <v>0</v>
      </c>
      <c r="M1729" s="639">
        <f>Criteria!F200</f>
        <v>0</v>
      </c>
      <c r="N1729" s="647"/>
      <c r="O1729" s="639">
        <f>Criteria!G200</f>
        <v>0</v>
      </c>
      <c r="P1729" s="634"/>
      <c r="Q1729" s="469"/>
      <c r="R1729" s="512" t="str">
        <f t="shared" si="65"/>
        <v>DELETE</v>
      </c>
    </row>
    <row r="1730" spans="2:18" ht="31.5" customHeight="1" x14ac:dyDescent="0.45">
      <c r="B1730" s="582"/>
      <c r="C1730" s="583"/>
      <c r="D1730" s="449">
        <f>Criteria!C201</f>
        <v>0</v>
      </c>
      <c r="M1730" s="639">
        <f>Criteria!F201</f>
        <v>0</v>
      </c>
      <c r="N1730" s="647"/>
      <c r="O1730" s="639">
        <f>Criteria!G201</f>
        <v>0</v>
      </c>
      <c r="P1730" s="634"/>
      <c r="Q1730" s="469"/>
      <c r="R1730" s="512" t="str">
        <f t="shared" si="65"/>
        <v>DELETE</v>
      </c>
    </row>
    <row r="1731" spans="2:18" ht="31.5" customHeight="1" x14ac:dyDescent="0.45">
      <c r="B1731" s="582"/>
      <c r="C1731" s="583"/>
      <c r="D1731" s="449">
        <f>Criteria!C202</f>
        <v>0</v>
      </c>
      <c r="M1731" s="639">
        <f>Criteria!F202</f>
        <v>0</v>
      </c>
      <c r="N1731" s="647"/>
      <c r="O1731" s="639">
        <f>Criteria!G202</f>
        <v>0</v>
      </c>
      <c r="P1731" s="634"/>
      <c r="Q1731" s="469"/>
      <c r="R1731" s="512" t="str">
        <f t="shared" si="65"/>
        <v>DELETE</v>
      </c>
    </row>
    <row r="1732" spans="2:18" ht="31.5" customHeight="1" x14ac:dyDescent="0.45">
      <c r="B1732" s="582"/>
      <c r="C1732" s="583"/>
      <c r="D1732" s="449">
        <f>Criteria!C203</f>
        <v>0</v>
      </c>
      <c r="M1732" s="639">
        <f>Criteria!F203</f>
        <v>0</v>
      </c>
      <c r="N1732" s="647"/>
      <c r="O1732" s="639">
        <f>Criteria!G203</f>
        <v>0</v>
      </c>
      <c r="P1732" s="634"/>
      <c r="Q1732" s="469"/>
      <c r="R1732" s="512" t="str">
        <f t="shared" si="65"/>
        <v>DELETE</v>
      </c>
    </row>
    <row r="1733" spans="2:18" ht="31.5" customHeight="1" x14ac:dyDescent="0.45">
      <c r="B1733" s="582"/>
      <c r="C1733" s="583"/>
      <c r="D1733" s="449">
        <f>Criteria!C204</f>
        <v>0</v>
      </c>
      <c r="M1733" s="639">
        <f>Criteria!F204</f>
        <v>0</v>
      </c>
      <c r="N1733" s="647"/>
      <c r="O1733" s="639">
        <f>Criteria!G204</f>
        <v>0</v>
      </c>
      <c r="P1733" s="634"/>
      <c r="Q1733" s="469"/>
      <c r="R1733" s="512" t="str">
        <f t="shared" si="65"/>
        <v>DELETE</v>
      </c>
    </row>
    <row r="1734" spans="2:18" ht="31.5" customHeight="1" x14ac:dyDescent="0.45">
      <c r="B1734" s="582"/>
      <c r="C1734" s="583"/>
      <c r="D1734" s="449">
        <f>Criteria!C205</f>
        <v>0</v>
      </c>
      <c r="M1734" s="639">
        <f>Criteria!F205</f>
        <v>0</v>
      </c>
      <c r="N1734" s="647"/>
      <c r="O1734" s="639">
        <f>Criteria!G205</f>
        <v>0</v>
      </c>
      <c r="P1734" s="634"/>
      <c r="Q1734" s="469"/>
      <c r="R1734" s="512" t="str">
        <f t="shared" si="65"/>
        <v>DELETE</v>
      </c>
    </row>
    <row r="1735" spans="2:18" ht="31.5" customHeight="1" x14ac:dyDescent="0.45">
      <c r="B1735" s="582"/>
      <c r="C1735" s="583"/>
      <c r="D1735" s="449">
        <f>Criteria!C206</f>
        <v>0</v>
      </c>
      <c r="M1735" s="639">
        <f>Criteria!F206</f>
        <v>0</v>
      </c>
      <c r="N1735" s="647"/>
      <c r="O1735" s="639">
        <f>Criteria!G206</f>
        <v>0</v>
      </c>
      <c r="P1735" s="634"/>
      <c r="Q1735" s="469"/>
      <c r="R1735" s="512" t="str">
        <f t="shared" si="65"/>
        <v>DELETE</v>
      </c>
    </row>
    <row r="1736" spans="2:18" ht="31.5" customHeight="1" x14ac:dyDescent="0.45">
      <c r="B1736" s="582"/>
      <c r="C1736" s="583"/>
      <c r="D1736" s="449">
        <f>Criteria!C207</f>
        <v>0</v>
      </c>
      <c r="M1736" s="639">
        <f>Criteria!F207</f>
        <v>0</v>
      </c>
      <c r="N1736" s="647"/>
      <c r="O1736" s="639">
        <f>Criteria!G207</f>
        <v>0</v>
      </c>
      <c r="P1736" s="634"/>
      <c r="Q1736" s="469"/>
      <c r="R1736" s="512" t="str">
        <f t="shared" si="65"/>
        <v>DELETE</v>
      </c>
    </row>
    <row r="1737" spans="2:18" ht="31.5" customHeight="1" x14ac:dyDescent="0.45">
      <c r="B1737" s="582"/>
      <c r="C1737" s="583"/>
      <c r="D1737" s="449">
        <f>Criteria!C208</f>
        <v>0</v>
      </c>
      <c r="M1737" s="639">
        <f>Criteria!F208</f>
        <v>0</v>
      </c>
      <c r="N1737" s="647"/>
      <c r="O1737" s="639">
        <f>Criteria!G208</f>
        <v>0</v>
      </c>
      <c r="P1737" s="634"/>
      <c r="Q1737" s="469"/>
      <c r="R1737" s="512" t="str">
        <f t="shared" si="65"/>
        <v>DELETE</v>
      </c>
    </row>
    <row r="1738" spans="2:18" ht="31.5" customHeight="1" x14ac:dyDescent="0.45">
      <c r="B1738" s="582"/>
      <c r="C1738" s="583"/>
      <c r="D1738" s="449">
        <f>Criteria!C209</f>
        <v>0</v>
      </c>
      <c r="M1738" s="639">
        <f>Criteria!F209</f>
        <v>0</v>
      </c>
      <c r="N1738" s="647"/>
      <c r="O1738" s="639">
        <f>Criteria!G209</f>
        <v>0</v>
      </c>
      <c r="P1738" s="634"/>
      <c r="Q1738" s="469"/>
      <c r="R1738" s="512" t="str">
        <f t="shared" si="65"/>
        <v>DELETE</v>
      </c>
    </row>
    <row r="1739" spans="2:18" ht="31.5" customHeight="1" x14ac:dyDescent="0.45">
      <c r="B1739" s="582"/>
      <c r="C1739" s="583"/>
      <c r="D1739" s="449">
        <f>Criteria!C210</f>
        <v>0</v>
      </c>
      <c r="M1739" s="639">
        <f>Criteria!F210</f>
        <v>0</v>
      </c>
      <c r="N1739" s="647"/>
      <c r="O1739" s="639">
        <f>Criteria!G210</f>
        <v>0</v>
      </c>
      <c r="P1739" s="634"/>
      <c r="Q1739" s="469"/>
      <c r="R1739" s="512" t="str">
        <f t="shared" si="65"/>
        <v>DELETE</v>
      </c>
    </row>
    <row r="1740" spans="2:18" ht="31.5" customHeight="1" x14ac:dyDescent="0.45">
      <c r="B1740" s="582"/>
      <c r="C1740" s="583"/>
      <c r="D1740" s="449">
        <f>Criteria!C211</f>
        <v>0</v>
      </c>
      <c r="M1740" s="639">
        <f>Criteria!F211</f>
        <v>0</v>
      </c>
      <c r="N1740" s="647"/>
      <c r="O1740" s="639">
        <f>Criteria!G211</f>
        <v>0</v>
      </c>
      <c r="P1740" s="634"/>
      <c r="Q1740" s="469"/>
      <c r="R1740" s="512" t="str">
        <f t="shared" si="65"/>
        <v>DELETE</v>
      </c>
    </row>
    <row r="1741" spans="2:18" ht="31.5" customHeight="1" x14ac:dyDescent="0.45">
      <c r="B1741" s="582"/>
      <c r="C1741" s="583"/>
      <c r="D1741" s="449">
        <f>Criteria!C212</f>
        <v>0</v>
      </c>
      <c r="M1741" s="639">
        <f>Criteria!F212</f>
        <v>0</v>
      </c>
      <c r="N1741" s="647"/>
      <c r="O1741" s="639">
        <f>Criteria!G212</f>
        <v>0</v>
      </c>
      <c r="P1741" s="634"/>
      <c r="Q1741" s="469"/>
      <c r="R1741" s="512" t="str">
        <f t="shared" si="65"/>
        <v>DELETE</v>
      </c>
    </row>
    <row r="1742" spans="2:18" ht="31.5" customHeight="1" x14ac:dyDescent="0.45">
      <c r="B1742" s="582"/>
      <c r="C1742" s="583"/>
      <c r="D1742" s="449">
        <f>Criteria!C213</f>
        <v>0</v>
      </c>
      <c r="M1742" s="639">
        <f>Criteria!F213</f>
        <v>0</v>
      </c>
      <c r="N1742" s="647"/>
      <c r="O1742" s="639">
        <f>Criteria!G213</f>
        <v>0</v>
      </c>
      <c r="P1742" s="634"/>
      <c r="Q1742" s="469"/>
      <c r="R1742" s="512" t="str">
        <f t="shared" si="65"/>
        <v>DELETE</v>
      </c>
    </row>
    <row r="1743" spans="2:18" ht="31.5" customHeight="1" x14ac:dyDescent="0.45">
      <c r="B1743" s="582"/>
      <c r="C1743" s="583"/>
      <c r="D1743" s="449">
        <f>Criteria!C214</f>
        <v>0</v>
      </c>
      <c r="M1743" s="639">
        <f>Criteria!F214</f>
        <v>0</v>
      </c>
      <c r="N1743" s="647"/>
      <c r="O1743" s="639">
        <f>Criteria!G214</f>
        <v>0</v>
      </c>
      <c r="P1743" s="634"/>
      <c r="Q1743" s="469"/>
      <c r="R1743" s="512" t="str">
        <f t="shared" si="65"/>
        <v>DELETE</v>
      </c>
    </row>
    <row r="1744" spans="2:18" ht="31.5" customHeight="1" x14ac:dyDescent="0.45">
      <c r="B1744" s="582"/>
      <c r="C1744" s="583"/>
      <c r="D1744" s="449">
        <f>Criteria!C215</f>
        <v>0</v>
      </c>
      <c r="M1744" s="639">
        <f>Criteria!F215</f>
        <v>0</v>
      </c>
      <c r="N1744" s="647"/>
      <c r="O1744" s="639">
        <f>Criteria!G215</f>
        <v>0</v>
      </c>
      <c r="P1744" s="634"/>
      <c r="Q1744" s="469"/>
      <c r="R1744" s="512" t="str">
        <f t="shared" si="65"/>
        <v>DELETE</v>
      </c>
    </row>
    <row r="1745" spans="2:24" ht="31.5" customHeight="1" x14ac:dyDescent="0.45">
      <c r="B1745" s="582"/>
      <c r="C1745" s="583"/>
      <c r="D1745" s="449">
        <f>Criteria!C216</f>
        <v>0</v>
      </c>
      <c r="M1745" s="639">
        <f>Criteria!F216</f>
        <v>0</v>
      </c>
      <c r="N1745" s="647"/>
      <c r="O1745" s="639">
        <f>Criteria!G216</f>
        <v>0</v>
      </c>
      <c r="P1745" s="634"/>
      <c r="Q1745" s="469"/>
      <c r="R1745" s="512" t="str">
        <f t="shared" si="65"/>
        <v>DELETE</v>
      </c>
    </row>
    <row r="1746" spans="2:24" ht="31.5" customHeight="1" x14ac:dyDescent="0.45">
      <c r="B1746" s="582"/>
      <c r="C1746" s="583"/>
      <c r="D1746" s="449">
        <f>Criteria!C217</f>
        <v>0</v>
      </c>
      <c r="M1746" s="639">
        <f>Criteria!F217</f>
        <v>0</v>
      </c>
      <c r="N1746" s="647"/>
      <c r="O1746" s="639">
        <f>Criteria!G217</f>
        <v>0</v>
      </c>
      <c r="P1746" s="634"/>
      <c r="Q1746" s="469"/>
      <c r="R1746" s="512" t="str">
        <f t="shared" si="65"/>
        <v>DELETE</v>
      </c>
    </row>
    <row r="1747" spans="2:24" ht="9" customHeight="1" x14ac:dyDescent="0.45">
      <c r="B1747" s="582"/>
      <c r="C1747" s="583"/>
      <c r="M1747" s="630"/>
      <c r="N1747" s="631"/>
      <c r="O1747" s="630"/>
      <c r="P1747" s="634"/>
      <c r="Q1747" s="469"/>
      <c r="R1747" s="512" t="str">
        <f>R$1749</f>
        <v>DELETE</v>
      </c>
    </row>
    <row r="1748" spans="2:24" ht="9" customHeight="1" x14ac:dyDescent="0.45">
      <c r="B1748" s="582"/>
      <c r="C1748" s="583"/>
      <c r="M1748" s="633"/>
      <c r="N1748" s="634"/>
      <c r="O1748" s="633"/>
      <c r="P1748" s="634"/>
      <c r="Q1748" s="469"/>
      <c r="R1748" s="512" t="str">
        <f>R$1749</f>
        <v>DELETE</v>
      </c>
    </row>
    <row r="1749" spans="2:24" ht="31.5" customHeight="1" x14ac:dyDescent="0.45">
      <c r="B1749" s="582"/>
      <c r="C1749" s="583"/>
      <c r="M1749" s="639">
        <f>SUM(M1709:M1747)</f>
        <v>0</v>
      </c>
      <c r="N1749" s="634"/>
      <c r="O1749" s="639">
        <f>SUM(O1709:O1747)</f>
        <v>0</v>
      </c>
      <c r="P1749" s="634"/>
      <c r="Q1749" s="469"/>
      <c r="R1749" s="512" t="str">
        <f t="shared" ref="R1749" si="66">IF(M1749=0,IF(O1749=0,"DELETE"," ")," ")</f>
        <v>DELETE</v>
      </c>
      <c r="V1749" s="513" t="b">
        <f>M1749=M1683</f>
        <v>1</v>
      </c>
      <c r="X1749" s="513" t="b">
        <f>O1749=O1683</f>
        <v>1</v>
      </c>
    </row>
    <row r="1750" spans="2:24" ht="9" customHeight="1" thickBot="1" x14ac:dyDescent="0.5">
      <c r="B1750" s="582"/>
      <c r="C1750" s="583"/>
      <c r="M1750" s="663"/>
      <c r="N1750" s="645"/>
      <c r="O1750" s="663"/>
      <c r="P1750" s="634"/>
      <c r="Q1750" s="469"/>
      <c r="R1750" s="512" t="str">
        <f t="shared" ref="R1750:R1754" si="67">R$1749</f>
        <v>DELETE</v>
      </c>
    </row>
    <row r="1751" spans="2:24" ht="9" customHeight="1" thickTop="1" x14ac:dyDescent="0.45">
      <c r="B1751" s="582"/>
      <c r="C1751" s="583"/>
      <c r="M1751" s="633"/>
      <c r="N1751" s="634"/>
      <c r="O1751" s="633"/>
      <c r="P1751" s="634"/>
      <c r="Q1751" s="469"/>
      <c r="R1751" s="512" t="str">
        <f t="shared" si="67"/>
        <v>DELETE</v>
      </c>
    </row>
    <row r="1752" spans="2:24" ht="31.5" customHeight="1" x14ac:dyDescent="0.45">
      <c r="B1752" s="582"/>
      <c r="C1752" s="583"/>
      <c r="M1752" s="633"/>
      <c r="N1752" s="634"/>
      <c r="O1752" s="633"/>
      <c r="P1752" s="634"/>
      <c r="Q1752" s="469"/>
      <c r="R1752" s="512" t="str">
        <f t="shared" si="67"/>
        <v>DELETE</v>
      </c>
    </row>
    <row r="1753" spans="2:24" ht="31.5" customHeight="1" x14ac:dyDescent="0.45">
      <c r="B1753" s="567"/>
      <c r="C1753" s="653"/>
      <c r="D1753" s="461"/>
      <c r="E1753" s="461"/>
      <c r="F1753" s="461"/>
      <c r="G1753" s="461"/>
      <c r="H1753" s="461"/>
      <c r="I1753" s="461"/>
      <c r="J1753" s="461"/>
      <c r="K1753" s="461"/>
      <c r="L1753" s="461"/>
      <c r="M1753" s="630"/>
      <c r="N1753" s="631"/>
      <c r="O1753" s="630"/>
      <c r="P1753" s="631"/>
      <c r="Q1753" s="479"/>
      <c r="R1753" s="512" t="str">
        <f t="shared" si="67"/>
        <v>DELETE</v>
      </c>
    </row>
    <row r="1754" spans="2:24" ht="31.5" customHeight="1" x14ac:dyDescent="0.45">
      <c r="B1754" s="527"/>
      <c r="C1754" s="583"/>
      <c r="R1754" s="512" t="str">
        <f t="shared" si="67"/>
        <v>DELETE</v>
      </c>
    </row>
    <row r="1755" spans="2:24" ht="31.5" customHeight="1" x14ac:dyDescent="0.45">
      <c r="B1755" s="527"/>
      <c r="R1755" s="512" t="str">
        <f t="shared" ref="R1755:R1763" si="68">R$1765</f>
        <v>DELETE</v>
      </c>
    </row>
    <row r="1756" spans="2:24" ht="31.5" customHeight="1" x14ac:dyDescent="0.45">
      <c r="B1756" s="527"/>
      <c r="D1756" s="450" t="str">
        <f>Criteria!E9</f>
        <v>ABC COMPANY (PROPRIETARY) LIMITED</v>
      </c>
      <c r="O1756" s="529" t="s">
        <v>121</v>
      </c>
      <c r="Q1756" s="451">
        <f>MAX($Q$114:Q1755)+1</f>
        <v>40</v>
      </c>
      <c r="R1756" s="512" t="str">
        <f t="shared" si="68"/>
        <v>DELETE</v>
      </c>
    </row>
    <row r="1757" spans="2:24" ht="31.5" customHeight="1" x14ac:dyDescent="0.45">
      <c r="B1757" s="527"/>
      <c r="D1757" s="450" t="str">
        <f>Criteria!E10</f>
        <v>T/A SEAFRONT HOTEL, SEAFRONT RESTAURANT AND RENTAL PROPERTIES</v>
      </c>
      <c r="R1757" s="512" t="str">
        <f>IF(R$1765="DELETE","DELETE",IF(D1757=0,"DELETE"," "))</f>
        <v>DELETE</v>
      </c>
    </row>
    <row r="1758" spans="2:24" ht="31.5" customHeight="1" x14ac:dyDescent="0.45">
      <c r="B1758" s="527"/>
      <c r="R1758" s="512" t="str">
        <f t="shared" si="68"/>
        <v>DELETE</v>
      </c>
    </row>
    <row r="1759" spans="2:24" ht="31.5" customHeight="1" x14ac:dyDescent="0.45">
      <c r="B1759" s="527"/>
      <c r="D1759" s="450" t="s">
        <v>451</v>
      </c>
      <c r="R1759" s="512" t="str">
        <f t="shared" si="68"/>
        <v>DELETE</v>
      </c>
    </row>
    <row r="1760" spans="2:24" ht="31.5" customHeight="1" x14ac:dyDescent="0.45">
      <c r="B1760" s="527"/>
      <c r="D1760" s="450" t="str">
        <f>Criteria!E20</f>
        <v>29 FEBRUARY 2024</v>
      </c>
      <c r="J1760" s="449" t="s">
        <v>303</v>
      </c>
      <c r="R1760" s="512" t="str">
        <f t="shared" si="68"/>
        <v>DELETE</v>
      </c>
    </row>
    <row r="1761" spans="2:22" ht="31.5" customHeight="1" x14ac:dyDescent="0.45">
      <c r="B1761" s="527"/>
      <c r="R1761" s="512" t="str">
        <f t="shared" si="68"/>
        <v>DELETE</v>
      </c>
    </row>
    <row r="1762" spans="2:22" ht="31.5" customHeight="1" x14ac:dyDescent="0.45">
      <c r="B1762" s="566"/>
      <c r="C1762" s="466"/>
      <c r="D1762" s="466"/>
      <c r="E1762" s="466"/>
      <c r="F1762" s="466"/>
      <c r="G1762" s="466"/>
      <c r="H1762" s="466"/>
      <c r="I1762" s="466"/>
      <c r="J1762" s="466"/>
      <c r="K1762" s="466"/>
      <c r="L1762" s="466"/>
      <c r="M1762" s="642"/>
      <c r="N1762" s="643"/>
      <c r="O1762" s="642"/>
      <c r="P1762" s="643"/>
      <c r="Q1762" s="467"/>
      <c r="R1762" s="512" t="str">
        <f t="shared" si="68"/>
        <v>DELETE</v>
      </c>
    </row>
    <row r="1763" spans="2:22" ht="31.5" customHeight="1" x14ac:dyDescent="0.45">
      <c r="B1763" s="563"/>
      <c r="C1763" s="450"/>
      <c r="M1763" s="549">
        <f>Criteria!E22</f>
        <v>2024</v>
      </c>
      <c r="N1763" s="508"/>
      <c r="O1763" s="549">
        <f>Criteria!E27</f>
        <v>2023</v>
      </c>
      <c r="P1763" s="634"/>
      <c r="Q1763" s="469"/>
      <c r="R1763" s="512" t="str">
        <f t="shared" si="68"/>
        <v>DELETE</v>
      </c>
    </row>
    <row r="1764" spans="2:22" ht="31.5" customHeight="1" x14ac:dyDescent="0.45">
      <c r="B1764" s="563"/>
      <c r="C1764" s="450"/>
      <c r="M1764" s="549"/>
      <c r="N1764" s="508"/>
      <c r="O1764" s="549"/>
      <c r="P1764" s="634"/>
      <c r="Q1764" s="469"/>
      <c r="R1764" s="512" t="str">
        <f>R$1765</f>
        <v>DELETE</v>
      </c>
    </row>
    <row r="1765" spans="2:22" ht="31.5" customHeight="1" x14ac:dyDescent="0.45">
      <c r="B1765" s="563">
        <f>MAX(B$802:B1764)+1</f>
        <v>12</v>
      </c>
      <c r="C1765" s="450" t="s">
        <v>57</v>
      </c>
      <c r="M1765" s="633"/>
      <c r="N1765" s="634"/>
      <c r="O1765" s="633"/>
      <c r="P1765" s="634"/>
      <c r="Q1765" s="469"/>
      <c r="R1765" s="512" t="str">
        <f>IF(M1830+O1830=0,"DELETE"," ")</f>
        <v>DELETE</v>
      </c>
    </row>
    <row r="1766" spans="2:22" ht="31.5" hidden="1" customHeight="1" x14ac:dyDescent="0.45">
      <c r="B1766" s="563"/>
      <c r="C1766" s="449">
        <f>B1765</f>
        <v>12</v>
      </c>
      <c r="M1766" s="633"/>
      <c r="N1766" s="634"/>
      <c r="O1766" s="633"/>
      <c r="P1766" s="634"/>
      <c r="Q1766" s="469"/>
      <c r="R1766" s="512" t="str">
        <f>IF(M1830+O1830=0,"DELETE"," ")</f>
        <v>DELETE</v>
      </c>
    </row>
    <row r="1767" spans="2:22" ht="31.5" customHeight="1" x14ac:dyDescent="0.45">
      <c r="B1767" s="563"/>
      <c r="C1767" s="583">
        <f>MAX(C1765:C1766)+0.1</f>
        <v>12.1</v>
      </c>
      <c r="D1767" s="449" t="s">
        <v>1522</v>
      </c>
      <c r="M1767" s="548"/>
      <c r="N1767" s="491"/>
      <c r="O1767" s="548"/>
      <c r="P1767" s="634"/>
      <c r="Q1767" s="469"/>
      <c r="R1767" s="512" t="str">
        <f>IF(M1781+O1781=0,"DELETE"," ")</f>
        <v>DELETE</v>
      </c>
      <c r="S1767" s="518"/>
      <c r="U1767" s="518"/>
    </row>
    <row r="1768" spans="2:22" ht="31.5" customHeight="1" x14ac:dyDescent="0.45">
      <c r="B1768" s="563"/>
      <c r="C1768" s="584"/>
      <c r="D1768" s="449" t="s">
        <v>1523</v>
      </c>
      <c r="H1768" s="452"/>
      <c r="J1768" s="452"/>
      <c r="K1768" s="601"/>
      <c r="M1768" s="548">
        <f>SUM(S1771:S1773)</f>
        <v>0</v>
      </c>
      <c r="N1768" s="491"/>
      <c r="O1768" s="548">
        <f>SUM(U1771:U1773)</f>
        <v>0</v>
      </c>
      <c r="P1768" s="634"/>
      <c r="Q1768" s="469"/>
      <c r="R1768" s="512" t="str">
        <f>R$1767</f>
        <v>DELETE</v>
      </c>
      <c r="S1768" s="518"/>
      <c r="U1768" s="518"/>
      <c r="V1768" s="513" t="b">
        <f>M1768=O1781</f>
        <v>1</v>
      </c>
    </row>
    <row r="1769" spans="2:22" ht="9" customHeight="1" x14ac:dyDescent="0.45">
      <c r="B1769" s="563"/>
      <c r="C1769" s="584"/>
      <c r="M1769" s="548"/>
      <c r="N1769" s="491"/>
      <c r="O1769" s="548"/>
      <c r="P1769" s="634"/>
      <c r="Q1769" s="469"/>
      <c r="R1769" s="512" t="str">
        <f t="shared" ref="R1769:R1789" si="69">R$1767</f>
        <v>DELETE</v>
      </c>
      <c r="S1769" s="518"/>
      <c r="U1769" s="518"/>
    </row>
    <row r="1770" spans="2:22" ht="9" customHeight="1" x14ac:dyDescent="0.45">
      <c r="B1770" s="563"/>
      <c r="C1770" s="584"/>
      <c r="M1770" s="532"/>
      <c r="N1770" s="471"/>
      <c r="O1770" s="552"/>
      <c r="P1770" s="634"/>
      <c r="Q1770" s="469"/>
      <c r="R1770" s="512" t="str">
        <f t="shared" si="69"/>
        <v>DELETE</v>
      </c>
      <c r="S1770" s="518"/>
      <c r="U1770" s="518"/>
    </row>
    <row r="1771" spans="2:22" ht="31.5" customHeight="1" x14ac:dyDescent="0.45">
      <c r="B1771" s="563"/>
      <c r="C1771" s="584"/>
      <c r="D1771" s="449" t="s">
        <v>457</v>
      </c>
      <c r="M1771" s="533">
        <f>TrialBalance!L284</f>
        <v>0</v>
      </c>
      <c r="N1771" s="491"/>
      <c r="O1771" s="553">
        <f>TrialBalance!N284</f>
        <v>0</v>
      </c>
      <c r="P1771" s="634"/>
      <c r="Q1771" s="469"/>
      <c r="R1771" s="512" t="str">
        <f t="shared" si="69"/>
        <v>DELETE</v>
      </c>
      <c r="S1771" s="518">
        <f>M1771</f>
        <v>0</v>
      </c>
      <c r="U1771" s="518">
        <f>O1771</f>
        <v>0</v>
      </c>
    </row>
    <row r="1772" spans="2:22" ht="31.5" customHeight="1" x14ac:dyDescent="0.45">
      <c r="B1772" s="563"/>
      <c r="C1772" s="584"/>
      <c r="D1772" s="449" t="s">
        <v>1524</v>
      </c>
      <c r="M1772" s="533">
        <f>-TrialBalance!L287</f>
        <v>0</v>
      </c>
      <c r="N1772" s="491"/>
      <c r="O1772" s="553">
        <f>-TrialBalance!N287</f>
        <v>0</v>
      </c>
      <c r="P1772" s="634"/>
      <c r="Q1772" s="469"/>
      <c r="R1772" s="512" t="str">
        <f t="shared" si="69"/>
        <v>DELETE</v>
      </c>
      <c r="S1772" s="518">
        <f>-M1772</f>
        <v>0</v>
      </c>
      <c r="U1772" s="518">
        <f>-O1772</f>
        <v>0</v>
      </c>
    </row>
    <row r="1773" spans="2:22" ht="31.5" customHeight="1" x14ac:dyDescent="0.45">
      <c r="B1773" s="563"/>
      <c r="C1773" s="584"/>
      <c r="D1773" s="449" t="s">
        <v>1525</v>
      </c>
      <c r="M1773" s="533">
        <f>-TrialBalance!L290</f>
        <v>0</v>
      </c>
      <c r="N1773" s="491"/>
      <c r="O1773" s="553">
        <f>-TrialBalance!N290</f>
        <v>0</v>
      </c>
      <c r="P1773" s="634"/>
      <c r="Q1773" s="469"/>
      <c r="R1773" s="512" t="str">
        <f>IF(M1773+O1773=0,"DELETE"," ")</f>
        <v>DELETE</v>
      </c>
      <c r="S1773" s="518">
        <f>-M1773</f>
        <v>0</v>
      </c>
      <c r="U1773" s="518">
        <f>-O1773</f>
        <v>0</v>
      </c>
    </row>
    <row r="1774" spans="2:22" ht="9" customHeight="1" x14ac:dyDescent="0.45">
      <c r="B1774" s="563"/>
      <c r="C1774" s="584"/>
      <c r="M1774" s="534"/>
      <c r="N1774" s="473"/>
      <c r="O1774" s="554"/>
      <c r="P1774" s="634"/>
      <c r="Q1774" s="469"/>
      <c r="R1774" s="512" t="str">
        <f t="shared" si="69"/>
        <v>DELETE</v>
      </c>
      <c r="S1774" s="518"/>
      <c r="U1774" s="518"/>
    </row>
    <row r="1775" spans="2:22" ht="9" customHeight="1" x14ac:dyDescent="0.45">
      <c r="B1775" s="563"/>
      <c r="C1775" s="584"/>
      <c r="M1775" s="548"/>
      <c r="N1775" s="491"/>
      <c r="O1775" s="548"/>
      <c r="P1775" s="634"/>
      <c r="Q1775" s="469"/>
      <c r="R1775" s="512" t="str">
        <f t="shared" si="69"/>
        <v>DELETE</v>
      </c>
      <c r="S1775" s="518"/>
      <c r="U1775" s="518"/>
    </row>
    <row r="1776" spans="2:22" ht="31.5" customHeight="1" x14ac:dyDescent="0.45">
      <c r="B1776" s="563"/>
      <c r="C1776" s="584"/>
      <c r="D1776" s="449" t="s">
        <v>453</v>
      </c>
      <c r="M1776" s="548">
        <f>TrialBalance!L285</f>
        <v>0</v>
      </c>
      <c r="N1776" s="491"/>
      <c r="O1776" s="548">
        <f>TrialBalance!N285</f>
        <v>0</v>
      </c>
      <c r="P1776" s="634"/>
      <c r="Q1776" s="469"/>
      <c r="R1776" s="512" t="str">
        <f>IF(M1776+O1776=0,"DELETE"," ")</f>
        <v>DELETE</v>
      </c>
      <c r="S1776" s="518"/>
      <c r="U1776" s="518"/>
    </row>
    <row r="1777" spans="2:24" ht="31.5" customHeight="1" x14ac:dyDescent="0.45">
      <c r="B1777" s="563"/>
      <c r="C1777" s="584"/>
      <c r="D1777" s="449" t="s">
        <v>1526</v>
      </c>
      <c r="M1777" s="548">
        <f>TrialBalance!L288</f>
        <v>0</v>
      </c>
      <c r="N1777" s="491"/>
      <c r="O1777" s="548">
        <f>TrialBalance!N288</f>
        <v>0</v>
      </c>
      <c r="P1777" s="634"/>
      <c r="Q1777" s="469"/>
      <c r="R1777" s="512" t="str">
        <f t="shared" si="69"/>
        <v>DELETE</v>
      </c>
      <c r="S1777" s="518"/>
      <c r="U1777" s="518"/>
    </row>
    <row r="1778" spans="2:24" ht="31.5" customHeight="1" x14ac:dyDescent="0.45">
      <c r="B1778" s="563"/>
      <c r="C1778" s="584"/>
      <c r="D1778" s="449" t="s">
        <v>1527</v>
      </c>
      <c r="M1778" s="548">
        <f>TrialBalance!L291</f>
        <v>0</v>
      </c>
      <c r="N1778" s="491"/>
      <c r="O1778" s="548">
        <f>TrialBalance!N291</f>
        <v>0</v>
      </c>
      <c r="P1778" s="634"/>
      <c r="Q1778" s="469"/>
      <c r="R1778" s="512" t="str">
        <f>IF(M1778=0,IF(O1778=0,"DELETE"," ")," ")</f>
        <v>DELETE</v>
      </c>
      <c r="S1778" s="518"/>
      <c r="U1778" s="518"/>
    </row>
    <row r="1779" spans="2:24" ht="9" customHeight="1" x14ac:dyDescent="0.45">
      <c r="B1779" s="563"/>
      <c r="C1779" s="584"/>
      <c r="M1779" s="535"/>
      <c r="N1779" s="473"/>
      <c r="O1779" s="535"/>
      <c r="P1779" s="634"/>
      <c r="Q1779" s="469"/>
      <c r="R1779" s="512" t="str">
        <f t="shared" si="69"/>
        <v>DELETE</v>
      </c>
      <c r="S1779" s="518"/>
      <c r="U1779" s="518"/>
    </row>
    <row r="1780" spans="2:24" ht="9" customHeight="1" x14ac:dyDescent="0.45">
      <c r="B1780" s="563"/>
      <c r="C1780" s="584"/>
      <c r="M1780" s="548"/>
      <c r="N1780" s="491"/>
      <c r="O1780" s="548"/>
      <c r="P1780" s="634"/>
      <c r="Q1780" s="469"/>
      <c r="R1780" s="512" t="str">
        <f t="shared" si="69"/>
        <v>DELETE</v>
      </c>
      <c r="S1780" s="518"/>
      <c r="U1780" s="518"/>
    </row>
    <row r="1781" spans="2:24" ht="31.5" customHeight="1" x14ac:dyDescent="0.45">
      <c r="B1781" s="563"/>
      <c r="C1781" s="584"/>
      <c r="D1781" s="449" t="s">
        <v>1528</v>
      </c>
      <c r="M1781" s="548">
        <f>SUM(S1785:S1787)</f>
        <v>0</v>
      </c>
      <c r="N1781" s="491"/>
      <c r="O1781" s="548">
        <f>SUM(U1785:U1787)</f>
        <v>0</v>
      </c>
      <c r="P1781" s="634"/>
      <c r="Q1781" s="469"/>
      <c r="R1781" s="512" t="str">
        <f t="shared" si="69"/>
        <v>DELETE</v>
      </c>
      <c r="S1781" s="518"/>
      <c r="U1781" s="518"/>
      <c r="V1781" s="513" t="b">
        <f>M1781=M1768+SUM(M1776:M1778)</f>
        <v>1</v>
      </c>
      <c r="X1781" s="513" t="b">
        <f>O1781=O1768+SUM(O1776:O1778)</f>
        <v>1</v>
      </c>
    </row>
    <row r="1782" spans="2:24" ht="9" customHeight="1" thickBot="1" x14ac:dyDescent="0.5">
      <c r="B1782" s="563"/>
      <c r="C1782" s="584"/>
      <c r="M1782" s="536"/>
      <c r="N1782" s="474"/>
      <c r="O1782" s="536"/>
      <c r="P1782" s="634"/>
      <c r="Q1782" s="469"/>
      <c r="R1782" s="512" t="str">
        <f t="shared" si="69"/>
        <v>DELETE</v>
      </c>
      <c r="S1782" s="518"/>
      <c r="U1782" s="518"/>
    </row>
    <row r="1783" spans="2:24" ht="9" customHeight="1" thickTop="1" x14ac:dyDescent="0.45">
      <c r="B1783" s="563"/>
      <c r="C1783" s="584"/>
      <c r="M1783" s="548"/>
      <c r="N1783" s="491"/>
      <c r="O1783" s="548"/>
      <c r="P1783" s="634"/>
      <c r="Q1783" s="469"/>
      <c r="R1783" s="512" t="str">
        <f t="shared" si="69"/>
        <v>DELETE</v>
      </c>
      <c r="S1783" s="518"/>
      <c r="U1783" s="518"/>
    </row>
    <row r="1784" spans="2:24" ht="9" customHeight="1" x14ac:dyDescent="0.45">
      <c r="B1784" s="563"/>
      <c r="C1784" s="584"/>
      <c r="M1784" s="532"/>
      <c r="N1784" s="471"/>
      <c r="O1784" s="552"/>
      <c r="P1784" s="634"/>
      <c r="Q1784" s="469"/>
      <c r="R1784" s="512" t="str">
        <f t="shared" si="69"/>
        <v>DELETE</v>
      </c>
      <c r="S1784" s="518"/>
      <c r="U1784" s="518"/>
    </row>
    <row r="1785" spans="2:24" ht="31.5" customHeight="1" x14ac:dyDescent="0.45">
      <c r="B1785" s="563"/>
      <c r="C1785" s="584"/>
      <c r="D1785" s="449" t="s">
        <v>457</v>
      </c>
      <c r="M1785" s="533">
        <f>TrialBalance!L284+TrialBalance!L285</f>
        <v>0</v>
      </c>
      <c r="N1785" s="491"/>
      <c r="O1785" s="553">
        <f>TrialBalance!N284+TrialBalance!N285</f>
        <v>0</v>
      </c>
      <c r="P1785" s="634"/>
      <c r="Q1785" s="469"/>
      <c r="R1785" s="512" t="str">
        <f t="shared" si="69"/>
        <v>DELETE</v>
      </c>
      <c r="S1785" s="518">
        <f>M1785</f>
        <v>0</v>
      </c>
      <c r="U1785" s="518">
        <f>O1785</f>
        <v>0</v>
      </c>
    </row>
    <row r="1786" spans="2:24" ht="31.5" customHeight="1" x14ac:dyDescent="0.45">
      <c r="B1786" s="563"/>
      <c r="C1786" s="584"/>
      <c r="D1786" s="449" t="s">
        <v>1524</v>
      </c>
      <c r="M1786" s="533">
        <f>-TrialBalance!L287-TrialBalance!L288</f>
        <v>0</v>
      </c>
      <c r="N1786" s="491"/>
      <c r="O1786" s="553">
        <f>-TrialBalance!N287-TrialBalance!N288</f>
        <v>0</v>
      </c>
      <c r="P1786" s="634"/>
      <c r="Q1786" s="469"/>
      <c r="R1786" s="512" t="str">
        <f t="shared" si="69"/>
        <v>DELETE</v>
      </c>
      <c r="S1786" s="518">
        <f>-M1786</f>
        <v>0</v>
      </c>
      <c r="U1786" s="518">
        <f>-O1786</f>
        <v>0</v>
      </c>
    </row>
    <row r="1787" spans="2:24" ht="31.5" customHeight="1" x14ac:dyDescent="0.45">
      <c r="B1787" s="563"/>
      <c r="C1787" s="584"/>
      <c r="D1787" s="449" t="s">
        <v>1525</v>
      </c>
      <c r="M1787" s="533">
        <f>-TrialBalance!L290-TrialBalance!L291</f>
        <v>0</v>
      </c>
      <c r="N1787" s="491"/>
      <c r="O1787" s="553">
        <f>-TrialBalance!N290-TrialBalance!N291</f>
        <v>0</v>
      </c>
      <c r="P1787" s="634"/>
      <c r="Q1787" s="469"/>
      <c r="R1787" s="512" t="str">
        <f>IF(M1787+O1787=0,"DELETE"," ")</f>
        <v>DELETE</v>
      </c>
      <c r="S1787" s="518">
        <f>-M1787</f>
        <v>0</v>
      </c>
      <c r="U1787" s="518">
        <f>-O1787</f>
        <v>0</v>
      </c>
    </row>
    <row r="1788" spans="2:24" ht="9" customHeight="1" x14ac:dyDescent="0.45">
      <c r="B1788" s="563"/>
      <c r="C1788" s="584"/>
      <c r="M1788" s="534"/>
      <c r="N1788" s="473"/>
      <c r="O1788" s="554"/>
      <c r="P1788" s="634"/>
      <c r="Q1788" s="469"/>
      <c r="R1788" s="512" t="str">
        <f t="shared" si="69"/>
        <v>DELETE</v>
      </c>
      <c r="S1788" s="518"/>
      <c r="U1788" s="518"/>
    </row>
    <row r="1789" spans="2:24" ht="9" customHeight="1" x14ac:dyDescent="0.45">
      <c r="B1789" s="563"/>
      <c r="C1789" s="584"/>
      <c r="M1789" s="548"/>
      <c r="N1789" s="491"/>
      <c r="O1789" s="548"/>
      <c r="P1789" s="634"/>
      <c r="Q1789" s="469"/>
      <c r="R1789" s="512" t="str">
        <f t="shared" si="69"/>
        <v>DELETE</v>
      </c>
      <c r="S1789" s="518"/>
      <c r="U1789" s="518"/>
    </row>
    <row r="1790" spans="2:24" ht="31.5" customHeight="1" x14ac:dyDescent="0.45">
      <c r="B1790" s="563"/>
      <c r="C1790" s="584"/>
      <c r="M1790" s="548"/>
      <c r="N1790" s="491"/>
      <c r="O1790" s="548"/>
      <c r="P1790" s="634"/>
      <c r="Q1790" s="469"/>
      <c r="R1790" s="512" t="str">
        <f>IF(R1767="DELETE","DELETE",IF(R1804="DELETE","DELETE"," "))</f>
        <v>DELETE</v>
      </c>
      <c r="S1790" s="518"/>
      <c r="U1790" s="518"/>
    </row>
    <row r="1791" spans="2:24" ht="31.5" customHeight="1" x14ac:dyDescent="0.45">
      <c r="B1791" s="563"/>
      <c r="C1791" s="584"/>
      <c r="M1791" s="548"/>
      <c r="N1791" s="491"/>
      <c r="O1791" s="548"/>
      <c r="P1791" s="634"/>
      <c r="Q1791" s="469"/>
      <c r="R1791" s="512" t="str">
        <f>R$1790</f>
        <v>DELETE</v>
      </c>
      <c r="S1791" s="518"/>
      <c r="U1791" s="518"/>
    </row>
    <row r="1792" spans="2:24" ht="31.5" customHeight="1" x14ac:dyDescent="0.45">
      <c r="B1792" s="564"/>
      <c r="C1792" s="585"/>
      <c r="D1792" s="461"/>
      <c r="E1792" s="461"/>
      <c r="F1792" s="461"/>
      <c r="G1792" s="461"/>
      <c r="H1792" s="461"/>
      <c r="I1792" s="461"/>
      <c r="J1792" s="461"/>
      <c r="K1792" s="461"/>
      <c r="L1792" s="461"/>
      <c r="M1792" s="535"/>
      <c r="N1792" s="473"/>
      <c r="O1792" s="535"/>
      <c r="P1792" s="631"/>
      <c r="Q1792" s="479"/>
      <c r="R1792" s="512" t="str">
        <f t="shared" ref="R1792:R1793" si="70">R$1790</f>
        <v>DELETE</v>
      </c>
      <c r="S1792" s="518"/>
      <c r="U1792" s="518"/>
    </row>
    <row r="1793" spans="2:22" ht="31.5" customHeight="1" x14ac:dyDescent="0.45">
      <c r="B1793" s="526"/>
      <c r="C1793" s="584"/>
      <c r="M1793" s="548"/>
      <c r="N1793" s="491"/>
      <c r="O1793" s="548"/>
      <c r="P1793" s="634"/>
      <c r="R1793" s="512" t="str">
        <f t="shared" si="70"/>
        <v>DELETE</v>
      </c>
      <c r="S1793" s="518"/>
      <c r="U1793" s="518"/>
    </row>
    <row r="1794" spans="2:22" ht="31.5" customHeight="1" x14ac:dyDescent="0.45">
      <c r="B1794" s="526"/>
      <c r="C1794" s="584"/>
      <c r="M1794" s="548"/>
      <c r="N1794" s="491"/>
      <c r="O1794" s="548"/>
      <c r="P1794" s="634"/>
      <c r="R1794" s="512" t="str">
        <f>IF(R1804="DELETE","DELETE",IF(R1767="DELETE","DELETE"," "))</f>
        <v>DELETE</v>
      </c>
      <c r="S1794" s="518"/>
      <c r="U1794" s="518"/>
    </row>
    <row r="1795" spans="2:22" ht="31.5" customHeight="1" x14ac:dyDescent="0.45">
      <c r="B1795" s="526"/>
      <c r="C1795" s="584"/>
      <c r="D1795" s="450" t="str">
        <f>Criteria!E9</f>
        <v>ABC COMPANY (PROPRIETARY) LIMITED</v>
      </c>
      <c r="O1795" s="529" t="s">
        <v>121</v>
      </c>
      <c r="Q1795" s="451">
        <f>MAX($Q$114:Q1794)+1</f>
        <v>41</v>
      </c>
      <c r="R1795" s="512" t="str">
        <f>R$1794</f>
        <v>DELETE</v>
      </c>
      <c r="S1795" s="518"/>
      <c r="U1795" s="518"/>
    </row>
    <row r="1796" spans="2:22" ht="31.5" customHeight="1" x14ac:dyDescent="0.45">
      <c r="B1796" s="526"/>
      <c r="C1796" s="584"/>
      <c r="D1796" s="450" t="str">
        <f>Criteria!E10</f>
        <v>T/A SEAFRONT HOTEL, SEAFRONT RESTAURANT AND RENTAL PROPERTIES</v>
      </c>
      <c r="R1796" s="512" t="str">
        <f>IF(R$1794="DELETE","DELETE",IF(D1796=0,"DELETE"," "))</f>
        <v>DELETE</v>
      </c>
      <c r="S1796" s="518"/>
      <c r="U1796" s="518"/>
    </row>
    <row r="1797" spans="2:22" ht="31.5" customHeight="1" x14ac:dyDescent="0.45">
      <c r="B1797" s="526"/>
      <c r="C1797" s="584"/>
      <c r="R1797" s="512" t="str">
        <f t="shared" ref="R1797:R1803" si="71">R$1794</f>
        <v>DELETE</v>
      </c>
      <c r="S1797" s="518"/>
      <c r="U1797" s="518"/>
    </row>
    <row r="1798" spans="2:22" ht="31.5" customHeight="1" x14ac:dyDescent="0.45">
      <c r="B1798" s="526"/>
      <c r="C1798" s="584"/>
      <c r="D1798" s="450" t="s">
        <v>451</v>
      </c>
      <c r="R1798" s="512" t="str">
        <f t="shared" si="71"/>
        <v>DELETE</v>
      </c>
      <c r="S1798" s="518"/>
      <c r="U1798" s="518"/>
    </row>
    <row r="1799" spans="2:22" ht="31.5" customHeight="1" x14ac:dyDescent="0.45">
      <c r="B1799" s="526"/>
      <c r="C1799" s="584"/>
      <c r="D1799" s="450" t="str">
        <f>Criteria!E20</f>
        <v>29 FEBRUARY 2024</v>
      </c>
      <c r="J1799" s="449" t="s">
        <v>303</v>
      </c>
      <c r="R1799" s="512" t="str">
        <f t="shared" si="71"/>
        <v>DELETE</v>
      </c>
      <c r="S1799" s="518"/>
      <c r="U1799" s="518"/>
    </row>
    <row r="1800" spans="2:22" ht="31.5" customHeight="1" x14ac:dyDescent="0.45">
      <c r="B1800" s="526"/>
      <c r="C1800" s="584"/>
      <c r="M1800" s="548"/>
      <c r="N1800" s="491"/>
      <c r="O1800" s="548"/>
      <c r="P1800" s="634"/>
      <c r="R1800" s="512" t="str">
        <f t="shared" si="71"/>
        <v>DELETE</v>
      </c>
      <c r="S1800" s="518"/>
      <c r="U1800" s="518"/>
    </row>
    <row r="1801" spans="2:22" ht="31.5" customHeight="1" x14ac:dyDescent="0.45">
      <c r="B1801" s="565"/>
      <c r="C1801" s="586"/>
      <c r="D1801" s="466"/>
      <c r="E1801" s="466"/>
      <c r="F1801" s="466"/>
      <c r="G1801" s="466"/>
      <c r="H1801" s="466"/>
      <c r="I1801" s="466"/>
      <c r="J1801" s="466"/>
      <c r="K1801" s="466"/>
      <c r="L1801" s="466"/>
      <c r="M1801" s="546"/>
      <c r="N1801" s="471"/>
      <c r="O1801" s="546"/>
      <c r="P1801" s="643"/>
      <c r="Q1801" s="467"/>
      <c r="R1801" s="512" t="str">
        <f t="shared" si="71"/>
        <v>DELETE</v>
      </c>
      <c r="S1801" s="518"/>
      <c r="U1801" s="518"/>
    </row>
    <row r="1802" spans="2:22" ht="31.5" customHeight="1" x14ac:dyDescent="0.45">
      <c r="B1802" s="563"/>
      <c r="C1802" s="584"/>
      <c r="M1802" s="549">
        <f>Criteria!E22</f>
        <v>2024</v>
      </c>
      <c r="N1802" s="508"/>
      <c r="O1802" s="549">
        <f>Criteria!E27</f>
        <v>2023</v>
      </c>
      <c r="P1802" s="634"/>
      <c r="Q1802" s="469"/>
      <c r="R1802" s="512" t="str">
        <f t="shared" si="71"/>
        <v>DELETE</v>
      </c>
      <c r="S1802" s="518"/>
      <c r="U1802" s="518"/>
    </row>
    <row r="1803" spans="2:22" ht="31.5" customHeight="1" x14ac:dyDescent="0.45">
      <c r="B1803" s="563"/>
      <c r="C1803" s="584"/>
      <c r="M1803" s="548"/>
      <c r="N1803" s="491"/>
      <c r="O1803" s="548"/>
      <c r="P1803" s="634"/>
      <c r="Q1803" s="469"/>
      <c r="R1803" s="512" t="str">
        <f t="shared" si="71"/>
        <v>DELETE</v>
      </c>
      <c r="S1803" s="518"/>
      <c r="U1803" s="518"/>
    </row>
    <row r="1804" spans="2:22" ht="31.5" customHeight="1" x14ac:dyDescent="0.45">
      <c r="B1804" s="563"/>
      <c r="C1804" s="583">
        <f>MAX(C1765:C1803)+0.1</f>
        <v>12.2</v>
      </c>
      <c r="D1804" s="449" t="s">
        <v>1529</v>
      </c>
      <c r="M1804" s="548"/>
      <c r="N1804" s="491"/>
      <c r="O1804" s="548"/>
      <c r="P1804" s="634"/>
      <c r="Q1804" s="469"/>
      <c r="R1804" s="512" t="str">
        <f>IF(M1818+O1818=0,"DELETE"," ")</f>
        <v>DELETE</v>
      </c>
      <c r="S1804" s="518"/>
      <c r="U1804" s="518"/>
    </row>
    <row r="1805" spans="2:22" ht="31.5" customHeight="1" x14ac:dyDescent="0.45">
      <c r="B1805" s="563"/>
      <c r="C1805" s="583"/>
      <c r="D1805" s="449" t="s">
        <v>1523</v>
      </c>
      <c r="H1805" s="452"/>
      <c r="J1805" s="452"/>
      <c r="K1805" s="601"/>
      <c r="M1805" s="548">
        <f>SUM(S1808:S1810)</f>
        <v>0</v>
      </c>
      <c r="N1805" s="491"/>
      <c r="O1805" s="548">
        <f>SUM(U1808:U1810)</f>
        <v>0</v>
      </c>
      <c r="P1805" s="634"/>
      <c r="Q1805" s="469"/>
      <c r="R1805" s="512" t="str">
        <f>R$1804</f>
        <v>DELETE</v>
      </c>
      <c r="S1805" s="518"/>
      <c r="U1805" s="518"/>
      <c r="V1805" s="513" t="b">
        <f>M1805=O1818</f>
        <v>1</v>
      </c>
    </row>
    <row r="1806" spans="2:22" ht="9" customHeight="1" x14ac:dyDescent="0.45">
      <c r="B1806" s="563"/>
      <c r="C1806" s="583"/>
      <c r="M1806" s="548"/>
      <c r="N1806" s="491"/>
      <c r="O1806" s="548"/>
      <c r="P1806" s="634"/>
      <c r="Q1806" s="469"/>
      <c r="R1806" s="512" t="str">
        <f t="shared" ref="R1806:R1827" si="72">R$1804</f>
        <v>DELETE</v>
      </c>
      <c r="S1806" s="518"/>
      <c r="U1806" s="518"/>
    </row>
    <row r="1807" spans="2:22" ht="9" customHeight="1" x14ac:dyDescent="0.45">
      <c r="B1807" s="563"/>
      <c r="C1807" s="583"/>
      <c r="M1807" s="532"/>
      <c r="N1807" s="471"/>
      <c r="O1807" s="552"/>
      <c r="P1807" s="634"/>
      <c r="Q1807" s="469"/>
      <c r="R1807" s="512" t="str">
        <f t="shared" si="72"/>
        <v>DELETE</v>
      </c>
      <c r="S1807" s="518"/>
      <c r="U1807" s="518"/>
    </row>
    <row r="1808" spans="2:22" ht="31.5" customHeight="1" x14ac:dyDescent="0.45">
      <c r="B1808" s="563"/>
      <c r="C1808" s="583"/>
      <c r="D1808" s="449" t="s">
        <v>457</v>
      </c>
      <c r="M1808" s="533">
        <f>TrialBalance!L293</f>
        <v>0</v>
      </c>
      <c r="N1808" s="491"/>
      <c r="O1808" s="553">
        <f>TrialBalance!N293</f>
        <v>0</v>
      </c>
      <c r="P1808" s="634"/>
      <c r="Q1808" s="469"/>
      <c r="R1808" s="512" t="str">
        <f t="shared" si="72"/>
        <v>DELETE</v>
      </c>
      <c r="S1808" s="518">
        <f>M1808</f>
        <v>0</v>
      </c>
      <c r="U1808" s="518">
        <f>O1808</f>
        <v>0</v>
      </c>
    </row>
    <row r="1809" spans="2:24" ht="31.5" customHeight="1" x14ac:dyDescent="0.45">
      <c r="B1809" s="563"/>
      <c r="C1809" s="583"/>
      <c r="D1809" s="449" t="s">
        <v>1524</v>
      </c>
      <c r="M1809" s="533">
        <f>-TrialBalance!L296</f>
        <v>0</v>
      </c>
      <c r="N1809" s="491"/>
      <c r="O1809" s="553">
        <f>-TrialBalance!N296</f>
        <v>0</v>
      </c>
      <c r="P1809" s="634"/>
      <c r="Q1809" s="469"/>
      <c r="R1809" s="512" t="str">
        <f t="shared" si="72"/>
        <v>DELETE</v>
      </c>
      <c r="S1809" s="518">
        <f>-M1809</f>
        <v>0</v>
      </c>
      <c r="U1809" s="518">
        <f>-O1809</f>
        <v>0</v>
      </c>
    </row>
    <row r="1810" spans="2:24" ht="31.5" customHeight="1" x14ac:dyDescent="0.45">
      <c r="B1810" s="563"/>
      <c r="C1810" s="583"/>
      <c r="D1810" s="449" t="s">
        <v>1525</v>
      </c>
      <c r="M1810" s="533">
        <f>-TrialBalance!L299</f>
        <v>0</v>
      </c>
      <c r="N1810" s="491"/>
      <c r="O1810" s="553">
        <f>-TrialBalance!N299</f>
        <v>0</v>
      </c>
      <c r="P1810" s="634"/>
      <c r="Q1810" s="469"/>
      <c r="R1810" s="512" t="str">
        <f>IF(M1810+O1810=0,"DELETE"," ")</f>
        <v>DELETE</v>
      </c>
      <c r="S1810" s="518">
        <f>-M1810</f>
        <v>0</v>
      </c>
      <c r="U1810" s="518">
        <f>-O1810</f>
        <v>0</v>
      </c>
    </row>
    <row r="1811" spans="2:24" ht="9" customHeight="1" x14ac:dyDescent="0.45">
      <c r="B1811" s="563"/>
      <c r="C1811" s="583"/>
      <c r="M1811" s="534"/>
      <c r="N1811" s="473"/>
      <c r="O1811" s="554"/>
      <c r="P1811" s="634"/>
      <c r="Q1811" s="469"/>
      <c r="R1811" s="512" t="str">
        <f t="shared" si="72"/>
        <v>DELETE</v>
      </c>
      <c r="S1811" s="518"/>
      <c r="U1811" s="518"/>
    </row>
    <row r="1812" spans="2:24" ht="9" customHeight="1" x14ac:dyDescent="0.45">
      <c r="B1812" s="563"/>
      <c r="C1812" s="583"/>
      <c r="M1812" s="548"/>
      <c r="N1812" s="491"/>
      <c r="O1812" s="548"/>
      <c r="P1812" s="634"/>
      <c r="Q1812" s="469"/>
      <c r="R1812" s="512" t="str">
        <f t="shared" si="72"/>
        <v>DELETE</v>
      </c>
      <c r="S1812" s="518"/>
      <c r="U1812" s="518"/>
    </row>
    <row r="1813" spans="2:24" ht="31.5" customHeight="1" x14ac:dyDescent="0.45">
      <c r="B1813" s="563"/>
      <c r="C1813" s="583"/>
      <c r="D1813" s="449" t="s">
        <v>453</v>
      </c>
      <c r="M1813" s="548">
        <f>TrialBalance!L294</f>
        <v>0</v>
      </c>
      <c r="N1813" s="491"/>
      <c r="O1813" s="548">
        <f>TrialBalance!N294</f>
        <v>0</v>
      </c>
      <c r="P1813" s="634"/>
      <c r="Q1813" s="469"/>
      <c r="R1813" s="512" t="str">
        <f>IF(M1813+O1813=0,"DELETE"," ")</f>
        <v>DELETE</v>
      </c>
      <c r="S1813" s="518"/>
      <c r="U1813" s="518"/>
    </row>
    <row r="1814" spans="2:24" ht="31.5" customHeight="1" x14ac:dyDescent="0.45">
      <c r="B1814" s="563"/>
      <c r="C1814" s="583"/>
      <c r="D1814" s="449" t="s">
        <v>1526</v>
      </c>
      <c r="M1814" s="548">
        <f>TrialBalance!L297</f>
        <v>0</v>
      </c>
      <c r="N1814" s="491"/>
      <c r="O1814" s="548">
        <f>TrialBalance!N297</f>
        <v>0</v>
      </c>
      <c r="P1814" s="634"/>
      <c r="Q1814" s="469"/>
      <c r="R1814" s="512" t="str">
        <f t="shared" si="72"/>
        <v>DELETE</v>
      </c>
      <c r="S1814" s="518"/>
      <c r="U1814" s="518"/>
    </row>
    <row r="1815" spans="2:24" ht="31.5" customHeight="1" x14ac:dyDescent="0.45">
      <c r="B1815" s="563"/>
      <c r="C1815" s="583"/>
      <c r="D1815" s="449" t="s">
        <v>1527</v>
      </c>
      <c r="M1815" s="548">
        <f>TrialBalance!L300</f>
        <v>0</v>
      </c>
      <c r="N1815" s="491"/>
      <c r="O1815" s="548">
        <f>TrialBalance!N300</f>
        <v>0</v>
      </c>
      <c r="P1815" s="634"/>
      <c r="Q1815" s="469"/>
      <c r="R1815" s="512" t="str">
        <f>IF(M1815=0,IF(O1815=0,"DELETE"," ")," ")</f>
        <v>DELETE</v>
      </c>
      <c r="S1815" s="518"/>
      <c r="U1815" s="518"/>
    </row>
    <row r="1816" spans="2:24" ht="9" customHeight="1" x14ac:dyDescent="0.45">
      <c r="B1816" s="563"/>
      <c r="C1816" s="583"/>
      <c r="M1816" s="535"/>
      <c r="N1816" s="473"/>
      <c r="O1816" s="535"/>
      <c r="P1816" s="634"/>
      <c r="Q1816" s="469"/>
      <c r="R1816" s="512" t="str">
        <f t="shared" si="72"/>
        <v>DELETE</v>
      </c>
      <c r="S1816" s="518"/>
      <c r="U1816" s="518"/>
    </row>
    <row r="1817" spans="2:24" ht="9" customHeight="1" x14ac:dyDescent="0.45">
      <c r="B1817" s="563"/>
      <c r="C1817" s="583"/>
      <c r="M1817" s="548"/>
      <c r="N1817" s="491"/>
      <c r="O1817" s="548"/>
      <c r="P1817" s="634"/>
      <c r="Q1817" s="469"/>
      <c r="R1817" s="512" t="str">
        <f t="shared" si="72"/>
        <v>DELETE</v>
      </c>
      <c r="S1817" s="518"/>
      <c r="U1817" s="518"/>
    </row>
    <row r="1818" spans="2:24" ht="31.5" customHeight="1" x14ac:dyDescent="0.45">
      <c r="B1818" s="563"/>
      <c r="C1818" s="583"/>
      <c r="D1818" s="449" t="s">
        <v>1528</v>
      </c>
      <c r="M1818" s="548">
        <f>SUM(S1822:S1824)</f>
        <v>0</v>
      </c>
      <c r="N1818" s="491"/>
      <c r="O1818" s="548">
        <f>SUM(U1822:U1824)</f>
        <v>0</v>
      </c>
      <c r="P1818" s="634"/>
      <c r="Q1818" s="469"/>
      <c r="R1818" s="512" t="str">
        <f t="shared" si="72"/>
        <v>DELETE</v>
      </c>
      <c r="S1818" s="518"/>
      <c r="U1818" s="518"/>
      <c r="V1818" s="513" t="b">
        <f>M1818=M1805+SUM(M1813:M1815)</f>
        <v>1</v>
      </c>
      <c r="X1818" s="513" t="b">
        <f>O1818=O1805+SUM(O1813:O1815)</f>
        <v>1</v>
      </c>
    </row>
    <row r="1819" spans="2:24" ht="9" customHeight="1" thickBot="1" x14ac:dyDescent="0.5">
      <c r="B1819" s="563"/>
      <c r="C1819" s="583"/>
      <c r="M1819" s="536"/>
      <c r="N1819" s="474"/>
      <c r="O1819" s="536"/>
      <c r="P1819" s="634"/>
      <c r="Q1819" s="469"/>
      <c r="R1819" s="512" t="str">
        <f t="shared" si="72"/>
        <v>DELETE</v>
      </c>
      <c r="S1819" s="518"/>
      <c r="U1819" s="518"/>
    </row>
    <row r="1820" spans="2:24" ht="9" customHeight="1" thickTop="1" x14ac:dyDescent="0.45">
      <c r="B1820" s="563"/>
      <c r="C1820" s="583"/>
      <c r="M1820" s="548"/>
      <c r="N1820" s="491"/>
      <c r="O1820" s="548"/>
      <c r="P1820" s="634"/>
      <c r="Q1820" s="469"/>
      <c r="R1820" s="512" t="str">
        <f t="shared" si="72"/>
        <v>DELETE</v>
      </c>
      <c r="S1820" s="518"/>
      <c r="U1820" s="518"/>
    </row>
    <row r="1821" spans="2:24" ht="9" customHeight="1" x14ac:dyDescent="0.45">
      <c r="B1821" s="563"/>
      <c r="C1821" s="583"/>
      <c r="M1821" s="532"/>
      <c r="N1821" s="471"/>
      <c r="O1821" s="552"/>
      <c r="P1821" s="634"/>
      <c r="Q1821" s="469"/>
      <c r="R1821" s="512" t="str">
        <f t="shared" si="72"/>
        <v>DELETE</v>
      </c>
      <c r="S1821" s="518"/>
      <c r="U1821" s="518"/>
    </row>
    <row r="1822" spans="2:24" ht="31.5" customHeight="1" x14ac:dyDescent="0.45">
      <c r="B1822" s="563"/>
      <c r="C1822" s="583"/>
      <c r="D1822" s="449" t="s">
        <v>457</v>
      </c>
      <c r="M1822" s="533">
        <f>TrialBalance!L293+TrialBalance!L294</f>
        <v>0</v>
      </c>
      <c r="N1822" s="491"/>
      <c r="O1822" s="553">
        <f>TrialBalance!N293+TrialBalance!N294</f>
        <v>0</v>
      </c>
      <c r="P1822" s="634"/>
      <c r="Q1822" s="469"/>
      <c r="R1822" s="512" t="str">
        <f t="shared" si="72"/>
        <v>DELETE</v>
      </c>
      <c r="S1822" s="518">
        <f>M1822</f>
        <v>0</v>
      </c>
      <c r="U1822" s="518">
        <f>O1822</f>
        <v>0</v>
      </c>
    </row>
    <row r="1823" spans="2:24" ht="31.5" customHeight="1" x14ac:dyDescent="0.45">
      <c r="B1823" s="563"/>
      <c r="C1823" s="583"/>
      <c r="D1823" s="449" t="s">
        <v>1524</v>
      </c>
      <c r="M1823" s="533">
        <f>-TrialBalance!L296-TrialBalance!L297</f>
        <v>0</v>
      </c>
      <c r="N1823" s="491"/>
      <c r="O1823" s="553">
        <f>-TrialBalance!N296-TrialBalance!N297</f>
        <v>0</v>
      </c>
      <c r="P1823" s="634"/>
      <c r="Q1823" s="469"/>
      <c r="R1823" s="512" t="str">
        <f t="shared" si="72"/>
        <v>DELETE</v>
      </c>
      <c r="S1823" s="518">
        <f>-M1823</f>
        <v>0</v>
      </c>
      <c r="U1823" s="518">
        <f>-O1823</f>
        <v>0</v>
      </c>
    </row>
    <row r="1824" spans="2:24" ht="31.5" customHeight="1" x14ac:dyDescent="0.45">
      <c r="B1824" s="563"/>
      <c r="C1824" s="583"/>
      <c r="D1824" s="449" t="s">
        <v>1525</v>
      </c>
      <c r="M1824" s="533">
        <f>-TrialBalance!L299-TrialBalance!L300</f>
        <v>0</v>
      </c>
      <c r="N1824" s="491"/>
      <c r="O1824" s="553">
        <f>-TrialBalance!N299-TrialBalance!N300</f>
        <v>0</v>
      </c>
      <c r="P1824" s="634"/>
      <c r="Q1824" s="469"/>
      <c r="R1824" s="512" t="str">
        <f>IF(M1824+O1824=0,"DELETE"," ")</f>
        <v>DELETE</v>
      </c>
      <c r="S1824" s="518">
        <f>-M1824</f>
        <v>0</v>
      </c>
      <c r="U1824" s="518">
        <f>-O1824</f>
        <v>0</v>
      </c>
    </row>
    <row r="1825" spans="2:21" ht="9" customHeight="1" x14ac:dyDescent="0.45">
      <c r="B1825" s="563"/>
      <c r="C1825" s="583"/>
      <c r="M1825" s="534"/>
      <c r="N1825" s="473"/>
      <c r="O1825" s="554"/>
      <c r="P1825" s="634"/>
      <c r="Q1825" s="469"/>
      <c r="R1825" s="512" t="str">
        <f t="shared" si="72"/>
        <v>DELETE</v>
      </c>
      <c r="S1825" s="518"/>
      <c r="U1825" s="518"/>
    </row>
    <row r="1826" spans="2:21" ht="9" customHeight="1" x14ac:dyDescent="0.45">
      <c r="B1826" s="563"/>
      <c r="C1826" s="583"/>
      <c r="M1826" s="548"/>
      <c r="N1826" s="491"/>
      <c r="O1826" s="548"/>
      <c r="P1826" s="634"/>
      <c r="Q1826" s="469"/>
      <c r="R1826" s="512" t="str">
        <f t="shared" si="72"/>
        <v>DELETE</v>
      </c>
      <c r="S1826" s="518"/>
      <c r="U1826" s="518"/>
    </row>
    <row r="1827" spans="2:21" ht="31.5" customHeight="1" x14ac:dyDescent="0.45">
      <c r="B1827" s="563"/>
      <c r="C1827" s="583"/>
      <c r="M1827" s="548"/>
      <c r="N1827" s="491"/>
      <c r="O1827" s="548"/>
      <c r="P1827" s="634"/>
      <c r="Q1827" s="469"/>
      <c r="R1827" s="512" t="str">
        <f t="shared" si="72"/>
        <v>DELETE</v>
      </c>
      <c r="S1827" s="518"/>
      <c r="U1827" s="518"/>
    </row>
    <row r="1828" spans="2:21" ht="9" customHeight="1" x14ac:dyDescent="0.45">
      <c r="B1828" s="563"/>
      <c r="C1828" s="583"/>
      <c r="M1828" s="535"/>
      <c r="N1828" s="473"/>
      <c r="O1828" s="535"/>
      <c r="P1828" s="634"/>
      <c r="Q1828" s="469"/>
      <c r="R1828" s="512" t="str">
        <f t="shared" ref="R1828:R1836" si="73">R$1765</f>
        <v>DELETE</v>
      </c>
      <c r="S1828" s="518"/>
      <c r="U1828" s="518"/>
    </row>
    <row r="1829" spans="2:21" ht="9" customHeight="1" x14ac:dyDescent="0.45">
      <c r="B1829" s="563"/>
      <c r="C1829" s="583"/>
      <c r="M1829" s="548"/>
      <c r="N1829" s="491"/>
      <c r="O1829" s="548"/>
      <c r="P1829" s="634"/>
      <c r="Q1829" s="469"/>
      <c r="R1829" s="512" t="str">
        <f t="shared" si="73"/>
        <v>DELETE</v>
      </c>
      <c r="S1829" s="518"/>
      <c r="U1829" s="518"/>
    </row>
    <row r="1830" spans="2:21" ht="31.5" customHeight="1" x14ac:dyDescent="0.45">
      <c r="B1830" s="563"/>
      <c r="C1830" s="583"/>
      <c r="D1830" s="449" t="s">
        <v>456</v>
      </c>
      <c r="M1830" s="548">
        <f>SUM(TrialBalance!L284:L300)</f>
        <v>0</v>
      </c>
      <c r="N1830" s="491"/>
      <c r="O1830" s="548">
        <f>SUM(TrialBalance!N284:N300)</f>
        <v>0</v>
      </c>
      <c r="P1830" s="634"/>
      <c r="Q1830" s="469"/>
      <c r="R1830" s="512" t="str">
        <f t="shared" si="73"/>
        <v>DELETE</v>
      </c>
      <c r="S1830" s="518"/>
      <c r="U1830" s="518"/>
    </row>
    <row r="1831" spans="2:21" ht="9" customHeight="1" thickBot="1" x14ac:dyDescent="0.5">
      <c r="B1831" s="563"/>
      <c r="C1831" s="583"/>
      <c r="M1831" s="536"/>
      <c r="N1831" s="474"/>
      <c r="O1831" s="536"/>
      <c r="P1831" s="634"/>
      <c r="Q1831" s="469"/>
      <c r="R1831" s="512" t="str">
        <f t="shared" si="73"/>
        <v>DELETE</v>
      </c>
      <c r="S1831" s="518"/>
      <c r="U1831" s="518"/>
    </row>
    <row r="1832" spans="2:21" ht="9" customHeight="1" thickTop="1" x14ac:dyDescent="0.45">
      <c r="B1832" s="563"/>
      <c r="C1832" s="583"/>
      <c r="M1832" s="548"/>
      <c r="N1832" s="491"/>
      <c r="O1832" s="548"/>
      <c r="P1832" s="634"/>
      <c r="Q1832" s="469"/>
      <c r="R1832" s="512" t="str">
        <f t="shared" si="73"/>
        <v>DELETE</v>
      </c>
      <c r="S1832" s="518"/>
      <c r="U1832" s="518"/>
    </row>
    <row r="1833" spans="2:21" ht="31.5" customHeight="1" x14ac:dyDescent="0.45">
      <c r="B1833" s="563"/>
      <c r="C1833" s="450"/>
      <c r="M1833" s="633"/>
      <c r="N1833" s="634"/>
      <c r="O1833" s="633"/>
      <c r="P1833" s="634"/>
      <c r="Q1833" s="469"/>
      <c r="R1833" s="512" t="str">
        <f t="shared" si="73"/>
        <v>DELETE</v>
      </c>
    </row>
    <row r="1834" spans="2:21" ht="31.5" customHeight="1" x14ac:dyDescent="0.45">
      <c r="B1834" s="563"/>
      <c r="C1834" s="450"/>
      <c r="M1834" s="633"/>
      <c r="N1834" s="634"/>
      <c r="O1834" s="633"/>
      <c r="P1834" s="634"/>
      <c r="Q1834" s="469"/>
      <c r="R1834" s="512" t="str">
        <f t="shared" si="73"/>
        <v>DELETE</v>
      </c>
    </row>
    <row r="1835" spans="2:21" ht="31.5" customHeight="1" x14ac:dyDescent="0.45">
      <c r="B1835" s="564"/>
      <c r="C1835" s="502"/>
      <c r="D1835" s="461"/>
      <c r="E1835" s="461"/>
      <c r="F1835" s="461"/>
      <c r="G1835" s="461"/>
      <c r="H1835" s="461"/>
      <c r="I1835" s="461"/>
      <c r="J1835" s="461"/>
      <c r="K1835" s="461"/>
      <c r="L1835" s="461"/>
      <c r="M1835" s="535"/>
      <c r="N1835" s="473"/>
      <c r="O1835" s="535"/>
      <c r="P1835" s="631"/>
      <c r="Q1835" s="479"/>
      <c r="R1835" s="512" t="str">
        <f t="shared" si="73"/>
        <v>DELETE</v>
      </c>
    </row>
    <row r="1836" spans="2:21" ht="31.5" customHeight="1" x14ac:dyDescent="0.45">
      <c r="B1836" s="527"/>
      <c r="R1836" s="512" t="str">
        <f t="shared" si="73"/>
        <v>DELETE</v>
      </c>
    </row>
    <row r="1837" spans="2:21" ht="31.5" customHeight="1" x14ac:dyDescent="0.45">
      <c r="B1837" s="526"/>
      <c r="C1837" s="450"/>
      <c r="M1837" s="531"/>
      <c r="N1837" s="470"/>
      <c r="O1837" s="531"/>
      <c r="R1837" s="512" t="str">
        <f>R$1853</f>
        <v>DELETE</v>
      </c>
    </row>
    <row r="1838" spans="2:21" ht="31.5" customHeight="1" x14ac:dyDescent="0.45">
      <c r="B1838" s="526"/>
      <c r="C1838" s="450"/>
      <c r="D1838" s="450" t="str">
        <f>Criteria!E9</f>
        <v>ABC COMPANY (PROPRIETARY) LIMITED</v>
      </c>
      <c r="M1838" s="639"/>
      <c r="N1838" s="647"/>
      <c r="O1838" s="548" t="s">
        <v>121</v>
      </c>
      <c r="P1838" s="634"/>
      <c r="Q1838" s="451">
        <f>MAX($Q$114:Q1837)+1</f>
        <v>42</v>
      </c>
      <c r="R1838" s="512" t="str">
        <f>R$1853</f>
        <v>DELETE</v>
      </c>
    </row>
    <row r="1839" spans="2:21" ht="31.5" customHeight="1" x14ac:dyDescent="0.45">
      <c r="B1839" s="526"/>
      <c r="C1839" s="450"/>
      <c r="D1839" s="450" t="str">
        <f>Criteria!E10</f>
        <v>T/A SEAFRONT HOTEL, SEAFRONT RESTAURANT AND RENTAL PROPERTIES</v>
      </c>
      <c r="M1839" s="639"/>
      <c r="N1839" s="647"/>
      <c r="O1839" s="639"/>
      <c r="P1839" s="634"/>
      <c r="R1839" s="512" t="str">
        <f>IF(R$1853="DELETE","DELETE",IF(D1839=0,"DELETE"," "))</f>
        <v>DELETE</v>
      </c>
    </row>
    <row r="1840" spans="2:21" ht="31.5" customHeight="1" x14ac:dyDescent="0.45">
      <c r="B1840" s="526"/>
      <c r="C1840" s="450"/>
      <c r="M1840" s="639"/>
      <c r="N1840" s="647"/>
      <c r="O1840" s="639"/>
      <c r="P1840" s="634"/>
      <c r="R1840" s="512" t="str">
        <f t="shared" ref="R1840:R1847" si="74">R$1853</f>
        <v>DELETE</v>
      </c>
    </row>
    <row r="1841" spans="2:18" ht="31.5" customHeight="1" x14ac:dyDescent="0.45">
      <c r="B1841" s="526"/>
      <c r="C1841" s="450"/>
      <c r="D1841" s="450" t="s">
        <v>451</v>
      </c>
      <c r="M1841" s="639"/>
      <c r="N1841" s="647"/>
      <c r="O1841" s="639"/>
      <c r="P1841" s="634"/>
      <c r="R1841" s="512" t="str">
        <f t="shared" si="74"/>
        <v>DELETE</v>
      </c>
    </row>
    <row r="1842" spans="2:18" ht="31.5" customHeight="1" x14ac:dyDescent="0.45">
      <c r="B1842" s="526"/>
      <c r="C1842" s="450"/>
      <c r="D1842" s="450" t="str">
        <f>Criteria!E20</f>
        <v>29 FEBRUARY 2024</v>
      </c>
      <c r="J1842" s="449" t="s">
        <v>303</v>
      </c>
      <c r="M1842" s="639"/>
      <c r="N1842" s="647"/>
      <c r="O1842" s="639"/>
      <c r="P1842" s="634"/>
      <c r="R1842" s="512" t="str">
        <f t="shared" si="74"/>
        <v>DELETE</v>
      </c>
    </row>
    <row r="1843" spans="2:18" ht="31.5" customHeight="1" x14ac:dyDescent="0.45">
      <c r="B1843" s="526"/>
      <c r="C1843" s="450"/>
      <c r="M1843" s="531"/>
      <c r="N1843" s="470"/>
      <c r="O1843" s="531"/>
      <c r="R1843" s="512" t="str">
        <f t="shared" si="74"/>
        <v>DELETE</v>
      </c>
    </row>
    <row r="1844" spans="2:18" ht="31.5" customHeight="1" x14ac:dyDescent="0.45">
      <c r="B1844" s="565"/>
      <c r="C1844" s="503"/>
      <c r="D1844" s="466"/>
      <c r="E1844" s="466"/>
      <c r="F1844" s="466"/>
      <c r="G1844" s="466"/>
      <c r="H1844" s="466"/>
      <c r="I1844" s="466"/>
      <c r="J1844" s="466"/>
      <c r="K1844" s="466"/>
      <c r="L1844" s="466"/>
      <c r="M1844" s="546"/>
      <c r="N1844" s="471"/>
      <c r="O1844" s="546"/>
      <c r="P1844" s="643"/>
      <c r="Q1844" s="467"/>
      <c r="R1844" s="512" t="str">
        <f t="shared" si="74"/>
        <v>DELETE</v>
      </c>
    </row>
    <row r="1845" spans="2:18" ht="31.5" customHeight="1" x14ac:dyDescent="0.45">
      <c r="B1845" s="563"/>
      <c r="C1845" s="450"/>
      <c r="M1845" s="549">
        <f>Criteria!E22</f>
        <v>2024</v>
      </c>
      <c r="N1845" s="508"/>
      <c r="O1845" s="549">
        <f>Criteria!E27</f>
        <v>2023</v>
      </c>
      <c r="P1845" s="634"/>
      <c r="Q1845" s="469"/>
      <c r="R1845" s="512" t="str">
        <f t="shared" si="74"/>
        <v>DELETE</v>
      </c>
    </row>
    <row r="1846" spans="2:18" ht="31.5" customHeight="1" x14ac:dyDescent="0.45">
      <c r="B1846" s="563"/>
      <c r="C1846" s="450"/>
      <c r="M1846" s="548"/>
      <c r="N1846" s="491"/>
      <c r="O1846" s="548"/>
      <c r="P1846" s="634"/>
      <c r="Q1846" s="469"/>
      <c r="R1846" s="512" t="str">
        <f t="shared" si="74"/>
        <v>DELETE</v>
      </c>
    </row>
    <row r="1847" spans="2:18" ht="31.5" customHeight="1" x14ac:dyDescent="0.45">
      <c r="B1847" s="563">
        <f>MAX(B$802:B1846)+1</f>
        <v>13</v>
      </c>
      <c r="C1847" s="450" t="str">
        <f>IF(COUNTIF(TrialBalance!N303:N305,"&gt;0")&gt;1,"INVESTMENTS IN ASSOCIATES",IF(COUNTIF(TrialBalance!L303:L305,"&gt;0")&gt;1,"INVESTMENTS IN ASSOCIATES","INVESTMENT IN ASSOCIATE"))</f>
        <v>INVESTMENT IN ASSOCIATE</v>
      </c>
      <c r="M1847" s="548"/>
      <c r="N1847" s="491"/>
      <c r="O1847" s="548"/>
      <c r="P1847" s="634"/>
      <c r="Q1847" s="469"/>
      <c r="R1847" s="512" t="str">
        <f t="shared" si="74"/>
        <v>DELETE</v>
      </c>
    </row>
    <row r="1848" spans="2:18" ht="31.5" customHeight="1" x14ac:dyDescent="0.45">
      <c r="B1848" s="563"/>
      <c r="C1848" s="450"/>
      <c r="D1848" s="449" t="str">
        <f>TrialBalance!C303</f>
        <v>100 Shares in ABC Company (Pty) Ltd - 100% interest</v>
      </c>
      <c r="M1848" s="548">
        <f>TrialBalance!L303</f>
        <v>0</v>
      </c>
      <c r="N1848" s="491"/>
      <c r="O1848" s="548">
        <f>TrialBalance!N303</f>
        <v>0</v>
      </c>
      <c r="P1848" s="634"/>
      <c r="Q1848" s="469"/>
      <c r="R1848" s="512" t="str">
        <f>IF(M1848+O1848=0,"DELETE"," ")</f>
        <v>DELETE</v>
      </c>
    </row>
    <row r="1849" spans="2:18" ht="31.5" customHeight="1" x14ac:dyDescent="0.45">
      <c r="B1849" s="563"/>
      <c r="C1849" s="450"/>
      <c r="D1849" s="449">
        <f>TrialBalance!C304</f>
        <v>0</v>
      </c>
      <c r="M1849" s="548">
        <f>TrialBalance!L304</f>
        <v>0</v>
      </c>
      <c r="N1849" s="491"/>
      <c r="O1849" s="548">
        <f>TrialBalance!N304</f>
        <v>0</v>
      </c>
      <c r="P1849" s="634"/>
      <c r="Q1849" s="469"/>
      <c r="R1849" s="512" t="str">
        <f t="shared" ref="R1849:R1850" si="75">IF(M1849+O1849=0,"DELETE"," ")</f>
        <v>DELETE</v>
      </c>
    </row>
    <row r="1850" spans="2:18" ht="31.5" customHeight="1" x14ac:dyDescent="0.45">
      <c r="B1850" s="563"/>
      <c r="C1850" s="450"/>
      <c r="D1850" s="449">
        <f>TrialBalance!C305</f>
        <v>0</v>
      </c>
      <c r="M1850" s="548">
        <f>TrialBalance!L305</f>
        <v>0</v>
      </c>
      <c r="N1850" s="491"/>
      <c r="O1850" s="548">
        <f>TrialBalance!N305</f>
        <v>0</v>
      </c>
      <c r="P1850" s="634"/>
      <c r="Q1850" s="469"/>
      <c r="R1850" s="512" t="str">
        <f t="shared" si="75"/>
        <v>DELETE</v>
      </c>
    </row>
    <row r="1851" spans="2:18" ht="9" customHeight="1" x14ac:dyDescent="0.45">
      <c r="B1851" s="563"/>
      <c r="C1851" s="450"/>
      <c r="M1851" s="535"/>
      <c r="N1851" s="473"/>
      <c r="O1851" s="535"/>
      <c r="P1851" s="634"/>
      <c r="Q1851" s="469"/>
      <c r="R1851" s="512" t="str">
        <f t="shared" ref="R1851:R1860" si="76">R$1853</f>
        <v>DELETE</v>
      </c>
    </row>
    <row r="1852" spans="2:18" ht="9" customHeight="1" x14ac:dyDescent="0.45">
      <c r="B1852" s="563"/>
      <c r="C1852" s="450"/>
      <c r="M1852" s="548"/>
      <c r="N1852" s="491"/>
      <c r="O1852" s="548"/>
      <c r="P1852" s="634"/>
      <c r="Q1852" s="469"/>
      <c r="R1852" s="512" t="str">
        <f t="shared" si="76"/>
        <v>DELETE</v>
      </c>
    </row>
    <row r="1853" spans="2:18" ht="31.5" customHeight="1" x14ac:dyDescent="0.45">
      <c r="B1853" s="563"/>
      <c r="C1853" s="450"/>
      <c r="M1853" s="548">
        <f>SUM(M1848:M1852)</f>
        <v>0</v>
      </c>
      <c r="N1853" s="491"/>
      <c r="O1853" s="548">
        <f>SUM(O1848:O1852)</f>
        <v>0</v>
      </c>
      <c r="P1853" s="634"/>
      <c r="Q1853" s="469"/>
      <c r="R1853" s="512" t="str">
        <f t="shared" ref="R1853" si="77">IF(M1853+O1853=0,"DELETE"," ")</f>
        <v>DELETE</v>
      </c>
    </row>
    <row r="1854" spans="2:18" ht="9" customHeight="1" thickBot="1" x14ac:dyDescent="0.5">
      <c r="B1854" s="563"/>
      <c r="C1854" s="450"/>
      <c r="M1854" s="536"/>
      <c r="N1854" s="474"/>
      <c r="O1854" s="536"/>
      <c r="P1854" s="634"/>
      <c r="Q1854" s="469"/>
      <c r="R1854" s="512" t="str">
        <f t="shared" si="76"/>
        <v>DELETE</v>
      </c>
    </row>
    <row r="1855" spans="2:18" ht="9" customHeight="1" thickTop="1" x14ac:dyDescent="0.45">
      <c r="B1855" s="563"/>
      <c r="C1855" s="450"/>
      <c r="M1855" s="548"/>
      <c r="N1855" s="491"/>
      <c r="O1855" s="548"/>
      <c r="P1855" s="634"/>
      <c r="Q1855" s="469"/>
      <c r="R1855" s="512" t="str">
        <f t="shared" si="76"/>
        <v>DELETE</v>
      </c>
    </row>
    <row r="1856" spans="2:18" ht="31.5" customHeight="1" x14ac:dyDescent="0.45">
      <c r="B1856" s="563"/>
      <c r="C1856" s="449" t="str">
        <f>IF(COUNTIF(TrialBalance!N303:N305,"&gt;0")&gt;1,"The shares of the associates are not publicly traded.",IF(COUNTIF(TrialBalance!L303:L305,"&gt;0")&gt;1,"The shares of the associates are not publicly traded.","The shares of the associate are not publicly traded."))</f>
        <v>The shares of the associate are not publicly traded.</v>
      </c>
      <c r="M1856" s="548"/>
      <c r="N1856" s="491"/>
      <c r="O1856" s="548"/>
      <c r="P1856" s="634"/>
      <c r="Q1856" s="469"/>
      <c r="R1856" s="512" t="str">
        <f t="shared" si="76"/>
        <v>DELETE</v>
      </c>
    </row>
    <row r="1857" spans="2:18" ht="31.5" customHeight="1" x14ac:dyDescent="0.45">
      <c r="B1857" s="563"/>
      <c r="M1857" s="548"/>
      <c r="N1857" s="491"/>
      <c r="O1857" s="548"/>
      <c r="P1857" s="634"/>
      <c r="Q1857" s="469"/>
      <c r="R1857" s="512" t="str">
        <f t="shared" si="76"/>
        <v>DELETE</v>
      </c>
    </row>
    <row r="1858" spans="2:18" ht="31.5" customHeight="1" x14ac:dyDescent="0.45">
      <c r="B1858" s="563"/>
      <c r="C1858" s="450"/>
      <c r="M1858" s="548"/>
      <c r="N1858" s="491"/>
      <c r="O1858" s="548"/>
      <c r="P1858" s="634"/>
      <c r="Q1858" s="469"/>
      <c r="R1858" s="512" t="str">
        <f t="shared" si="76"/>
        <v>DELETE</v>
      </c>
    </row>
    <row r="1859" spans="2:18" ht="31.5" customHeight="1" x14ac:dyDescent="0.45">
      <c r="B1859" s="564"/>
      <c r="C1859" s="502"/>
      <c r="D1859" s="461"/>
      <c r="E1859" s="461"/>
      <c r="F1859" s="461"/>
      <c r="G1859" s="461"/>
      <c r="H1859" s="461"/>
      <c r="I1859" s="461"/>
      <c r="J1859" s="461"/>
      <c r="K1859" s="461"/>
      <c r="L1859" s="461"/>
      <c r="M1859" s="535"/>
      <c r="N1859" s="473"/>
      <c r="O1859" s="535"/>
      <c r="P1859" s="631"/>
      <c r="Q1859" s="479"/>
      <c r="R1859" s="512" t="str">
        <f t="shared" si="76"/>
        <v>DELETE</v>
      </c>
    </row>
    <row r="1860" spans="2:18" ht="31.5" customHeight="1" x14ac:dyDescent="0.45">
      <c r="B1860" s="526"/>
      <c r="C1860" s="450"/>
      <c r="M1860" s="531"/>
      <c r="N1860" s="470"/>
      <c r="O1860" s="531"/>
      <c r="R1860" s="512" t="str">
        <f t="shared" si="76"/>
        <v>DELETE</v>
      </c>
    </row>
    <row r="1861" spans="2:18" ht="31.5" customHeight="1" x14ac:dyDescent="0.45">
      <c r="B1861" s="527"/>
      <c r="R1861" s="512" t="str">
        <f>R$1879</f>
        <v>DELETE</v>
      </c>
    </row>
    <row r="1862" spans="2:18" ht="31.5" customHeight="1" x14ac:dyDescent="0.45">
      <c r="B1862" s="527"/>
      <c r="D1862" s="450" t="str">
        <f>Criteria!E9</f>
        <v>ABC COMPANY (PROPRIETARY) LIMITED</v>
      </c>
      <c r="O1862" s="529" t="s">
        <v>121</v>
      </c>
      <c r="Q1862" s="451">
        <f>MAX($Q$114:Q1861)+1</f>
        <v>43</v>
      </c>
      <c r="R1862" s="512" t="str">
        <f t="shared" ref="R1862:R1871" si="78">R$1879</f>
        <v>DELETE</v>
      </c>
    </row>
    <row r="1863" spans="2:18" ht="31.5" customHeight="1" x14ac:dyDescent="0.45">
      <c r="B1863" s="527"/>
      <c r="D1863" s="450" t="str">
        <f>Criteria!E10</f>
        <v>T/A SEAFRONT HOTEL, SEAFRONT RESTAURANT AND RENTAL PROPERTIES</v>
      </c>
      <c r="R1863" s="512" t="str">
        <f>IF(R$1879="DELETE","DELETE",IF(D1863=0,"DELETE"," "))</f>
        <v>DELETE</v>
      </c>
    </row>
    <row r="1864" spans="2:18" ht="31.5" customHeight="1" x14ac:dyDescent="0.45">
      <c r="B1864" s="527"/>
      <c r="R1864" s="512" t="str">
        <f t="shared" si="78"/>
        <v>DELETE</v>
      </c>
    </row>
    <row r="1865" spans="2:18" ht="31.5" customHeight="1" x14ac:dyDescent="0.45">
      <c r="B1865" s="527"/>
      <c r="D1865" s="450" t="s">
        <v>451</v>
      </c>
      <c r="R1865" s="512" t="str">
        <f t="shared" si="78"/>
        <v>DELETE</v>
      </c>
    </row>
    <row r="1866" spans="2:18" ht="31.5" customHeight="1" x14ac:dyDescent="0.45">
      <c r="B1866" s="527"/>
      <c r="D1866" s="450" t="str">
        <f>Criteria!E20</f>
        <v>29 FEBRUARY 2024</v>
      </c>
      <c r="J1866" s="449" t="s">
        <v>303</v>
      </c>
      <c r="R1866" s="512" t="str">
        <f t="shared" si="78"/>
        <v>DELETE</v>
      </c>
    </row>
    <row r="1867" spans="2:18" ht="31.5" customHeight="1" x14ac:dyDescent="0.45">
      <c r="B1867" s="527"/>
      <c r="R1867" s="512" t="str">
        <f t="shared" si="78"/>
        <v>DELETE</v>
      </c>
    </row>
    <row r="1868" spans="2:18" ht="31.5" customHeight="1" x14ac:dyDescent="0.45">
      <c r="B1868" s="566"/>
      <c r="C1868" s="466"/>
      <c r="D1868" s="466"/>
      <c r="E1868" s="466"/>
      <c r="F1868" s="466"/>
      <c r="G1868" s="466"/>
      <c r="H1868" s="466"/>
      <c r="I1868" s="466"/>
      <c r="J1868" s="466"/>
      <c r="K1868" s="466"/>
      <c r="L1868" s="466"/>
      <c r="M1868" s="642"/>
      <c r="N1868" s="643"/>
      <c r="O1868" s="642"/>
      <c r="P1868" s="643"/>
      <c r="Q1868" s="467"/>
      <c r="R1868" s="512" t="str">
        <f t="shared" si="78"/>
        <v>DELETE</v>
      </c>
    </row>
    <row r="1869" spans="2:18" ht="31.5" customHeight="1" x14ac:dyDescent="0.45">
      <c r="B1869" s="582"/>
      <c r="M1869" s="525">
        <f>Criteria!E22</f>
        <v>2024</v>
      </c>
      <c r="N1869" s="458"/>
      <c r="O1869" s="525">
        <f>Criteria!E27</f>
        <v>2023</v>
      </c>
      <c r="Q1869" s="469"/>
      <c r="R1869" s="512" t="str">
        <f t="shared" si="78"/>
        <v>DELETE</v>
      </c>
    </row>
    <row r="1870" spans="2:18" ht="31.5" customHeight="1" x14ac:dyDescent="0.45">
      <c r="B1870" s="582"/>
      <c r="Q1870" s="469"/>
      <c r="R1870" s="512" t="str">
        <f t="shared" si="78"/>
        <v>DELETE</v>
      </c>
    </row>
    <row r="1871" spans="2:18" ht="31.5" customHeight="1" x14ac:dyDescent="0.45">
      <c r="B1871" s="563">
        <f>MAX(B$802:B1870)+1</f>
        <v>14</v>
      </c>
      <c r="C1871" s="450" t="str">
        <f>IF(COUNTIF(TrialBalance!N307:N311,"&gt;0")&gt;1,"LISTED INVESTMENTS",IF(COUNTIF(TrialBalance!L307:L311,"&gt;0")&gt;1,"LISTED INVESTMENTS","LISTED INVESTMENT"))</f>
        <v>LISTED INVESTMENT</v>
      </c>
      <c r="M1871" s="635"/>
      <c r="N1871" s="621"/>
      <c r="O1871" s="635"/>
      <c r="Q1871" s="469"/>
      <c r="R1871" s="512" t="str">
        <f t="shared" si="78"/>
        <v>DELETE</v>
      </c>
    </row>
    <row r="1872" spans="2:18" ht="31.5" customHeight="1" x14ac:dyDescent="0.45">
      <c r="B1872" s="563"/>
      <c r="C1872" s="450"/>
      <c r="D1872" s="449">
        <f>TrialBalance!C307</f>
        <v>0</v>
      </c>
      <c r="M1872" s="531">
        <f>TrialBalance!L307</f>
        <v>0</v>
      </c>
      <c r="N1872" s="470"/>
      <c r="O1872" s="531">
        <f>TrialBalance!N307</f>
        <v>0</v>
      </c>
      <c r="Q1872" s="469"/>
      <c r="R1872" s="512" t="str">
        <f>IF(M1872+O1872=0,"DELETE"," ")</f>
        <v>DELETE</v>
      </c>
    </row>
    <row r="1873" spans="2:18" ht="31.5" customHeight="1" x14ac:dyDescent="0.45">
      <c r="B1873" s="563"/>
      <c r="C1873" s="450"/>
      <c r="D1873" s="449">
        <f>TrialBalance!C308</f>
        <v>0</v>
      </c>
      <c r="M1873" s="531">
        <f>TrialBalance!L308</f>
        <v>0</v>
      </c>
      <c r="N1873" s="470"/>
      <c r="O1873" s="531">
        <f>TrialBalance!N308</f>
        <v>0</v>
      </c>
      <c r="Q1873" s="469"/>
      <c r="R1873" s="512" t="str">
        <f>IF(M1873+O1873=0,"DELETE"," ")</f>
        <v>DELETE</v>
      </c>
    </row>
    <row r="1874" spans="2:18" ht="31.5" customHeight="1" x14ac:dyDescent="0.45">
      <c r="B1874" s="563"/>
      <c r="C1874" s="450"/>
      <c r="D1874" s="449">
        <f>TrialBalance!C309</f>
        <v>0</v>
      </c>
      <c r="M1874" s="531">
        <f>TrialBalance!L309</f>
        <v>0</v>
      </c>
      <c r="N1874" s="470"/>
      <c r="O1874" s="531">
        <f>TrialBalance!N309</f>
        <v>0</v>
      </c>
      <c r="Q1874" s="469"/>
      <c r="R1874" s="512" t="str">
        <f>IF(M1874+O1874=0,"DELETE"," ")</f>
        <v>DELETE</v>
      </c>
    </row>
    <row r="1875" spans="2:18" ht="31.5" customHeight="1" x14ac:dyDescent="0.45">
      <c r="B1875" s="563"/>
      <c r="C1875" s="450"/>
      <c r="D1875" s="449">
        <f>TrialBalance!C310</f>
        <v>0</v>
      </c>
      <c r="M1875" s="531">
        <f>TrialBalance!L310</f>
        <v>0</v>
      </c>
      <c r="N1875" s="470"/>
      <c r="O1875" s="531">
        <f>TrialBalance!N310</f>
        <v>0</v>
      </c>
      <c r="Q1875" s="469"/>
      <c r="R1875" s="512" t="str">
        <f>IF(M1875+O1875=0,"DELETE"," ")</f>
        <v>DELETE</v>
      </c>
    </row>
    <row r="1876" spans="2:18" ht="31.5" customHeight="1" x14ac:dyDescent="0.45">
      <c r="B1876" s="563"/>
      <c r="C1876" s="450"/>
      <c r="D1876" s="449">
        <f>TrialBalance!C311</f>
        <v>0</v>
      </c>
      <c r="M1876" s="531">
        <f>TrialBalance!L311</f>
        <v>0</v>
      </c>
      <c r="N1876" s="470"/>
      <c r="O1876" s="531">
        <f>TrialBalance!N311</f>
        <v>0</v>
      </c>
      <c r="Q1876" s="469"/>
      <c r="R1876" s="512" t="str">
        <f>IF(M1876+O1876=0,"DELETE"," ")</f>
        <v>DELETE</v>
      </c>
    </row>
    <row r="1877" spans="2:18" ht="9" customHeight="1" x14ac:dyDescent="0.45">
      <c r="B1877" s="563"/>
      <c r="C1877" s="450"/>
      <c r="M1877" s="535"/>
      <c r="N1877" s="473"/>
      <c r="O1877" s="535"/>
      <c r="Q1877" s="469"/>
      <c r="R1877" s="512" t="str">
        <f>R1879</f>
        <v>DELETE</v>
      </c>
    </row>
    <row r="1878" spans="2:18" ht="9" customHeight="1" x14ac:dyDescent="0.45">
      <c r="B1878" s="563"/>
      <c r="C1878" s="450"/>
      <c r="M1878" s="531"/>
      <c r="N1878" s="470"/>
      <c r="O1878" s="531"/>
      <c r="Q1878" s="469"/>
      <c r="R1878" s="512" t="str">
        <f>R1879</f>
        <v>DELETE</v>
      </c>
    </row>
    <row r="1879" spans="2:18" ht="31.5" customHeight="1" x14ac:dyDescent="0.45">
      <c r="B1879" s="563"/>
      <c r="C1879" s="450"/>
      <c r="M1879" s="531">
        <f>SUM(M1872:M1878)</f>
        <v>0</v>
      </c>
      <c r="N1879" s="470"/>
      <c r="O1879" s="531">
        <f>SUM(O1872:O1878)</f>
        <v>0</v>
      </c>
      <c r="Q1879" s="469"/>
      <c r="R1879" s="512" t="str">
        <f>IF(M1879+O1879=0,"DELETE"," ")</f>
        <v>DELETE</v>
      </c>
    </row>
    <row r="1880" spans="2:18" ht="9" customHeight="1" thickBot="1" x14ac:dyDescent="0.5">
      <c r="B1880" s="563"/>
      <c r="C1880" s="450"/>
      <c r="M1880" s="536"/>
      <c r="N1880" s="474"/>
      <c r="O1880" s="536"/>
      <c r="Q1880" s="469"/>
      <c r="R1880" s="512" t="str">
        <f>R1879</f>
        <v>DELETE</v>
      </c>
    </row>
    <row r="1881" spans="2:18" ht="9" customHeight="1" thickTop="1" x14ac:dyDescent="0.45">
      <c r="B1881" s="563"/>
      <c r="C1881" s="450"/>
      <c r="M1881" s="548"/>
      <c r="N1881" s="491"/>
      <c r="O1881" s="548"/>
      <c r="Q1881" s="469"/>
      <c r="R1881" s="512" t="str">
        <f>R1880</f>
        <v>DELETE</v>
      </c>
    </row>
    <row r="1882" spans="2:18" ht="31.5" customHeight="1" x14ac:dyDescent="0.45">
      <c r="B1882" s="563"/>
      <c r="C1882" s="450"/>
      <c r="M1882" s="548"/>
      <c r="N1882" s="491"/>
      <c r="O1882" s="548"/>
      <c r="Q1882" s="469"/>
      <c r="R1882" s="512" t="str">
        <f t="shared" ref="R1882:R1889" si="79">R$1879</f>
        <v>DELETE</v>
      </c>
    </row>
    <row r="1883" spans="2:18" ht="9" customHeight="1" x14ac:dyDescent="0.45">
      <c r="B1883" s="563"/>
      <c r="C1883" s="450"/>
      <c r="M1883" s="535"/>
      <c r="N1883" s="473"/>
      <c r="O1883" s="535"/>
      <c r="Q1883" s="469"/>
      <c r="R1883" s="512" t="str">
        <f>R1884</f>
        <v>DELETE</v>
      </c>
    </row>
    <row r="1884" spans="2:18" ht="9" customHeight="1" x14ac:dyDescent="0.45">
      <c r="B1884" s="563"/>
      <c r="C1884" s="450"/>
      <c r="M1884" s="548"/>
      <c r="N1884" s="491"/>
      <c r="O1884" s="548"/>
      <c r="Q1884" s="469"/>
      <c r="R1884" s="512" t="str">
        <f>R1885</f>
        <v>DELETE</v>
      </c>
    </row>
    <row r="1885" spans="2:18" ht="31.5" customHeight="1" x14ac:dyDescent="0.45">
      <c r="B1885" s="563"/>
      <c r="C1885" s="449" t="s">
        <v>957</v>
      </c>
      <c r="M1885" s="548">
        <f>Criteria!G249</f>
        <v>0</v>
      </c>
      <c r="N1885" s="491"/>
      <c r="O1885" s="548">
        <f>Criteria!H249</f>
        <v>0</v>
      </c>
      <c r="Q1885" s="469"/>
      <c r="R1885" s="512" t="str">
        <f>IF(M1885+O1885=0,"DELETE"," ")</f>
        <v>DELETE</v>
      </c>
    </row>
    <row r="1886" spans="2:18" ht="9" customHeight="1" thickBot="1" x14ac:dyDescent="0.5">
      <c r="B1886" s="563"/>
      <c r="M1886" s="536"/>
      <c r="N1886" s="474"/>
      <c r="O1886" s="536"/>
      <c r="Q1886" s="469"/>
      <c r="R1886" s="512" t="str">
        <f>R1885</f>
        <v>DELETE</v>
      </c>
    </row>
    <row r="1887" spans="2:18" ht="9" customHeight="1" thickTop="1" x14ac:dyDescent="0.45">
      <c r="B1887" s="563"/>
      <c r="M1887" s="548"/>
      <c r="N1887" s="491"/>
      <c r="O1887" s="548"/>
      <c r="Q1887" s="469"/>
      <c r="R1887" s="512" t="str">
        <f>R1886</f>
        <v>DELETE</v>
      </c>
    </row>
    <row r="1888" spans="2:18" ht="31.5" customHeight="1" x14ac:dyDescent="0.45">
      <c r="B1888" s="563"/>
      <c r="C1888" s="450"/>
      <c r="M1888" s="548"/>
      <c r="N1888" s="491"/>
      <c r="O1888" s="548"/>
      <c r="Q1888" s="469"/>
      <c r="R1888" s="512" t="str">
        <f t="shared" si="79"/>
        <v>DELETE</v>
      </c>
    </row>
    <row r="1889" spans="2:24" ht="31.5" customHeight="1" x14ac:dyDescent="0.45">
      <c r="B1889" s="563"/>
      <c r="C1889" s="450"/>
      <c r="M1889" s="548"/>
      <c r="N1889" s="491"/>
      <c r="O1889" s="548"/>
      <c r="Q1889" s="469"/>
      <c r="R1889" s="512" t="str">
        <f t="shared" si="79"/>
        <v>DELETE</v>
      </c>
    </row>
    <row r="1890" spans="2:24" ht="31.5" customHeight="1" x14ac:dyDescent="0.45">
      <c r="B1890" s="564"/>
      <c r="C1890" s="502"/>
      <c r="D1890" s="461"/>
      <c r="E1890" s="461"/>
      <c r="F1890" s="461"/>
      <c r="G1890" s="461"/>
      <c r="H1890" s="461"/>
      <c r="I1890" s="461"/>
      <c r="J1890" s="461"/>
      <c r="K1890" s="461"/>
      <c r="L1890" s="461"/>
      <c r="M1890" s="535"/>
      <c r="N1890" s="473"/>
      <c r="O1890" s="535"/>
      <c r="P1890" s="631"/>
      <c r="Q1890" s="479"/>
      <c r="R1890" s="512" t="str">
        <f>R$1879</f>
        <v>DELETE</v>
      </c>
    </row>
    <row r="1891" spans="2:24" ht="31.5" customHeight="1" x14ac:dyDescent="0.45">
      <c r="B1891" s="526"/>
      <c r="C1891" s="450"/>
      <c r="M1891" s="531"/>
      <c r="N1891" s="470"/>
      <c r="O1891" s="531"/>
      <c r="R1891" s="512" t="str">
        <f>R$1879</f>
        <v>DELETE</v>
      </c>
    </row>
    <row r="1892" spans="2:24" ht="31.5" customHeight="1" x14ac:dyDescent="0.45">
      <c r="B1892" s="526"/>
      <c r="C1892" s="450"/>
      <c r="M1892" s="531"/>
      <c r="N1892" s="470"/>
      <c r="O1892" s="531"/>
      <c r="R1892" s="512" t="str">
        <f>R$1910</f>
        <v>DELETE</v>
      </c>
    </row>
    <row r="1893" spans="2:24" ht="31.5" customHeight="1" x14ac:dyDescent="0.45">
      <c r="B1893" s="527"/>
      <c r="D1893" s="450" t="str">
        <f>Criteria!E9</f>
        <v>ABC COMPANY (PROPRIETARY) LIMITED</v>
      </c>
      <c r="O1893" s="529" t="s">
        <v>121</v>
      </c>
      <c r="Q1893" s="451">
        <f>MAX($Q$114:Q1892)+1</f>
        <v>44</v>
      </c>
      <c r="R1893" s="512" t="str">
        <f>R$1910</f>
        <v>DELETE</v>
      </c>
    </row>
    <row r="1894" spans="2:24" ht="31.5" customHeight="1" x14ac:dyDescent="0.45">
      <c r="B1894" s="527"/>
      <c r="D1894" s="450" t="str">
        <f>Criteria!E10</f>
        <v>T/A SEAFRONT HOTEL, SEAFRONT RESTAURANT AND RENTAL PROPERTIES</v>
      </c>
      <c r="R1894" s="512" t="str">
        <f>IF(R$1910="DELETE","DELETE",IF(D1894=0,"DELETE"," "))</f>
        <v>DELETE</v>
      </c>
    </row>
    <row r="1895" spans="2:24" ht="31.5" customHeight="1" x14ac:dyDescent="0.45">
      <c r="B1895" s="527"/>
      <c r="R1895" s="512" t="str">
        <f t="shared" ref="R1895:R1902" si="80">R$1910</f>
        <v>DELETE</v>
      </c>
    </row>
    <row r="1896" spans="2:24" ht="31.5" customHeight="1" x14ac:dyDescent="0.45">
      <c r="B1896" s="527"/>
      <c r="D1896" s="450" t="s">
        <v>451</v>
      </c>
      <c r="R1896" s="512" t="str">
        <f t="shared" si="80"/>
        <v>DELETE</v>
      </c>
    </row>
    <row r="1897" spans="2:24" ht="31.5" customHeight="1" x14ac:dyDescent="0.45">
      <c r="B1897" s="527"/>
      <c r="D1897" s="450" t="str">
        <f>Criteria!E20</f>
        <v>29 FEBRUARY 2024</v>
      </c>
      <c r="J1897" s="449" t="s">
        <v>303</v>
      </c>
      <c r="R1897" s="512" t="str">
        <f t="shared" si="80"/>
        <v>DELETE</v>
      </c>
    </row>
    <row r="1898" spans="2:24" ht="31.5" customHeight="1" x14ac:dyDescent="0.45">
      <c r="B1898" s="527"/>
      <c r="R1898" s="512" t="str">
        <f t="shared" si="80"/>
        <v>DELETE</v>
      </c>
    </row>
    <row r="1899" spans="2:24" ht="31.5" customHeight="1" x14ac:dyDescent="0.45">
      <c r="B1899" s="566"/>
      <c r="C1899" s="466"/>
      <c r="D1899" s="466"/>
      <c r="E1899" s="466"/>
      <c r="F1899" s="466"/>
      <c r="G1899" s="466"/>
      <c r="H1899" s="466"/>
      <c r="I1899" s="466"/>
      <c r="J1899" s="466"/>
      <c r="K1899" s="466"/>
      <c r="L1899" s="466"/>
      <c r="M1899" s="642"/>
      <c r="N1899" s="643"/>
      <c r="O1899" s="642"/>
      <c r="P1899" s="643"/>
      <c r="Q1899" s="467"/>
      <c r="R1899" s="512" t="str">
        <f t="shared" si="80"/>
        <v>DELETE</v>
      </c>
    </row>
    <row r="1900" spans="2:24" ht="31.5" customHeight="1" x14ac:dyDescent="0.45">
      <c r="B1900" s="582"/>
      <c r="M1900" s="525">
        <f>Criteria!E22</f>
        <v>2024</v>
      </c>
      <c r="N1900" s="458"/>
      <c r="O1900" s="525">
        <f>Criteria!E27</f>
        <v>2023</v>
      </c>
      <c r="Q1900" s="469"/>
      <c r="R1900" s="512" t="str">
        <f t="shared" si="80"/>
        <v>DELETE</v>
      </c>
    </row>
    <row r="1901" spans="2:24" ht="31.5" customHeight="1" x14ac:dyDescent="0.45">
      <c r="B1901" s="563"/>
      <c r="C1901" s="450"/>
      <c r="M1901" s="531"/>
      <c r="N1901" s="470"/>
      <c r="O1901" s="531"/>
      <c r="Q1901" s="469"/>
      <c r="R1901" s="512" t="str">
        <f t="shared" si="80"/>
        <v>DELETE</v>
      </c>
    </row>
    <row r="1902" spans="2:24" ht="31.5" customHeight="1" x14ac:dyDescent="0.45">
      <c r="B1902" s="563">
        <f>MAX(B$802:B1901)+1</f>
        <v>15</v>
      </c>
      <c r="C1902" s="450" t="str">
        <f>IF(COUNTIF(TrialBalance!N313:N317,"&gt;0")&gt;1,"OTHER INVESTMENTS",IF(COUNTIF(TrialBalance!L313:L317,"&gt;0")&gt;1,"OTHER INVESTMENTS","OTHER INVESTMENT"))</f>
        <v>OTHER INVESTMENT</v>
      </c>
      <c r="D1902" s="452"/>
      <c r="M1902" s="531"/>
      <c r="N1902" s="470"/>
      <c r="O1902" s="531"/>
      <c r="Q1902" s="469"/>
      <c r="R1902" s="512" t="str">
        <f t="shared" si="80"/>
        <v>DELETE</v>
      </c>
      <c r="S1902" s="518"/>
      <c r="T1902" s="518"/>
      <c r="U1902" s="518"/>
      <c r="V1902" s="518"/>
      <c r="W1902" s="518"/>
      <c r="X1902" s="518"/>
    </row>
    <row r="1903" spans="2:24" ht="31.5" customHeight="1" x14ac:dyDescent="0.45">
      <c r="B1903" s="563"/>
      <c r="C1903" s="450"/>
      <c r="D1903" s="449">
        <f>TrialBalance!C313</f>
        <v>0</v>
      </c>
      <c r="M1903" s="531">
        <f>TrialBalance!L313</f>
        <v>0</v>
      </c>
      <c r="N1903" s="470"/>
      <c r="O1903" s="531">
        <f>TrialBalance!N313</f>
        <v>0</v>
      </c>
      <c r="Q1903" s="469"/>
      <c r="R1903" s="512" t="str">
        <f>IF(M1903+O1903=0,"DELETE"," ")</f>
        <v>DELETE</v>
      </c>
    </row>
    <row r="1904" spans="2:24" ht="31.5" customHeight="1" x14ac:dyDescent="0.45">
      <c r="B1904" s="563"/>
      <c r="C1904" s="450"/>
      <c r="D1904" s="449">
        <f>TrialBalance!C314</f>
        <v>0</v>
      </c>
      <c r="M1904" s="531">
        <f>TrialBalance!L314</f>
        <v>0</v>
      </c>
      <c r="N1904" s="470"/>
      <c r="O1904" s="531">
        <f>TrialBalance!N314</f>
        <v>0</v>
      </c>
      <c r="Q1904" s="469"/>
      <c r="R1904" s="512" t="str">
        <f>IF(M1904+O1904=0,"DELETE"," ")</f>
        <v>DELETE</v>
      </c>
    </row>
    <row r="1905" spans="2:24" ht="31.5" customHeight="1" x14ac:dyDescent="0.45">
      <c r="B1905" s="563"/>
      <c r="C1905" s="450"/>
      <c r="D1905" s="449">
        <f>TrialBalance!C315</f>
        <v>0</v>
      </c>
      <c r="M1905" s="531">
        <f>TrialBalance!L315</f>
        <v>0</v>
      </c>
      <c r="N1905" s="470"/>
      <c r="O1905" s="531">
        <f>TrialBalance!N315</f>
        <v>0</v>
      </c>
      <c r="Q1905" s="469"/>
      <c r="R1905" s="512" t="str">
        <f>IF(M1905+O1905=0,"DELETE"," ")</f>
        <v>DELETE</v>
      </c>
    </row>
    <row r="1906" spans="2:24" ht="31.5" customHeight="1" x14ac:dyDescent="0.45">
      <c r="B1906" s="563"/>
      <c r="C1906" s="450"/>
      <c r="D1906" s="449">
        <f>TrialBalance!C316</f>
        <v>0</v>
      </c>
      <c r="M1906" s="531">
        <f>TrialBalance!L316</f>
        <v>0</v>
      </c>
      <c r="N1906" s="470"/>
      <c r="O1906" s="531">
        <f>TrialBalance!N316</f>
        <v>0</v>
      </c>
      <c r="Q1906" s="469"/>
      <c r="R1906" s="512" t="str">
        <f>IF(M1906+O1906=0,"DELETE"," ")</f>
        <v>DELETE</v>
      </c>
    </row>
    <row r="1907" spans="2:24" ht="31.5" customHeight="1" x14ac:dyDescent="0.45">
      <c r="B1907" s="563"/>
      <c r="C1907" s="450"/>
      <c r="D1907" s="449">
        <f>TrialBalance!C317</f>
        <v>0</v>
      </c>
      <c r="M1907" s="531">
        <f>TrialBalance!L317</f>
        <v>0</v>
      </c>
      <c r="N1907" s="470"/>
      <c r="O1907" s="531">
        <f>TrialBalance!N317</f>
        <v>0</v>
      </c>
      <c r="Q1907" s="469"/>
      <c r="R1907" s="512" t="str">
        <f>IF(M1907+O1907=0,"DELETE"," ")</f>
        <v>DELETE</v>
      </c>
    </row>
    <row r="1908" spans="2:24" ht="9" customHeight="1" x14ac:dyDescent="0.45">
      <c r="B1908" s="563"/>
      <c r="C1908" s="450"/>
      <c r="M1908" s="535"/>
      <c r="N1908" s="473"/>
      <c r="O1908" s="535"/>
      <c r="Q1908" s="469"/>
      <c r="R1908" s="512" t="str">
        <f>R1910</f>
        <v>DELETE</v>
      </c>
    </row>
    <row r="1909" spans="2:24" ht="9" customHeight="1" x14ac:dyDescent="0.45">
      <c r="B1909" s="563"/>
      <c r="C1909" s="450"/>
      <c r="M1909" s="531"/>
      <c r="N1909" s="470"/>
      <c r="O1909" s="531"/>
      <c r="Q1909" s="469"/>
      <c r="R1909" s="512" t="str">
        <f>R1910</f>
        <v>DELETE</v>
      </c>
    </row>
    <row r="1910" spans="2:24" ht="31.5" customHeight="1" x14ac:dyDescent="0.45">
      <c r="B1910" s="563"/>
      <c r="C1910" s="450"/>
      <c r="M1910" s="531">
        <f>SUM(M1903:M1909)</f>
        <v>0</v>
      </c>
      <c r="N1910" s="470"/>
      <c r="O1910" s="531">
        <f>SUM(O1903:O1909)</f>
        <v>0</v>
      </c>
      <c r="Q1910" s="469"/>
      <c r="R1910" s="512" t="str">
        <f>IF(M1910+O1910=0,"DELETE"," ")</f>
        <v>DELETE</v>
      </c>
      <c r="V1910" s="522"/>
      <c r="W1910" s="522"/>
      <c r="X1910" s="522"/>
    </row>
    <row r="1911" spans="2:24" ht="9" customHeight="1" thickBot="1" x14ac:dyDescent="0.5">
      <c r="B1911" s="563"/>
      <c r="C1911" s="450"/>
      <c r="M1911" s="536"/>
      <c r="N1911" s="474"/>
      <c r="O1911" s="536"/>
      <c r="Q1911" s="469"/>
      <c r="R1911" s="512" t="str">
        <f>R1910</f>
        <v>DELETE</v>
      </c>
    </row>
    <row r="1912" spans="2:24" ht="9" customHeight="1" thickTop="1" x14ac:dyDescent="0.45">
      <c r="B1912" s="563"/>
      <c r="C1912" s="450"/>
      <c r="M1912" s="548"/>
      <c r="N1912" s="491"/>
      <c r="O1912" s="548"/>
      <c r="Q1912" s="469"/>
      <c r="R1912" s="512" t="str">
        <f>R1911</f>
        <v>DELETE</v>
      </c>
    </row>
    <row r="1913" spans="2:24" ht="31.5" customHeight="1" x14ac:dyDescent="0.45">
      <c r="B1913" s="563"/>
      <c r="C1913" s="450"/>
      <c r="M1913" s="531"/>
      <c r="N1913" s="470"/>
      <c r="O1913" s="531"/>
      <c r="Q1913" s="469"/>
      <c r="R1913" s="512" t="str">
        <f t="shared" ref="R1913:R1922" si="81">R$1910</f>
        <v>DELETE</v>
      </c>
    </row>
    <row r="1914" spans="2:24" ht="9" customHeight="1" x14ac:dyDescent="0.45">
      <c r="B1914" s="563"/>
      <c r="C1914" s="450"/>
      <c r="M1914" s="535"/>
      <c r="N1914" s="473"/>
      <c r="O1914" s="535"/>
      <c r="Q1914" s="469"/>
      <c r="R1914" s="512" t="str">
        <f>R1915</f>
        <v>DELETE</v>
      </c>
    </row>
    <row r="1915" spans="2:24" ht="9" customHeight="1" x14ac:dyDescent="0.45">
      <c r="B1915" s="563"/>
      <c r="C1915" s="450"/>
      <c r="M1915" s="531"/>
      <c r="N1915" s="470"/>
      <c r="O1915" s="531"/>
      <c r="Q1915" s="469"/>
      <c r="R1915" s="512" t="str">
        <f>R1916</f>
        <v>DELETE</v>
      </c>
    </row>
    <row r="1916" spans="2:24" ht="31.5" customHeight="1" x14ac:dyDescent="0.45">
      <c r="B1916" s="563"/>
      <c r="C1916" s="449" t="str">
        <f>IF(MAX(Criteria!I41:I45)&gt;1,"Directors' valuation","Director's valuation")</f>
        <v>Directors' valuation</v>
      </c>
      <c r="M1916" s="531">
        <f>Criteria!G252</f>
        <v>0</v>
      </c>
      <c r="N1916" s="470"/>
      <c r="O1916" s="531">
        <f>Criteria!H252</f>
        <v>0</v>
      </c>
      <c r="Q1916" s="469"/>
      <c r="R1916" s="512" t="str">
        <f>IF(M1916+O1916=0,"DELETE"," ")</f>
        <v>DELETE</v>
      </c>
    </row>
    <row r="1917" spans="2:24" ht="9" customHeight="1" thickBot="1" x14ac:dyDescent="0.5">
      <c r="B1917" s="563"/>
      <c r="C1917" s="450"/>
      <c r="M1917" s="536"/>
      <c r="N1917" s="474"/>
      <c r="O1917" s="536"/>
      <c r="Q1917" s="469"/>
      <c r="R1917" s="512" t="str">
        <f>R1916</f>
        <v>DELETE</v>
      </c>
    </row>
    <row r="1918" spans="2:24" ht="9" customHeight="1" thickTop="1" x14ac:dyDescent="0.45">
      <c r="B1918" s="563"/>
      <c r="C1918" s="450"/>
      <c r="M1918" s="531"/>
      <c r="N1918" s="470"/>
      <c r="O1918" s="531"/>
      <c r="Q1918" s="469"/>
      <c r="R1918" s="512" t="str">
        <f>R1917</f>
        <v>DELETE</v>
      </c>
    </row>
    <row r="1919" spans="2:24" ht="31.5" customHeight="1" x14ac:dyDescent="0.45">
      <c r="B1919" s="563"/>
      <c r="C1919" s="450"/>
      <c r="M1919" s="531"/>
      <c r="N1919" s="470"/>
      <c r="O1919" s="531"/>
      <c r="Q1919" s="469"/>
      <c r="R1919" s="512" t="str">
        <f t="shared" si="81"/>
        <v>DELETE</v>
      </c>
    </row>
    <row r="1920" spans="2:24" ht="31.5" customHeight="1" x14ac:dyDescent="0.45">
      <c r="B1920" s="563"/>
      <c r="C1920" s="450"/>
      <c r="M1920" s="531"/>
      <c r="N1920" s="470"/>
      <c r="O1920" s="531"/>
      <c r="Q1920" s="469"/>
      <c r="R1920" s="512" t="str">
        <f t="shared" si="81"/>
        <v>DELETE</v>
      </c>
    </row>
    <row r="1921" spans="2:21" ht="31.5" customHeight="1" x14ac:dyDescent="0.45">
      <c r="B1921" s="564"/>
      <c r="C1921" s="502"/>
      <c r="D1921" s="461"/>
      <c r="E1921" s="461"/>
      <c r="F1921" s="461"/>
      <c r="G1921" s="461"/>
      <c r="H1921" s="461"/>
      <c r="I1921" s="461"/>
      <c r="J1921" s="461"/>
      <c r="K1921" s="461"/>
      <c r="L1921" s="461"/>
      <c r="M1921" s="535"/>
      <c r="N1921" s="473"/>
      <c r="O1921" s="535"/>
      <c r="P1921" s="631"/>
      <c r="Q1921" s="479"/>
      <c r="R1921" s="512" t="str">
        <f t="shared" si="81"/>
        <v>DELETE</v>
      </c>
    </row>
    <row r="1922" spans="2:21" ht="31.5" customHeight="1" x14ac:dyDescent="0.45">
      <c r="B1922" s="526"/>
      <c r="C1922" s="450"/>
      <c r="M1922" s="531"/>
      <c r="N1922" s="470"/>
      <c r="O1922" s="531"/>
      <c r="R1922" s="512" t="str">
        <f t="shared" si="81"/>
        <v>DELETE</v>
      </c>
    </row>
    <row r="1923" spans="2:21" ht="31.5" customHeight="1" x14ac:dyDescent="0.45">
      <c r="B1923" s="527"/>
      <c r="M1923" s="635"/>
      <c r="N1923" s="621"/>
      <c r="O1923" s="635"/>
      <c r="R1923" s="512" t="str">
        <f>R$1974</f>
        <v>DELETE</v>
      </c>
    </row>
    <row r="1924" spans="2:21" ht="31.5" customHeight="1" x14ac:dyDescent="0.45">
      <c r="B1924" s="527"/>
      <c r="D1924" s="450" t="str">
        <f>Criteria!E9</f>
        <v>ABC COMPANY (PROPRIETARY) LIMITED</v>
      </c>
      <c r="M1924" s="635"/>
      <c r="N1924" s="621"/>
      <c r="O1924" s="531" t="s">
        <v>121</v>
      </c>
      <c r="Q1924" s="451">
        <f>MAX($Q$114:Q1923)+1</f>
        <v>45</v>
      </c>
      <c r="R1924" s="512" t="str">
        <f t="shared" ref="R1924:R1933" si="82">R$1974</f>
        <v>DELETE</v>
      </c>
    </row>
    <row r="1925" spans="2:21" ht="31.5" customHeight="1" x14ac:dyDescent="0.45">
      <c r="B1925" s="527"/>
      <c r="D1925" s="450" t="str">
        <f>Criteria!E10</f>
        <v>T/A SEAFRONT HOTEL, SEAFRONT RESTAURANT AND RENTAL PROPERTIES</v>
      </c>
      <c r="M1925" s="635"/>
      <c r="N1925" s="621"/>
      <c r="O1925" s="635"/>
      <c r="R1925" s="512" t="str">
        <f>IF(R$1974="DELETE","DELETE",IF(D1925=0,"DELETE"," "))</f>
        <v>DELETE</v>
      </c>
    </row>
    <row r="1926" spans="2:21" ht="31.5" customHeight="1" x14ac:dyDescent="0.45">
      <c r="B1926" s="527"/>
      <c r="M1926" s="635"/>
      <c r="N1926" s="621"/>
      <c r="O1926" s="635"/>
      <c r="R1926" s="512" t="str">
        <f t="shared" si="82"/>
        <v>DELETE</v>
      </c>
    </row>
    <row r="1927" spans="2:21" ht="31.5" customHeight="1" x14ac:dyDescent="0.45">
      <c r="B1927" s="527"/>
      <c r="D1927" s="450" t="s">
        <v>451</v>
      </c>
      <c r="M1927" s="635"/>
      <c r="N1927" s="621"/>
      <c r="O1927" s="635"/>
      <c r="R1927" s="512" t="str">
        <f t="shared" si="82"/>
        <v>DELETE</v>
      </c>
    </row>
    <row r="1928" spans="2:21" ht="31.5" customHeight="1" x14ac:dyDescent="0.45">
      <c r="B1928" s="527"/>
      <c r="D1928" s="450" t="str">
        <f>Criteria!E20</f>
        <v>29 FEBRUARY 2024</v>
      </c>
      <c r="J1928" s="449" t="s">
        <v>303</v>
      </c>
      <c r="M1928" s="635"/>
      <c r="N1928" s="621"/>
      <c r="O1928" s="635"/>
      <c r="R1928" s="512" t="str">
        <f t="shared" si="82"/>
        <v>DELETE</v>
      </c>
    </row>
    <row r="1929" spans="2:21" ht="31.5" customHeight="1" x14ac:dyDescent="0.45">
      <c r="B1929" s="527"/>
      <c r="M1929" s="640"/>
      <c r="N1929" s="646"/>
      <c r="O1929" s="640"/>
      <c r="R1929" s="512" t="str">
        <f t="shared" si="82"/>
        <v>DELETE</v>
      </c>
    </row>
    <row r="1930" spans="2:21" ht="31.5" customHeight="1" x14ac:dyDescent="0.45">
      <c r="B1930" s="566"/>
      <c r="C1930" s="466"/>
      <c r="D1930" s="466"/>
      <c r="E1930" s="466"/>
      <c r="F1930" s="466"/>
      <c r="G1930" s="466"/>
      <c r="H1930" s="466"/>
      <c r="I1930" s="466"/>
      <c r="J1930" s="466"/>
      <c r="K1930" s="466"/>
      <c r="L1930" s="466"/>
      <c r="M1930" s="648"/>
      <c r="N1930" s="649"/>
      <c r="O1930" s="648"/>
      <c r="P1930" s="643"/>
      <c r="Q1930" s="467"/>
      <c r="R1930" s="512" t="str">
        <f t="shared" si="82"/>
        <v>DELETE</v>
      </c>
    </row>
    <row r="1931" spans="2:21" ht="31.5" customHeight="1" x14ac:dyDescent="0.45">
      <c r="B1931" s="563"/>
      <c r="C1931" s="450"/>
      <c r="M1931" s="525">
        <f>Criteria!E22</f>
        <v>2024</v>
      </c>
      <c r="N1931" s="458"/>
      <c r="O1931" s="525">
        <f>Criteria!E27</f>
        <v>2023</v>
      </c>
      <c r="Q1931" s="469"/>
      <c r="R1931" s="512" t="str">
        <f t="shared" si="82"/>
        <v>DELETE</v>
      </c>
    </row>
    <row r="1932" spans="2:21" ht="31.5" customHeight="1" x14ac:dyDescent="0.45">
      <c r="B1932" s="563"/>
      <c r="C1932" s="450"/>
      <c r="M1932" s="531"/>
      <c r="N1932" s="470"/>
      <c r="O1932" s="531"/>
      <c r="Q1932" s="469"/>
      <c r="R1932" s="512" t="str">
        <f t="shared" si="82"/>
        <v>DELETE</v>
      </c>
    </row>
    <row r="1933" spans="2:21" ht="31.5" customHeight="1" x14ac:dyDescent="0.45">
      <c r="B1933" s="563">
        <f>MAX(B$802:B1932)+1</f>
        <v>16</v>
      </c>
      <c r="C1933" s="450" t="str">
        <f>IF(COUNTIF(TrialBalance!N319:N352,"&gt;0")&gt;1,"NON - CURRENT RECEIVABLES",IF(COUNTIF(TrialBalance!L319:L352,"&gt;0")&gt;1,"NON - CURRENT RECEIVABLES","NON - CURRENT RECEIVABLE"))</f>
        <v>NON - CURRENT RECEIVABLE</v>
      </c>
      <c r="M1933" s="531"/>
      <c r="N1933" s="470"/>
      <c r="O1933" s="531"/>
      <c r="Q1933" s="469"/>
      <c r="R1933" s="512" t="str">
        <f t="shared" si="82"/>
        <v>DELETE</v>
      </c>
    </row>
    <row r="1934" spans="2:21" ht="31.5" customHeight="1" x14ac:dyDescent="0.45">
      <c r="B1934" s="563"/>
      <c r="C1934" s="450"/>
      <c r="D1934" s="449" t="str">
        <f>IF(COUNTIF(O1937:O1950,"&gt;0")&gt;1,"Interest bearing non - current receivables",IF(COUNTIF(M1937:M1950,"&gt;0")&gt;1,"Interest bearing non - current receivables","Interest bearing non - current receivable"))</f>
        <v>Interest bearing non - current receivable</v>
      </c>
      <c r="M1934" s="531">
        <f>SUM(M1936:M1951)</f>
        <v>0</v>
      </c>
      <c r="N1934" s="470"/>
      <c r="O1934" s="531">
        <f>SUM(O1936:O1951)</f>
        <v>0</v>
      </c>
      <c r="Q1934" s="469"/>
      <c r="R1934" s="512" t="str">
        <f>IF(M1934+O1934=0,"DELETE"," ")</f>
        <v>DELETE</v>
      </c>
      <c r="S1934" s="517">
        <f>M1934</f>
        <v>0</v>
      </c>
      <c r="U1934" s="517">
        <f>O1934</f>
        <v>0</v>
      </c>
    </row>
    <row r="1935" spans="2:21" ht="9" customHeight="1" x14ac:dyDescent="0.45">
      <c r="B1935" s="563"/>
      <c r="C1935" s="450"/>
      <c r="M1935" s="531"/>
      <c r="N1935" s="470"/>
      <c r="O1935" s="531"/>
      <c r="Q1935" s="469"/>
      <c r="R1935" s="512" t="str">
        <f>R1934</f>
        <v>DELETE</v>
      </c>
    </row>
    <row r="1936" spans="2:21" ht="9" customHeight="1" x14ac:dyDescent="0.45">
      <c r="B1936" s="563"/>
      <c r="C1936" s="450"/>
      <c r="M1936" s="532"/>
      <c r="N1936" s="471"/>
      <c r="O1936" s="552"/>
      <c r="Q1936" s="469"/>
      <c r="R1936" s="512" t="str">
        <f>R1935</f>
        <v>DELETE</v>
      </c>
    </row>
    <row r="1937" spans="2:18" ht="31.5" customHeight="1" x14ac:dyDescent="0.45">
      <c r="B1937" s="563"/>
      <c r="C1937" s="450"/>
      <c r="D1937" s="449">
        <f>TrialBalance!C320</f>
        <v>0</v>
      </c>
      <c r="M1937" s="533">
        <f>TrialBalance!L320</f>
        <v>0</v>
      </c>
      <c r="N1937" s="491"/>
      <c r="O1937" s="553">
        <f>TrialBalance!N320</f>
        <v>0</v>
      </c>
      <c r="Q1937" s="469"/>
      <c r="R1937" s="512" t="str">
        <f t="shared" ref="R1937:R1970" si="83">IF(M1937+O1937=0,"DELETE"," ")</f>
        <v>DELETE</v>
      </c>
    </row>
    <row r="1938" spans="2:18" ht="31.5" customHeight="1" x14ac:dyDescent="0.45">
      <c r="B1938" s="563"/>
      <c r="C1938" s="450"/>
      <c r="D1938" s="449">
        <f>TrialBalance!C321</f>
        <v>0</v>
      </c>
      <c r="M1938" s="533">
        <f>TrialBalance!L321</f>
        <v>0</v>
      </c>
      <c r="N1938" s="491"/>
      <c r="O1938" s="553">
        <f>TrialBalance!N321</f>
        <v>0</v>
      </c>
      <c r="Q1938" s="469"/>
      <c r="R1938" s="512" t="str">
        <f t="shared" ref="R1938:R1939" si="84">IF(M1938+O1938=0,"DELETE"," ")</f>
        <v>DELETE</v>
      </c>
    </row>
    <row r="1939" spans="2:18" ht="31.5" customHeight="1" x14ac:dyDescent="0.45">
      <c r="B1939" s="563"/>
      <c r="C1939" s="450"/>
      <c r="D1939" s="449">
        <f>TrialBalance!C322</f>
        <v>0</v>
      </c>
      <c r="M1939" s="533">
        <f>TrialBalance!L322</f>
        <v>0</v>
      </c>
      <c r="N1939" s="491"/>
      <c r="O1939" s="553">
        <f>TrialBalance!N322</f>
        <v>0</v>
      </c>
      <c r="Q1939" s="469"/>
      <c r="R1939" s="512" t="str">
        <f t="shared" si="84"/>
        <v>DELETE</v>
      </c>
    </row>
    <row r="1940" spans="2:18" ht="31.5" customHeight="1" x14ac:dyDescent="0.45">
      <c r="B1940" s="563"/>
      <c r="C1940" s="450"/>
      <c r="D1940" s="449">
        <f>TrialBalance!C323</f>
        <v>0</v>
      </c>
      <c r="M1940" s="533">
        <f>TrialBalance!L323</f>
        <v>0</v>
      </c>
      <c r="N1940" s="491"/>
      <c r="O1940" s="553">
        <f>TrialBalance!N323</f>
        <v>0</v>
      </c>
      <c r="Q1940" s="469"/>
      <c r="R1940" s="512" t="str">
        <f t="shared" ref="R1940:R1945" si="85">IF(M1940+O1940=0,"DELETE"," ")</f>
        <v>DELETE</v>
      </c>
    </row>
    <row r="1941" spans="2:18" ht="31.5" customHeight="1" x14ac:dyDescent="0.45">
      <c r="B1941" s="563"/>
      <c r="C1941" s="450"/>
      <c r="D1941" s="449">
        <f>TrialBalance!C324</f>
        <v>0</v>
      </c>
      <c r="M1941" s="533">
        <f>TrialBalance!L324</f>
        <v>0</v>
      </c>
      <c r="N1941" s="491"/>
      <c r="O1941" s="553">
        <f>TrialBalance!N324</f>
        <v>0</v>
      </c>
      <c r="Q1941" s="469"/>
      <c r="R1941" s="512" t="str">
        <f t="shared" si="85"/>
        <v>DELETE</v>
      </c>
    </row>
    <row r="1942" spans="2:18" ht="31.5" customHeight="1" x14ac:dyDescent="0.45">
      <c r="B1942" s="563"/>
      <c r="C1942" s="450"/>
      <c r="D1942" s="449">
        <f>TrialBalance!C325</f>
        <v>0</v>
      </c>
      <c r="M1942" s="533">
        <f>TrialBalance!L325</f>
        <v>0</v>
      </c>
      <c r="N1942" s="491"/>
      <c r="O1942" s="553">
        <f>TrialBalance!N325</f>
        <v>0</v>
      </c>
      <c r="Q1942" s="469"/>
      <c r="R1942" s="512" t="str">
        <f t="shared" si="85"/>
        <v>DELETE</v>
      </c>
    </row>
    <row r="1943" spans="2:18" ht="31.5" customHeight="1" x14ac:dyDescent="0.45">
      <c r="B1943" s="563"/>
      <c r="C1943" s="450"/>
      <c r="D1943" s="449">
        <f>TrialBalance!C326</f>
        <v>0</v>
      </c>
      <c r="M1943" s="533">
        <f>TrialBalance!L326</f>
        <v>0</v>
      </c>
      <c r="N1943" s="491"/>
      <c r="O1943" s="553">
        <f>TrialBalance!N326</f>
        <v>0</v>
      </c>
      <c r="Q1943" s="469"/>
      <c r="R1943" s="512" t="str">
        <f t="shared" si="85"/>
        <v>DELETE</v>
      </c>
    </row>
    <row r="1944" spans="2:18" ht="31.5" customHeight="1" x14ac:dyDescent="0.45">
      <c r="B1944" s="563"/>
      <c r="C1944" s="450"/>
      <c r="D1944" s="449">
        <f>TrialBalance!C327</f>
        <v>0</v>
      </c>
      <c r="M1944" s="533">
        <f>TrialBalance!L327</f>
        <v>0</v>
      </c>
      <c r="N1944" s="491"/>
      <c r="O1944" s="553">
        <f>TrialBalance!N327</f>
        <v>0</v>
      </c>
      <c r="Q1944" s="469"/>
      <c r="R1944" s="512" t="str">
        <f t="shared" si="85"/>
        <v>DELETE</v>
      </c>
    </row>
    <row r="1945" spans="2:18" ht="31.5" customHeight="1" x14ac:dyDescent="0.45">
      <c r="B1945" s="563"/>
      <c r="C1945" s="450"/>
      <c r="D1945" s="449">
        <f>TrialBalance!C328</f>
        <v>0</v>
      </c>
      <c r="M1945" s="533">
        <f>TrialBalance!L328</f>
        <v>0</v>
      </c>
      <c r="N1945" s="491"/>
      <c r="O1945" s="553">
        <f>TrialBalance!N328</f>
        <v>0</v>
      </c>
      <c r="Q1945" s="469"/>
      <c r="R1945" s="512" t="str">
        <f t="shared" si="85"/>
        <v>DELETE</v>
      </c>
    </row>
    <row r="1946" spans="2:18" ht="31.5" customHeight="1" x14ac:dyDescent="0.45">
      <c r="B1946" s="563"/>
      <c r="C1946" s="450"/>
      <c r="D1946" s="449">
        <f>TrialBalance!C329</f>
        <v>0</v>
      </c>
      <c r="M1946" s="533">
        <f>TrialBalance!L329</f>
        <v>0</v>
      </c>
      <c r="N1946" s="491"/>
      <c r="O1946" s="553">
        <f>TrialBalance!N329</f>
        <v>0</v>
      </c>
      <c r="Q1946" s="469"/>
      <c r="R1946" s="512" t="str">
        <f t="shared" si="83"/>
        <v>DELETE</v>
      </c>
    </row>
    <row r="1947" spans="2:18" ht="31.5" customHeight="1" x14ac:dyDescent="0.45">
      <c r="B1947" s="563"/>
      <c r="C1947" s="450"/>
      <c r="D1947" s="449">
        <f>TrialBalance!C343</f>
        <v>0</v>
      </c>
      <c r="M1947" s="533">
        <f>TrialBalance!L343</f>
        <v>0</v>
      </c>
      <c r="N1947" s="491"/>
      <c r="O1947" s="553">
        <f>TrialBalance!N343</f>
        <v>0</v>
      </c>
      <c r="Q1947" s="469"/>
      <c r="R1947" s="512" t="str">
        <f t="shared" si="83"/>
        <v>DELETE</v>
      </c>
    </row>
    <row r="1948" spans="2:18" ht="31.5" customHeight="1" x14ac:dyDescent="0.45">
      <c r="B1948" s="563"/>
      <c r="C1948" s="450"/>
      <c r="D1948" s="449">
        <f>TrialBalance!C344</f>
        <v>0</v>
      </c>
      <c r="M1948" s="533">
        <f>TrialBalance!L344</f>
        <v>0</v>
      </c>
      <c r="N1948" s="491"/>
      <c r="O1948" s="553">
        <f>TrialBalance!N344</f>
        <v>0</v>
      </c>
      <c r="Q1948" s="469"/>
      <c r="R1948" s="512" t="str">
        <f t="shared" si="83"/>
        <v>DELETE</v>
      </c>
    </row>
    <row r="1949" spans="2:18" ht="31.5" customHeight="1" x14ac:dyDescent="0.45">
      <c r="B1949" s="563"/>
      <c r="C1949" s="450"/>
      <c r="D1949" s="449">
        <f>TrialBalance!C345</f>
        <v>0</v>
      </c>
      <c r="M1949" s="533">
        <f>TrialBalance!L345</f>
        <v>0</v>
      </c>
      <c r="N1949" s="491"/>
      <c r="O1949" s="553">
        <f>TrialBalance!N345</f>
        <v>0</v>
      </c>
      <c r="Q1949" s="469"/>
      <c r="R1949" s="512" t="str">
        <f t="shared" ref="R1949" si="86">IF(M1949+O1949=0,"DELETE"," ")</f>
        <v>DELETE</v>
      </c>
    </row>
    <row r="1950" spans="2:18" ht="31.5" customHeight="1" x14ac:dyDescent="0.45">
      <c r="B1950" s="563"/>
      <c r="C1950" s="450"/>
      <c r="D1950" s="449">
        <f>TrialBalance!C346</f>
        <v>0</v>
      </c>
      <c r="M1950" s="533">
        <f>TrialBalance!L346</f>
        <v>0</v>
      </c>
      <c r="N1950" s="491"/>
      <c r="O1950" s="553">
        <f>TrialBalance!N346</f>
        <v>0</v>
      </c>
      <c r="Q1950" s="469"/>
      <c r="R1950" s="512" t="str">
        <f t="shared" si="83"/>
        <v>DELETE</v>
      </c>
    </row>
    <row r="1951" spans="2:18" ht="9" customHeight="1" x14ac:dyDescent="0.45">
      <c r="B1951" s="563"/>
      <c r="C1951" s="450"/>
      <c r="M1951" s="534"/>
      <c r="N1951" s="473"/>
      <c r="O1951" s="554"/>
      <c r="Q1951" s="469"/>
      <c r="R1951" s="512" t="str">
        <f>R1934</f>
        <v>DELETE</v>
      </c>
    </row>
    <row r="1952" spans="2:18" ht="9" customHeight="1" x14ac:dyDescent="0.45">
      <c r="B1952" s="563"/>
      <c r="C1952" s="450"/>
      <c r="M1952" s="531"/>
      <c r="N1952" s="470"/>
      <c r="O1952" s="531"/>
      <c r="Q1952" s="469"/>
      <c r="R1952" s="512" t="str">
        <f>R1951</f>
        <v>DELETE</v>
      </c>
    </row>
    <row r="1953" spans="2:21" ht="31.5" customHeight="1" x14ac:dyDescent="0.45">
      <c r="B1953" s="563"/>
      <c r="C1953" s="450"/>
      <c r="D1953" s="449" t="str">
        <f>IF(COUNTIF(O1956:O1970,"&gt;0")&gt;1,"Interest free non - current receivables",IF(COUNTIF(M1956:M1970,"&gt;0")&gt;1,"Interest free non - current receivables","Interest free non - current receivable"))</f>
        <v>Interest free non - current receivable</v>
      </c>
      <c r="M1953" s="531">
        <f>SUM(M1955:M1971)</f>
        <v>0</v>
      </c>
      <c r="N1953" s="470"/>
      <c r="O1953" s="531">
        <f>SUM(O1955:O1971)</f>
        <v>0</v>
      </c>
      <c r="Q1953" s="469"/>
      <c r="R1953" s="512" t="str">
        <f>IF(M1953+O1953=0,"DELETE"," ")</f>
        <v>DELETE</v>
      </c>
      <c r="S1953" s="517">
        <f>M1953</f>
        <v>0</v>
      </c>
      <c r="U1953" s="517">
        <f>O1953</f>
        <v>0</v>
      </c>
    </row>
    <row r="1954" spans="2:21" ht="9" customHeight="1" x14ac:dyDescent="0.45">
      <c r="B1954" s="563"/>
      <c r="C1954" s="450"/>
      <c r="M1954" s="531"/>
      <c r="N1954" s="470"/>
      <c r="O1954" s="531"/>
      <c r="Q1954" s="469"/>
      <c r="R1954" s="512" t="str">
        <f>R1953</f>
        <v>DELETE</v>
      </c>
    </row>
    <row r="1955" spans="2:21" ht="9" customHeight="1" x14ac:dyDescent="0.45">
      <c r="B1955" s="563"/>
      <c r="C1955" s="450"/>
      <c r="M1955" s="532"/>
      <c r="N1955" s="471"/>
      <c r="O1955" s="552"/>
      <c r="Q1955" s="469"/>
      <c r="R1955" s="512" t="str">
        <f>R1954</f>
        <v>DELETE</v>
      </c>
    </row>
    <row r="1956" spans="2:21" ht="31.5" customHeight="1" x14ac:dyDescent="0.45">
      <c r="B1956" s="563"/>
      <c r="C1956" s="450"/>
      <c r="D1956" s="449">
        <f>TrialBalance!C331</f>
        <v>0</v>
      </c>
      <c r="M1956" s="533">
        <f>TrialBalance!L331</f>
        <v>0</v>
      </c>
      <c r="N1956" s="491"/>
      <c r="O1956" s="553">
        <f>TrialBalance!N331</f>
        <v>0</v>
      </c>
      <c r="Q1956" s="469"/>
      <c r="R1956" s="512" t="str">
        <f t="shared" si="83"/>
        <v>DELETE</v>
      </c>
    </row>
    <row r="1957" spans="2:21" ht="31.5" customHeight="1" x14ac:dyDescent="0.45">
      <c r="B1957" s="563"/>
      <c r="C1957" s="450"/>
      <c r="D1957" s="449">
        <f>TrialBalance!C332</f>
        <v>0</v>
      </c>
      <c r="M1957" s="533">
        <f>TrialBalance!L332</f>
        <v>0</v>
      </c>
      <c r="N1957" s="491"/>
      <c r="O1957" s="553">
        <f>TrialBalance!N332</f>
        <v>0</v>
      </c>
      <c r="Q1957" s="469"/>
      <c r="R1957" s="512" t="str">
        <f t="shared" ref="R1957" si="87">IF(M1957+O1957=0,"DELETE"," ")</f>
        <v>DELETE</v>
      </c>
    </row>
    <row r="1958" spans="2:21" ht="31.5" customHeight="1" x14ac:dyDescent="0.45">
      <c r="B1958" s="563"/>
      <c r="C1958" s="450"/>
      <c r="D1958" s="449">
        <f>TrialBalance!C333</f>
        <v>0</v>
      </c>
      <c r="M1958" s="533">
        <f>TrialBalance!L333</f>
        <v>0</v>
      </c>
      <c r="N1958" s="491"/>
      <c r="O1958" s="553">
        <f>TrialBalance!N333</f>
        <v>0</v>
      </c>
      <c r="Q1958" s="469"/>
      <c r="R1958" s="512" t="str">
        <f t="shared" si="83"/>
        <v>DELETE</v>
      </c>
    </row>
    <row r="1959" spans="2:21" ht="31.5" customHeight="1" x14ac:dyDescent="0.45">
      <c r="B1959" s="563"/>
      <c r="C1959" s="450"/>
      <c r="D1959" s="449">
        <f>TrialBalance!C334</f>
        <v>0</v>
      </c>
      <c r="M1959" s="533">
        <f>TrialBalance!L334</f>
        <v>0</v>
      </c>
      <c r="N1959" s="491"/>
      <c r="O1959" s="553">
        <f>TrialBalance!N334</f>
        <v>0</v>
      </c>
      <c r="Q1959" s="469"/>
      <c r="R1959" s="512" t="str">
        <f t="shared" ref="R1959:R1964" si="88">IF(M1959+O1959=0,"DELETE"," ")</f>
        <v>DELETE</v>
      </c>
    </row>
    <row r="1960" spans="2:21" ht="31.5" customHeight="1" x14ac:dyDescent="0.45">
      <c r="B1960" s="563"/>
      <c r="C1960" s="450"/>
      <c r="D1960" s="449">
        <f>TrialBalance!C335</f>
        <v>0</v>
      </c>
      <c r="M1960" s="533">
        <f>TrialBalance!L335</f>
        <v>0</v>
      </c>
      <c r="N1960" s="491"/>
      <c r="O1960" s="553">
        <f>TrialBalance!N335</f>
        <v>0</v>
      </c>
      <c r="Q1960" s="469"/>
      <c r="R1960" s="512" t="str">
        <f t="shared" si="88"/>
        <v>DELETE</v>
      </c>
    </row>
    <row r="1961" spans="2:21" ht="31.5" customHeight="1" x14ac:dyDescent="0.45">
      <c r="B1961" s="563"/>
      <c r="C1961" s="450"/>
      <c r="D1961" s="449">
        <f>TrialBalance!C336</f>
        <v>0</v>
      </c>
      <c r="M1961" s="533">
        <f>TrialBalance!L336</f>
        <v>0</v>
      </c>
      <c r="N1961" s="491"/>
      <c r="O1961" s="553">
        <f>TrialBalance!N336</f>
        <v>0</v>
      </c>
      <c r="Q1961" s="469"/>
      <c r="R1961" s="512" t="str">
        <f t="shared" si="88"/>
        <v>DELETE</v>
      </c>
    </row>
    <row r="1962" spans="2:21" ht="31.5" customHeight="1" x14ac:dyDescent="0.45">
      <c r="B1962" s="563"/>
      <c r="C1962" s="450"/>
      <c r="D1962" s="449">
        <f>TrialBalance!C337</f>
        <v>0</v>
      </c>
      <c r="M1962" s="533">
        <f>TrialBalance!L337</f>
        <v>0</v>
      </c>
      <c r="N1962" s="491"/>
      <c r="O1962" s="553">
        <f>TrialBalance!N337</f>
        <v>0</v>
      </c>
      <c r="Q1962" s="469"/>
      <c r="R1962" s="512" t="str">
        <f t="shared" si="88"/>
        <v>DELETE</v>
      </c>
    </row>
    <row r="1963" spans="2:21" ht="31.5" customHeight="1" x14ac:dyDescent="0.45">
      <c r="B1963" s="563"/>
      <c r="C1963" s="450"/>
      <c r="D1963" s="449">
        <f>TrialBalance!C338</f>
        <v>0</v>
      </c>
      <c r="M1963" s="533">
        <f>TrialBalance!L338</f>
        <v>0</v>
      </c>
      <c r="N1963" s="491"/>
      <c r="O1963" s="553">
        <f>TrialBalance!N338</f>
        <v>0</v>
      </c>
      <c r="Q1963" s="469"/>
      <c r="R1963" s="512" t="str">
        <f t="shared" si="88"/>
        <v>DELETE</v>
      </c>
    </row>
    <row r="1964" spans="2:21" ht="31.5" customHeight="1" x14ac:dyDescent="0.45">
      <c r="B1964" s="563"/>
      <c r="C1964" s="450"/>
      <c r="D1964" s="449">
        <f>TrialBalance!C339</f>
        <v>0</v>
      </c>
      <c r="M1964" s="533">
        <f>TrialBalance!L339</f>
        <v>0</v>
      </c>
      <c r="N1964" s="491"/>
      <c r="O1964" s="553">
        <f>TrialBalance!N339</f>
        <v>0</v>
      </c>
      <c r="Q1964" s="469"/>
      <c r="R1964" s="512" t="str">
        <f t="shared" si="88"/>
        <v>DELETE</v>
      </c>
    </row>
    <row r="1965" spans="2:21" ht="31.5" customHeight="1" x14ac:dyDescent="0.45">
      <c r="B1965" s="563"/>
      <c r="C1965" s="450"/>
      <c r="D1965" s="449">
        <f>TrialBalance!C340</f>
        <v>0</v>
      </c>
      <c r="M1965" s="533">
        <f>TrialBalance!L340</f>
        <v>0</v>
      </c>
      <c r="N1965" s="491"/>
      <c r="O1965" s="553">
        <f>TrialBalance!N340</f>
        <v>0</v>
      </c>
      <c r="Q1965" s="469"/>
      <c r="R1965" s="512" t="str">
        <f t="shared" si="83"/>
        <v>DELETE</v>
      </c>
    </row>
    <row r="1966" spans="2:21" ht="31.5" customHeight="1" x14ac:dyDescent="0.45">
      <c r="B1966" s="563"/>
      <c r="C1966" s="450"/>
      <c r="D1966" s="449">
        <f>TrialBalance!C348</f>
        <v>0</v>
      </c>
      <c r="M1966" s="533">
        <f>TrialBalance!L348</f>
        <v>0</v>
      </c>
      <c r="N1966" s="491"/>
      <c r="O1966" s="553">
        <f>TrialBalance!N348</f>
        <v>0</v>
      </c>
      <c r="Q1966" s="469"/>
      <c r="R1966" s="512" t="str">
        <f t="shared" si="83"/>
        <v>DELETE</v>
      </c>
    </row>
    <row r="1967" spans="2:21" ht="31.5" customHeight="1" x14ac:dyDescent="0.45">
      <c r="B1967" s="563"/>
      <c r="C1967" s="450"/>
      <c r="D1967" s="449">
        <f>TrialBalance!C349</f>
        <v>0</v>
      </c>
      <c r="M1967" s="533">
        <f>TrialBalance!L349</f>
        <v>0</v>
      </c>
      <c r="N1967" s="491"/>
      <c r="O1967" s="553">
        <f>TrialBalance!N349</f>
        <v>0</v>
      </c>
      <c r="Q1967" s="469"/>
      <c r="R1967" s="512" t="str">
        <f t="shared" si="83"/>
        <v>DELETE</v>
      </c>
    </row>
    <row r="1968" spans="2:21" ht="31.5" customHeight="1" x14ac:dyDescent="0.45">
      <c r="B1968" s="563"/>
      <c r="C1968" s="450"/>
      <c r="D1968" s="449">
        <f>TrialBalance!C350</f>
        <v>0</v>
      </c>
      <c r="M1968" s="533">
        <f>TrialBalance!L350</f>
        <v>0</v>
      </c>
      <c r="N1968" s="491"/>
      <c r="O1968" s="553">
        <f>TrialBalance!N350</f>
        <v>0</v>
      </c>
      <c r="Q1968" s="469"/>
      <c r="R1968" s="512" t="str">
        <f t="shared" si="83"/>
        <v>DELETE</v>
      </c>
    </row>
    <row r="1969" spans="2:18" ht="31.5" customHeight="1" x14ac:dyDescent="0.45">
      <c r="B1969" s="563"/>
      <c r="C1969" s="450"/>
      <c r="D1969" s="449">
        <f>TrialBalance!C351</f>
        <v>0</v>
      </c>
      <c r="M1969" s="533">
        <f>TrialBalance!L351</f>
        <v>0</v>
      </c>
      <c r="N1969" s="491"/>
      <c r="O1969" s="553">
        <f>TrialBalance!N351</f>
        <v>0</v>
      </c>
      <c r="Q1969" s="469"/>
      <c r="R1969" s="512" t="str">
        <f t="shared" si="83"/>
        <v>DELETE</v>
      </c>
    </row>
    <row r="1970" spans="2:18" ht="31.5" customHeight="1" x14ac:dyDescent="0.45">
      <c r="B1970" s="563"/>
      <c r="C1970" s="450"/>
      <c r="D1970" s="449">
        <f>TrialBalance!C352</f>
        <v>0</v>
      </c>
      <c r="M1970" s="533">
        <f>TrialBalance!L352</f>
        <v>0</v>
      </c>
      <c r="N1970" s="491"/>
      <c r="O1970" s="553">
        <f>TrialBalance!N352</f>
        <v>0</v>
      </c>
      <c r="Q1970" s="469"/>
      <c r="R1970" s="512" t="str">
        <f t="shared" si="83"/>
        <v>DELETE</v>
      </c>
    </row>
    <row r="1971" spans="2:18" ht="9" customHeight="1" x14ac:dyDescent="0.45">
      <c r="B1971" s="563"/>
      <c r="C1971" s="450"/>
      <c r="M1971" s="534"/>
      <c r="N1971" s="473"/>
      <c r="O1971" s="554"/>
      <c r="Q1971" s="469"/>
      <c r="R1971" s="512" t="str">
        <f>R1953</f>
        <v>DELETE</v>
      </c>
    </row>
    <row r="1972" spans="2:18" ht="9" customHeight="1" x14ac:dyDescent="0.45">
      <c r="B1972" s="563"/>
      <c r="C1972" s="450"/>
      <c r="M1972" s="535"/>
      <c r="N1972" s="473"/>
      <c r="O1972" s="535"/>
      <c r="Q1972" s="469"/>
      <c r="R1972" s="512" t="str">
        <f t="shared" ref="R1972" si="89">R$1974</f>
        <v>DELETE</v>
      </c>
    </row>
    <row r="1973" spans="2:18" ht="9" customHeight="1" x14ac:dyDescent="0.45">
      <c r="B1973" s="563"/>
      <c r="C1973" s="450"/>
      <c r="M1973" s="531"/>
      <c r="N1973" s="470"/>
      <c r="O1973" s="531"/>
      <c r="Q1973" s="469"/>
      <c r="R1973" s="512" t="str">
        <f>R$1974</f>
        <v>DELETE</v>
      </c>
    </row>
    <row r="1974" spans="2:18" ht="31.5" customHeight="1" x14ac:dyDescent="0.45">
      <c r="B1974" s="563"/>
      <c r="C1974" s="450"/>
      <c r="M1974" s="531">
        <f>SUM(S1934:S1972)</f>
        <v>0</v>
      </c>
      <c r="N1974" s="470"/>
      <c r="O1974" s="531">
        <f>SUM(U1934:U1972)</f>
        <v>0</v>
      </c>
      <c r="Q1974" s="469"/>
      <c r="R1974" s="512" t="str">
        <f>IF(M1974+O1974=0,"DELETE"," ")</f>
        <v>DELETE</v>
      </c>
    </row>
    <row r="1975" spans="2:18" ht="9" customHeight="1" thickBot="1" x14ac:dyDescent="0.5">
      <c r="B1975" s="563"/>
      <c r="C1975" s="450"/>
      <c r="M1975" s="536"/>
      <c r="N1975" s="474"/>
      <c r="O1975" s="536"/>
      <c r="Q1975" s="469"/>
      <c r="R1975" s="512" t="str">
        <f t="shared" ref="R1975:R1980" si="90">R$1974</f>
        <v>DELETE</v>
      </c>
    </row>
    <row r="1976" spans="2:18" ht="9" customHeight="1" thickTop="1" x14ac:dyDescent="0.45">
      <c r="B1976" s="563"/>
      <c r="C1976" s="450"/>
      <c r="M1976" s="548"/>
      <c r="N1976" s="491"/>
      <c r="O1976" s="548"/>
      <c r="Q1976" s="469"/>
      <c r="R1976" s="512" t="str">
        <f t="shared" si="90"/>
        <v>DELETE</v>
      </c>
    </row>
    <row r="1977" spans="2:18" ht="31.5" customHeight="1" x14ac:dyDescent="0.45">
      <c r="B1977" s="563"/>
      <c r="C1977" s="450"/>
      <c r="M1977" s="531"/>
      <c r="N1977" s="470"/>
      <c r="O1977" s="531"/>
      <c r="Q1977" s="469"/>
      <c r="R1977" s="512" t="str">
        <f t="shared" si="90"/>
        <v>DELETE</v>
      </c>
    </row>
    <row r="1978" spans="2:18" ht="31.5" customHeight="1" x14ac:dyDescent="0.45">
      <c r="B1978" s="563"/>
      <c r="C1978" s="450"/>
      <c r="M1978" s="531"/>
      <c r="N1978" s="470"/>
      <c r="O1978" s="531"/>
      <c r="Q1978" s="469"/>
      <c r="R1978" s="512" t="str">
        <f t="shared" si="90"/>
        <v>DELETE</v>
      </c>
    </row>
    <row r="1979" spans="2:18" ht="31.5" customHeight="1" x14ac:dyDescent="0.45">
      <c r="B1979" s="564"/>
      <c r="C1979" s="502"/>
      <c r="D1979" s="461"/>
      <c r="E1979" s="461"/>
      <c r="F1979" s="461"/>
      <c r="G1979" s="461"/>
      <c r="H1979" s="461"/>
      <c r="I1979" s="461"/>
      <c r="J1979" s="461"/>
      <c r="K1979" s="461"/>
      <c r="L1979" s="461"/>
      <c r="M1979" s="535"/>
      <c r="N1979" s="473"/>
      <c r="O1979" s="535"/>
      <c r="P1979" s="631"/>
      <c r="Q1979" s="479"/>
      <c r="R1979" s="512" t="str">
        <f t="shared" si="90"/>
        <v>DELETE</v>
      </c>
    </row>
    <row r="1980" spans="2:18" ht="31.5" customHeight="1" x14ac:dyDescent="0.45">
      <c r="B1980" s="527"/>
      <c r="M1980" s="635"/>
      <c r="N1980" s="621"/>
      <c r="O1980" s="635"/>
      <c r="R1980" s="512" t="str">
        <f t="shared" si="90"/>
        <v>DELETE</v>
      </c>
    </row>
    <row r="1981" spans="2:18" ht="31.5" customHeight="1" x14ac:dyDescent="0.45">
      <c r="B1981" s="527"/>
      <c r="M1981" s="635"/>
      <c r="N1981" s="621"/>
      <c r="O1981" s="635"/>
      <c r="R1981" s="512" t="str">
        <f>R$1999</f>
        <v>DELETE</v>
      </c>
    </row>
    <row r="1982" spans="2:18" ht="31.5" customHeight="1" x14ac:dyDescent="0.45">
      <c r="B1982" s="527"/>
      <c r="D1982" s="450" t="str">
        <f>Criteria!E9</f>
        <v>ABC COMPANY (PROPRIETARY) LIMITED</v>
      </c>
      <c r="M1982" s="635"/>
      <c r="N1982" s="621"/>
      <c r="O1982" s="531" t="s">
        <v>121</v>
      </c>
      <c r="Q1982" s="451">
        <f>MAX($Q$114:Q1981)+1</f>
        <v>46</v>
      </c>
      <c r="R1982" s="512" t="str">
        <f t="shared" ref="R1982:R1992" si="91">R$1999</f>
        <v>DELETE</v>
      </c>
    </row>
    <row r="1983" spans="2:18" ht="31.5" customHeight="1" x14ac:dyDescent="0.45">
      <c r="B1983" s="527"/>
      <c r="D1983" s="450" t="str">
        <f>Criteria!E10</f>
        <v>T/A SEAFRONT HOTEL, SEAFRONT RESTAURANT AND RENTAL PROPERTIES</v>
      </c>
      <c r="M1983" s="635"/>
      <c r="N1983" s="621"/>
      <c r="O1983" s="635"/>
      <c r="R1983" s="512" t="str">
        <f>IF(R$1999="DELETE","DELETE",IF(D1983=0,"DELETE"," "))</f>
        <v>DELETE</v>
      </c>
    </row>
    <row r="1984" spans="2:18" ht="31.5" customHeight="1" x14ac:dyDescent="0.45">
      <c r="B1984" s="527"/>
      <c r="M1984" s="635"/>
      <c r="N1984" s="621"/>
      <c r="O1984" s="635"/>
      <c r="R1984" s="512" t="str">
        <f t="shared" si="91"/>
        <v>DELETE</v>
      </c>
    </row>
    <row r="1985" spans="2:18" ht="31.5" customHeight="1" x14ac:dyDescent="0.45">
      <c r="B1985" s="527"/>
      <c r="D1985" s="450" t="s">
        <v>451</v>
      </c>
      <c r="M1985" s="635"/>
      <c r="N1985" s="621"/>
      <c r="O1985" s="635"/>
      <c r="R1985" s="512" t="str">
        <f t="shared" si="91"/>
        <v>DELETE</v>
      </c>
    </row>
    <row r="1986" spans="2:18" ht="31.5" customHeight="1" x14ac:dyDescent="0.45">
      <c r="B1986" s="527"/>
      <c r="D1986" s="450" t="str">
        <f>Criteria!E20</f>
        <v>29 FEBRUARY 2024</v>
      </c>
      <c r="J1986" s="449" t="s">
        <v>303</v>
      </c>
      <c r="M1986" s="635"/>
      <c r="N1986" s="621"/>
      <c r="O1986" s="635"/>
      <c r="R1986" s="512" t="str">
        <f t="shared" si="91"/>
        <v>DELETE</v>
      </c>
    </row>
    <row r="1987" spans="2:18" ht="31.5" customHeight="1" x14ac:dyDescent="0.45">
      <c r="B1987" s="527"/>
      <c r="D1987" s="450"/>
      <c r="M1987" s="635"/>
      <c r="N1987" s="621"/>
      <c r="O1987" s="635"/>
      <c r="R1987" s="512" t="str">
        <f t="shared" si="91"/>
        <v>DELETE</v>
      </c>
    </row>
    <row r="1988" spans="2:18" ht="31.5" customHeight="1" x14ac:dyDescent="0.45">
      <c r="B1988" s="565"/>
      <c r="C1988" s="503"/>
      <c r="D1988" s="466"/>
      <c r="E1988" s="466"/>
      <c r="F1988" s="466"/>
      <c r="G1988" s="466"/>
      <c r="H1988" s="466"/>
      <c r="I1988" s="466"/>
      <c r="J1988" s="466"/>
      <c r="K1988" s="466"/>
      <c r="L1988" s="466"/>
      <c r="M1988" s="546"/>
      <c r="N1988" s="471"/>
      <c r="O1988" s="546"/>
      <c r="P1988" s="643"/>
      <c r="Q1988" s="467"/>
      <c r="R1988" s="512" t="str">
        <f t="shared" si="91"/>
        <v>DELETE</v>
      </c>
    </row>
    <row r="1989" spans="2:18" ht="31.5" customHeight="1" x14ac:dyDescent="0.45">
      <c r="B1989" s="563"/>
      <c r="C1989" s="450"/>
      <c r="M1989" s="525">
        <f>Criteria!E22</f>
        <v>2024</v>
      </c>
      <c r="N1989" s="458"/>
      <c r="O1989" s="525">
        <f>Criteria!E27</f>
        <v>2023</v>
      </c>
      <c r="Q1989" s="469"/>
      <c r="R1989" s="512" t="str">
        <f t="shared" si="91"/>
        <v>DELETE</v>
      </c>
    </row>
    <row r="1990" spans="2:18" ht="31.5" customHeight="1" x14ac:dyDescent="0.45">
      <c r="B1990" s="563"/>
      <c r="C1990" s="450"/>
      <c r="M1990" s="531"/>
      <c r="N1990" s="470"/>
      <c r="O1990" s="531"/>
      <c r="Q1990" s="469"/>
      <c r="R1990" s="512" t="str">
        <f t="shared" si="91"/>
        <v>DELETE</v>
      </c>
    </row>
    <row r="1991" spans="2:18" ht="31.5" customHeight="1" x14ac:dyDescent="0.45">
      <c r="B1991" s="563">
        <f>MAX(B$802:B1990)+1</f>
        <v>17</v>
      </c>
      <c r="C1991" s="450" t="s">
        <v>1316</v>
      </c>
      <c r="M1991" s="531"/>
      <c r="N1991" s="470"/>
      <c r="O1991" s="531"/>
      <c r="Q1991" s="469"/>
      <c r="R1991" s="512" t="str">
        <f t="shared" si="91"/>
        <v>DELETE</v>
      </c>
    </row>
    <row r="1992" spans="2:18" ht="31.5" customHeight="1" x14ac:dyDescent="0.45">
      <c r="B1992" s="563"/>
      <c r="C1992" s="450"/>
      <c r="D1992" s="449" t="s">
        <v>1317</v>
      </c>
      <c r="M1992" s="531"/>
      <c r="N1992" s="470"/>
      <c r="O1992" s="531"/>
      <c r="Q1992" s="469"/>
      <c r="R1992" s="512" t="str">
        <f t="shared" si="91"/>
        <v>DELETE</v>
      </c>
    </row>
    <row r="1993" spans="2:18" ht="31.5" customHeight="1" x14ac:dyDescent="0.45">
      <c r="B1993" s="563"/>
      <c r="C1993" s="450"/>
      <c r="D1993" s="449" t="s">
        <v>651</v>
      </c>
      <c r="M1993" s="531">
        <f>TrialBalance!L354</f>
        <v>0</v>
      </c>
      <c r="N1993" s="470"/>
      <c r="O1993" s="531">
        <f>TrialBalance!N354</f>
        <v>0</v>
      </c>
      <c r="Q1993" s="469"/>
      <c r="R1993" s="512" t="str">
        <f>IF(M1993+O1993=0,"DELETE"," ")</f>
        <v>DELETE</v>
      </c>
    </row>
    <row r="1994" spans="2:18" ht="31.5" customHeight="1" x14ac:dyDescent="0.45">
      <c r="B1994" s="563"/>
      <c r="C1994" s="450"/>
      <c r="D1994" s="449" t="s">
        <v>652</v>
      </c>
      <c r="M1994" s="531">
        <f>TrialBalance!L355</f>
        <v>0</v>
      </c>
      <c r="N1994" s="470"/>
      <c r="O1994" s="531">
        <f>TrialBalance!N355</f>
        <v>0</v>
      </c>
      <c r="Q1994" s="469"/>
      <c r="R1994" s="512" t="str">
        <f>IF(M1994+O1994=0,"DELETE"," ")</f>
        <v>DELETE</v>
      </c>
    </row>
    <row r="1995" spans="2:18" ht="31.5" customHeight="1" x14ac:dyDescent="0.45">
      <c r="B1995" s="563"/>
      <c r="C1995" s="450"/>
      <c r="D1995" s="449" t="s">
        <v>653</v>
      </c>
      <c r="M1995" s="531">
        <f>TrialBalance!L356</f>
        <v>0</v>
      </c>
      <c r="N1995" s="470"/>
      <c r="O1995" s="531">
        <f>TrialBalance!N356</f>
        <v>0</v>
      </c>
      <c r="Q1995" s="469"/>
      <c r="R1995" s="512" t="str">
        <f>IF(M1995+O1995=0,"DELETE"," ")</f>
        <v>DELETE</v>
      </c>
    </row>
    <row r="1996" spans="2:18" ht="31.5" customHeight="1" x14ac:dyDescent="0.45">
      <c r="B1996" s="563"/>
      <c r="C1996" s="450"/>
      <c r="D1996" s="449" t="s">
        <v>654</v>
      </c>
      <c r="M1996" s="531">
        <f>TrialBalance!L357</f>
        <v>0</v>
      </c>
      <c r="N1996" s="470"/>
      <c r="O1996" s="531">
        <f>TrialBalance!N357</f>
        <v>0</v>
      </c>
      <c r="Q1996" s="469"/>
      <c r="R1996" s="512" t="str">
        <f>IF(M1996+O1996=0,"DELETE"," ")</f>
        <v>DELETE</v>
      </c>
    </row>
    <row r="1997" spans="2:18" ht="9" customHeight="1" x14ac:dyDescent="0.45">
      <c r="B1997" s="563"/>
      <c r="C1997" s="450"/>
      <c r="M1997" s="535"/>
      <c r="N1997" s="473"/>
      <c r="O1997" s="535"/>
      <c r="Q1997" s="469"/>
      <c r="R1997" s="512" t="str">
        <f t="shared" ref="R1997:R2005" si="92">R$1999</f>
        <v>DELETE</v>
      </c>
    </row>
    <row r="1998" spans="2:18" ht="9" customHeight="1" x14ac:dyDescent="0.45">
      <c r="B1998" s="563"/>
      <c r="C1998" s="450"/>
      <c r="M1998" s="531"/>
      <c r="N1998" s="470"/>
      <c r="O1998" s="531"/>
      <c r="Q1998" s="469"/>
      <c r="R1998" s="512" t="str">
        <f t="shared" si="92"/>
        <v>DELETE</v>
      </c>
    </row>
    <row r="1999" spans="2:18" ht="31.5" customHeight="1" x14ac:dyDescent="0.45">
      <c r="B1999" s="563"/>
      <c r="C1999" s="450"/>
      <c r="M1999" s="531">
        <f>SUM(M1993:M1998)</f>
        <v>0</v>
      </c>
      <c r="N1999" s="470"/>
      <c r="O1999" s="531">
        <f>SUM(O1993:O1998)</f>
        <v>0</v>
      </c>
      <c r="Q1999" s="469"/>
      <c r="R1999" s="512" t="str">
        <f>IF(M1999+O1999=0,"DELETE"," ")</f>
        <v>DELETE</v>
      </c>
    </row>
    <row r="2000" spans="2:18" ht="9" customHeight="1" thickBot="1" x14ac:dyDescent="0.5">
      <c r="B2000" s="563"/>
      <c r="C2000" s="450"/>
      <c r="M2000" s="536"/>
      <c r="N2000" s="474"/>
      <c r="O2000" s="536"/>
      <c r="Q2000" s="469"/>
      <c r="R2000" s="512" t="str">
        <f t="shared" si="92"/>
        <v>DELETE</v>
      </c>
    </row>
    <row r="2001" spans="2:18" ht="9" customHeight="1" thickTop="1" x14ac:dyDescent="0.45">
      <c r="B2001" s="563"/>
      <c r="C2001" s="450"/>
      <c r="M2001" s="548"/>
      <c r="N2001" s="491"/>
      <c r="O2001" s="548"/>
      <c r="Q2001" s="469"/>
      <c r="R2001" s="512" t="str">
        <f t="shared" si="92"/>
        <v>DELETE</v>
      </c>
    </row>
    <row r="2002" spans="2:18" ht="31.5" customHeight="1" x14ac:dyDescent="0.45">
      <c r="B2002" s="563"/>
      <c r="C2002" s="450"/>
      <c r="M2002" s="531"/>
      <c r="N2002" s="470"/>
      <c r="O2002" s="531"/>
      <c r="Q2002" s="469"/>
      <c r="R2002" s="512" t="str">
        <f t="shared" si="92"/>
        <v>DELETE</v>
      </c>
    </row>
    <row r="2003" spans="2:18" ht="31.5" customHeight="1" x14ac:dyDescent="0.45">
      <c r="B2003" s="563"/>
      <c r="C2003" s="450"/>
      <c r="M2003" s="531"/>
      <c r="N2003" s="470"/>
      <c r="O2003" s="531"/>
      <c r="Q2003" s="469"/>
      <c r="R2003" s="512" t="str">
        <f t="shared" si="92"/>
        <v>DELETE</v>
      </c>
    </row>
    <row r="2004" spans="2:18" ht="31.5" customHeight="1" x14ac:dyDescent="0.45">
      <c r="B2004" s="564"/>
      <c r="C2004" s="502"/>
      <c r="D2004" s="461"/>
      <c r="E2004" s="461"/>
      <c r="F2004" s="461"/>
      <c r="G2004" s="461"/>
      <c r="H2004" s="461"/>
      <c r="I2004" s="461"/>
      <c r="J2004" s="461"/>
      <c r="K2004" s="461"/>
      <c r="L2004" s="461"/>
      <c r="M2004" s="535"/>
      <c r="N2004" s="473"/>
      <c r="O2004" s="535"/>
      <c r="P2004" s="631"/>
      <c r="Q2004" s="479"/>
      <c r="R2004" s="512" t="str">
        <f t="shared" si="92"/>
        <v>DELETE</v>
      </c>
    </row>
    <row r="2005" spans="2:18" ht="31.5" customHeight="1" x14ac:dyDescent="0.45">
      <c r="B2005" s="526"/>
      <c r="C2005" s="450"/>
      <c r="M2005" s="531"/>
      <c r="N2005" s="470"/>
      <c r="O2005" s="531"/>
      <c r="R2005" s="512" t="str">
        <f t="shared" si="92"/>
        <v>DELETE</v>
      </c>
    </row>
    <row r="2006" spans="2:18" ht="31.5" customHeight="1" x14ac:dyDescent="0.45">
      <c r="B2006" s="527"/>
      <c r="M2006" s="635"/>
      <c r="N2006" s="621"/>
      <c r="O2006" s="635"/>
      <c r="R2006" s="512" t="str">
        <f>R$2029</f>
        <v>DELETE</v>
      </c>
    </row>
    <row r="2007" spans="2:18" ht="31.5" customHeight="1" x14ac:dyDescent="0.45">
      <c r="B2007" s="527"/>
      <c r="D2007" s="450" t="str">
        <f>Criteria!E9</f>
        <v>ABC COMPANY (PROPRIETARY) LIMITED</v>
      </c>
      <c r="M2007" s="635"/>
      <c r="N2007" s="621"/>
      <c r="O2007" s="531" t="s">
        <v>121</v>
      </c>
      <c r="Q2007" s="451">
        <f>MAX($Q$114:Q2006)+1</f>
        <v>47</v>
      </c>
      <c r="R2007" s="512" t="str">
        <f t="shared" ref="R2007:R2016" si="93">R$2029</f>
        <v>DELETE</v>
      </c>
    </row>
    <row r="2008" spans="2:18" ht="31.5" customHeight="1" x14ac:dyDescent="0.45">
      <c r="B2008" s="527"/>
      <c r="D2008" s="450" t="str">
        <f>Criteria!E10</f>
        <v>T/A SEAFRONT HOTEL, SEAFRONT RESTAURANT AND RENTAL PROPERTIES</v>
      </c>
      <c r="M2008" s="635"/>
      <c r="N2008" s="621"/>
      <c r="O2008" s="635"/>
      <c r="R2008" s="512" t="str">
        <f>IF(R$2029="DELETE","DELETE",IF(D2008=0,"DELETE"," "))</f>
        <v>DELETE</v>
      </c>
    </row>
    <row r="2009" spans="2:18" ht="31.5" customHeight="1" x14ac:dyDescent="0.45">
      <c r="B2009" s="527"/>
      <c r="M2009" s="635"/>
      <c r="N2009" s="621"/>
      <c r="O2009" s="635"/>
      <c r="R2009" s="512" t="str">
        <f t="shared" si="93"/>
        <v>DELETE</v>
      </c>
    </row>
    <row r="2010" spans="2:18" ht="31.5" customHeight="1" x14ac:dyDescent="0.45">
      <c r="B2010" s="527"/>
      <c r="D2010" s="450" t="s">
        <v>451</v>
      </c>
      <c r="M2010" s="635"/>
      <c r="N2010" s="621"/>
      <c r="O2010" s="635"/>
      <c r="R2010" s="512" t="str">
        <f t="shared" si="93"/>
        <v>DELETE</v>
      </c>
    </row>
    <row r="2011" spans="2:18" ht="31.5" customHeight="1" x14ac:dyDescent="0.45">
      <c r="B2011" s="527"/>
      <c r="D2011" s="450" t="str">
        <f>Criteria!E20</f>
        <v>29 FEBRUARY 2024</v>
      </c>
      <c r="J2011" s="449" t="s">
        <v>303</v>
      </c>
      <c r="M2011" s="635"/>
      <c r="N2011" s="621"/>
      <c r="O2011" s="635"/>
      <c r="R2011" s="512" t="str">
        <f t="shared" si="93"/>
        <v>DELETE</v>
      </c>
    </row>
    <row r="2012" spans="2:18" ht="31.5" customHeight="1" x14ac:dyDescent="0.45">
      <c r="B2012" s="527"/>
      <c r="M2012" s="640"/>
      <c r="N2012" s="646"/>
      <c r="O2012" s="640"/>
      <c r="R2012" s="512" t="str">
        <f t="shared" si="93"/>
        <v>DELETE</v>
      </c>
    </row>
    <row r="2013" spans="2:18" ht="31.5" customHeight="1" x14ac:dyDescent="0.45">
      <c r="B2013" s="566"/>
      <c r="C2013" s="466"/>
      <c r="D2013" s="466"/>
      <c r="E2013" s="466"/>
      <c r="F2013" s="466"/>
      <c r="G2013" s="466"/>
      <c r="H2013" s="466"/>
      <c r="I2013" s="466"/>
      <c r="J2013" s="466"/>
      <c r="K2013" s="466"/>
      <c r="L2013" s="466"/>
      <c r="M2013" s="648"/>
      <c r="N2013" s="649"/>
      <c r="O2013" s="648"/>
      <c r="P2013" s="643"/>
      <c r="Q2013" s="467"/>
      <c r="R2013" s="512" t="str">
        <f t="shared" si="93"/>
        <v>DELETE</v>
      </c>
    </row>
    <row r="2014" spans="2:18" ht="31.5" customHeight="1" x14ac:dyDescent="0.45">
      <c r="B2014" s="582"/>
      <c r="M2014" s="525">
        <f>Criteria!E22</f>
        <v>2024</v>
      </c>
      <c r="N2014" s="458"/>
      <c r="O2014" s="525">
        <f>Criteria!E27</f>
        <v>2023</v>
      </c>
      <c r="Q2014" s="469"/>
      <c r="R2014" s="512" t="str">
        <f t="shared" si="93"/>
        <v>DELETE</v>
      </c>
    </row>
    <row r="2015" spans="2:18" ht="31.5" customHeight="1" x14ac:dyDescent="0.45">
      <c r="B2015" s="563"/>
      <c r="C2015" s="450"/>
      <c r="M2015" s="531"/>
      <c r="N2015" s="470"/>
      <c r="O2015" s="531"/>
      <c r="Q2015" s="469"/>
      <c r="R2015" s="512" t="str">
        <f t="shared" si="93"/>
        <v>DELETE</v>
      </c>
    </row>
    <row r="2016" spans="2:18" ht="31.5" customHeight="1" x14ac:dyDescent="0.45">
      <c r="B2016" s="563">
        <f>MAX(B$802:B2015)+1</f>
        <v>18</v>
      </c>
      <c r="C2016" s="450" t="s">
        <v>930</v>
      </c>
      <c r="M2016" s="531"/>
      <c r="N2016" s="470"/>
      <c r="O2016" s="531"/>
      <c r="Q2016" s="469"/>
      <c r="R2016" s="512" t="str">
        <f t="shared" si="93"/>
        <v>DELETE</v>
      </c>
    </row>
    <row r="2017" spans="2:24" ht="31.5" customHeight="1" x14ac:dyDescent="0.45">
      <c r="B2017" s="563"/>
      <c r="C2017" s="450"/>
      <c r="D2017" s="449" t="s">
        <v>655</v>
      </c>
      <c r="M2017" s="531">
        <f>TrialBalance!L359</f>
        <v>0</v>
      </c>
      <c r="N2017" s="470"/>
      <c r="O2017" s="531">
        <f>TrialBalance!N359</f>
        <v>0</v>
      </c>
      <c r="Q2017" s="469"/>
      <c r="R2017" s="512" t="str">
        <f>IF(M2017+O2017=0,"DELETE"," ")</f>
        <v>DELETE</v>
      </c>
      <c r="S2017" s="518">
        <f>M2017</f>
        <v>0</v>
      </c>
      <c r="T2017" s="518"/>
      <c r="U2017" s="518">
        <f>O2017</f>
        <v>0</v>
      </c>
      <c r="V2017" s="518"/>
      <c r="W2017" s="518"/>
      <c r="X2017" s="518"/>
    </row>
    <row r="2018" spans="2:24" ht="31.5" customHeight="1" x14ac:dyDescent="0.45">
      <c r="B2018" s="563"/>
      <c r="C2018" s="450"/>
      <c r="D2018" s="449" t="s">
        <v>765</v>
      </c>
      <c r="M2018" s="531">
        <f>TrialBalance!L360</f>
        <v>0</v>
      </c>
      <c r="N2018" s="470"/>
      <c r="O2018" s="531">
        <f>TrialBalance!N360</f>
        <v>0</v>
      </c>
      <c r="Q2018" s="469"/>
      <c r="R2018" s="512" t="str">
        <f>IF(M2018+O2018=0,"DELETE"," ")</f>
        <v>DELETE</v>
      </c>
      <c r="S2018" s="518">
        <f>M2018</f>
        <v>0</v>
      </c>
      <c r="T2018" s="518"/>
      <c r="U2018" s="518">
        <f>O2018</f>
        <v>0</v>
      </c>
      <c r="V2018" s="518"/>
      <c r="W2018" s="518"/>
      <c r="X2018" s="518"/>
    </row>
    <row r="2019" spans="2:24" ht="9" customHeight="1" x14ac:dyDescent="0.45">
      <c r="B2019" s="563"/>
      <c r="C2019" s="450"/>
      <c r="M2019" s="535"/>
      <c r="N2019" s="473"/>
      <c r="O2019" s="535"/>
      <c r="Q2019" s="469"/>
      <c r="R2019" s="512" t="str">
        <f>R2018</f>
        <v>DELETE</v>
      </c>
    </row>
    <row r="2020" spans="2:24" ht="10.5" customHeight="1" x14ac:dyDescent="0.45">
      <c r="B2020" s="563"/>
      <c r="C2020" s="450"/>
      <c r="M2020" s="531"/>
      <c r="N2020" s="470"/>
      <c r="O2020" s="531"/>
      <c r="Q2020" s="469"/>
      <c r="R2020" s="512" t="str">
        <f>R2019</f>
        <v>DELETE</v>
      </c>
    </row>
    <row r="2021" spans="2:24" ht="31.5" customHeight="1" x14ac:dyDescent="0.45">
      <c r="B2021" s="563"/>
      <c r="C2021" s="450"/>
      <c r="M2021" s="531">
        <f>SUM(M2017:M2020)</f>
        <v>0</v>
      </c>
      <c r="N2021" s="470"/>
      <c r="O2021" s="531">
        <f>SUM(O2017:O2020)</f>
        <v>0</v>
      </c>
      <c r="Q2021" s="469"/>
      <c r="R2021" s="512" t="str">
        <f>R2020</f>
        <v>DELETE</v>
      </c>
    </row>
    <row r="2022" spans="2:24" ht="31.5" customHeight="1" x14ac:dyDescent="0.45">
      <c r="B2022" s="563"/>
      <c r="C2022" s="450"/>
      <c r="D2022" s="449" t="s">
        <v>394</v>
      </c>
      <c r="M2022" s="531">
        <f>TrialBalance!L361</f>
        <v>0</v>
      </c>
      <c r="N2022" s="470"/>
      <c r="O2022" s="531">
        <f>TrialBalance!N361</f>
        <v>0</v>
      </c>
      <c r="Q2022" s="469"/>
      <c r="R2022" s="512" t="str">
        <f>IF(M2022+O2022=0,"DELETE"," ")</f>
        <v>DELETE</v>
      </c>
      <c r="S2022" s="518">
        <f t="shared" ref="S2022:S2026" si="94">M2022</f>
        <v>0</v>
      </c>
      <c r="T2022" s="518"/>
      <c r="U2022" s="518">
        <f t="shared" ref="U2022:U2026" si="95">O2022</f>
        <v>0</v>
      </c>
      <c r="V2022" s="518"/>
      <c r="W2022" s="518"/>
      <c r="X2022" s="518"/>
    </row>
    <row r="2023" spans="2:24" ht="31.5" customHeight="1" x14ac:dyDescent="0.45">
      <c r="B2023" s="563"/>
      <c r="C2023" s="450"/>
      <c r="D2023" s="449" t="s">
        <v>360</v>
      </c>
      <c r="M2023" s="531">
        <f>TrialBalance!L362</f>
        <v>0</v>
      </c>
      <c r="N2023" s="470"/>
      <c r="O2023" s="531">
        <f>TrialBalance!N362</f>
        <v>0</v>
      </c>
      <c r="Q2023" s="469"/>
      <c r="R2023" s="512" t="str">
        <f>IF(M2023+O2023=0,"DELETE"," ")</f>
        <v>DELETE</v>
      </c>
      <c r="S2023" s="518">
        <f t="shared" si="94"/>
        <v>0</v>
      </c>
      <c r="T2023" s="518"/>
      <c r="U2023" s="518">
        <f t="shared" si="95"/>
        <v>0</v>
      </c>
      <c r="V2023" s="518"/>
      <c r="W2023" s="518"/>
      <c r="X2023" s="518"/>
    </row>
    <row r="2024" spans="2:24" ht="31.5" customHeight="1" x14ac:dyDescent="0.45">
      <c r="B2024" s="563"/>
      <c r="C2024" s="450"/>
      <c r="D2024" s="449" t="s">
        <v>450</v>
      </c>
      <c r="M2024" s="531">
        <f>TrialBalance!L363</f>
        <v>0</v>
      </c>
      <c r="N2024" s="470"/>
      <c r="O2024" s="531">
        <f>TrialBalance!N363</f>
        <v>0</v>
      </c>
      <c r="Q2024" s="469"/>
      <c r="R2024" s="512" t="str">
        <f>IF(M2024+O2024=0,"DELETE"," ")</f>
        <v>DELETE</v>
      </c>
      <c r="S2024" s="518">
        <f t="shared" si="94"/>
        <v>0</v>
      </c>
      <c r="T2024" s="518"/>
      <c r="U2024" s="518">
        <f t="shared" si="95"/>
        <v>0</v>
      </c>
      <c r="V2024" s="518"/>
      <c r="W2024" s="518"/>
      <c r="X2024" s="518"/>
    </row>
    <row r="2025" spans="2:24" ht="31.5" customHeight="1" x14ac:dyDescent="0.45">
      <c r="B2025" s="563"/>
      <c r="C2025" s="450"/>
      <c r="D2025" s="449" t="s">
        <v>657</v>
      </c>
      <c r="M2025" s="531">
        <f>TrialBalance!L364</f>
        <v>0</v>
      </c>
      <c r="N2025" s="470"/>
      <c r="O2025" s="531">
        <f>TrialBalance!N364</f>
        <v>0</v>
      </c>
      <c r="Q2025" s="469"/>
      <c r="R2025" s="512" t="str">
        <f>IF(M2025+O2025=0,"DELETE"," ")</f>
        <v>DELETE</v>
      </c>
      <c r="S2025" s="518">
        <f t="shared" si="94"/>
        <v>0</v>
      </c>
      <c r="T2025" s="518"/>
      <c r="U2025" s="518">
        <f t="shared" si="95"/>
        <v>0</v>
      </c>
      <c r="V2025" s="518"/>
      <c r="W2025" s="518"/>
      <c r="X2025" s="518"/>
    </row>
    <row r="2026" spans="2:24" ht="31.5" customHeight="1" x14ac:dyDescent="0.45">
      <c r="B2026" s="563"/>
      <c r="C2026" s="450"/>
      <c r="D2026" s="449" t="s">
        <v>656</v>
      </c>
      <c r="M2026" s="531">
        <f>IF(TrialBalance!L398&gt;0,TrialBalance!L398,0)+IF(TrialBalance!L397&gt;0,TrialBalance!L397,0)</f>
        <v>0</v>
      </c>
      <c r="N2026" s="470"/>
      <c r="O2026" s="531">
        <f>IF(TrialBalance!N398&gt;0,TrialBalance!N398,0)+IF(TrialBalance!N397&gt;0,TrialBalance!N397,0)</f>
        <v>0</v>
      </c>
      <c r="Q2026" s="469"/>
      <c r="R2026" s="512" t="str">
        <f>IF(M2026+O2026=0,"DELETE"," ")</f>
        <v>DELETE</v>
      </c>
      <c r="S2026" s="518">
        <f t="shared" si="94"/>
        <v>0</v>
      </c>
      <c r="T2026" s="518"/>
      <c r="U2026" s="518">
        <f t="shared" si="95"/>
        <v>0</v>
      </c>
      <c r="V2026" s="518"/>
      <c r="W2026" s="518"/>
      <c r="X2026" s="518"/>
    </row>
    <row r="2027" spans="2:24" ht="9" customHeight="1" x14ac:dyDescent="0.45">
      <c r="B2027" s="563"/>
      <c r="C2027" s="450"/>
      <c r="M2027" s="535"/>
      <c r="N2027" s="473"/>
      <c r="O2027" s="535"/>
      <c r="Q2027" s="469"/>
      <c r="R2027" s="512" t="str">
        <f t="shared" ref="R2027:R2036" si="96">R$2029</f>
        <v>DELETE</v>
      </c>
    </row>
    <row r="2028" spans="2:24" ht="9" customHeight="1" x14ac:dyDescent="0.45">
      <c r="B2028" s="563"/>
      <c r="C2028" s="450"/>
      <c r="M2028" s="531"/>
      <c r="N2028" s="470"/>
      <c r="O2028" s="531"/>
      <c r="Q2028" s="469"/>
      <c r="R2028" s="512" t="str">
        <f t="shared" si="96"/>
        <v>DELETE</v>
      </c>
    </row>
    <row r="2029" spans="2:24" ht="31.5" customHeight="1" x14ac:dyDescent="0.45">
      <c r="B2029" s="563"/>
      <c r="C2029" s="450"/>
      <c r="M2029" s="531">
        <f>SUM(S2017:S2026)</f>
        <v>0</v>
      </c>
      <c r="N2029" s="470"/>
      <c r="O2029" s="531">
        <f>SUM(U2017:U2026)</f>
        <v>0</v>
      </c>
      <c r="Q2029" s="469"/>
      <c r="R2029" s="512" t="str">
        <f>IF(M2029+O2029=0,"DELETE"," ")</f>
        <v>DELETE</v>
      </c>
      <c r="S2029" s="517"/>
      <c r="T2029" s="517"/>
      <c r="U2029" s="517"/>
    </row>
    <row r="2030" spans="2:24" ht="9" customHeight="1" thickBot="1" x14ac:dyDescent="0.5">
      <c r="B2030" s="563"/>
      <c r="C2030" s="450"/>
      <c r="M2030" s="536"/>
      <c r="N2030" s="474"/>
      <c r="O2030" s="536"/>
      <c r="Q2030" s="469"/>
      <c r="R2030" s="512" t="str">
        <f t="shared" si="96"/>
        <v>DELETE</v>
      </c>
    </row>
    <row r="2031" spans="2:24" ht="9" customHeight="1" thickTop="1" x14ac:dyDescent="0.45">
      <c r="B2031" s="563"/>
      <c r="C2031" s="450"/>
      <c r="M2031" s="548"/>
      <c r="N2031" s="491"/>
      <c r="O2031" s="548"/>
      <c r="Q2031" s="469"/>
      <c r="R2031" s="512" t="str">
        <f t="shared" si="96"/>
        <v>DELETE</v>
      </c>
    </row>
    <row r="2032" spans="2:24" ht="31.5" customHeight="1" x14ac:dyDescent="0.45">
      <c r="B2032" s="563"/>
      <c r="C2032" s="450"/>
      <c r="D2032" s="449" t="str">
        <f>IF(Criteria!G300="Yes",Criteria!G302," ")</f>
        <v xml:space="preserve"> </v>
      </c>
      <c r="M2032" s="531"/>
      <c r="N2032" s="470"/>
      <c r="O2032" s="531"/>
      <c r="Q2032" s="469"/>
      <c r="R2032" s="512" t="str">
        <f>IF(D2032=" ","DELETE"," ")</f>
        <v>DELETE</v>
      </c>
    </row>
    <row r="2033" spans="2:18" ht="31.5" customHeight="1" x14ac:dyDescent="0.45">
      <c r="B2033" s="563"/>
      <c r="C2033" s="450"/>
      <c r="D2033" s="449" t="str">
        <f>IF(Criteria!G300="Yes",Criteria!G303," ")</f>
        <v xml:space="preserve"> </v>
      </c>
      <c r="M2033" s="531"/>
      <c r="N2033" s="470"/>
      <c r="O2033" s="531"/>
      <c r="Q2033" s="469"/>
      <c r="R2033" s="512" t="str">
        <f>IF(D2033=" ","DELETE"," ")</f>
        <v>DELETE</v>
      </c>
    </row>
    <row r="2034" spans="2:18" ht="31.5" customHeight="1" x14ac:dyDescent="0.45">
      <c r="B2034" s="563"/>
      <c r="C2034" s="450"/>
      <c r="M2034" s="531"/>
      <c r="N2034" s="470"/>
      <c r="O2034" s="531"/>
      <c r="Q2034" s="469"/>
      <c r="R2034" s="512" t="str">
        <f t="shared" si="96"/>
        <v>DELETE</v>
      </c>
    </row>
    <row r="2035" spans="2:18" ht="31.5" customHeight="1" x14ac:dyDescent="0.45">
      <c r="B2035" s="564"/>
      <c r="C2035" s="502"/>
      <c r="D2035" s="461"/>
      <c r="E2035" s="461"/>
      <c r="F2035" s="461"/>
      <c r="G2035" s="461"/>
      <c r="H2035" s="461"/>
      <c r="I2035" s="461"/>
      <c r="J2035" s="461"/>
      <c r="K2035" s="461"/>
      <c r="L2035" s="461"/>
      <c r="M2035" s="535"/>
      <c r="N2035" s="473"/>
      <c r="O2035" s="535"/>
      <c r="P2035" s="631"/>
      <c r="Q2035" s="479"/>
      <c r="R2035" s="512" t="str">
        <f t="shared" si="96"/>
        <v>DELETE</v>
      </c>
    </row>
    <row r="2036" spans="2:18" ht="31.5" customHeight="1" x14ac:dyDescent="0.45">
      <c r="B2036" s="527"/>
      <c r="M2036" s="635"/>
      <c r="N2036" s="621"/>
      <c r="O2036" s="635"/>
      <c r="R2036" s="512" t="str">
        <f t="shared" si="96"/>
        <v>DELETE</v>
      </c>
    </row>
    <row r="2037" spans="2:18" ht="31.5" customHeight="1" x14ac:dyDescent="0.45">
      <c r="B2037" s="527"/>
      <c r="M2037" s="635"/>
      <c r="N2037" s="621"/>
      <c r="O2037" s="635"/>
    </row>
    <row r="2038" spans="2:18" ht="31.5" customHeight="1" x14ac:dyDescent="0.45">
      <c r="B2038" s="527"/>
      <c r="D2038" s="450" t="str">
        <f>Criteria!E9</f>
        <v>ABC COMPANY (PROPRIETARY) LIMITED</v>
      </c>
      <c r="M2038" s="635"/>
      <c r="N2038" s="621"/>
      <c r="O2038" s="531" t="s">
        <v>121</v>
      </c>
      <c r="Q2038" s="451">
        <f>MAX($Q$114:Q2037)+1</f>
        <v>48</v>
      </c>
    </row>
    <row r="2039" spans="2:18" ht="31.5" customHeight="1" x14ac:dyDescent="0.45">
      <c r="B2039" s="527"/>
      <c r="D2039" s="450" t="str">
        <f>Criteria!E10</f>
        <v>T/A SEAFRONT HOTEL, SEAFRONT RESTAURANT AND RENTAL PROPERTIES</v>
      </c>
      <c r="M2039" s="635"/>
      <c r="N2039" s="621"/>
      <c r="O2039" s="635"/>
      <c r="R2039" s="512" t="str">
        <f>IF(D2039=0,"DELETE"," ")</f>
        <v xml:space="preserve"> </v>
      </c>
    </row>
    <row r="2040" spans="2:18" ht="31.5" customHeight="1" x14ac:dyDescent="0.45">
      <c r="B2040" s="527"/>
      <c r="M2040" s="635"/>
      <c r="N2040" s="621"/>
      <c r="O2040" s="635"/>
    </row>
    <row r="2041" spans="2:18" ht="31.5" customHeight="1" x14ac:dyDescent="0.45">
      <c r="B2041" s="527"/>
      <c r="D2041" s="450" t="s">
        <v>451</v>
      </c>
      <c r="M2041" s="635"/>
      <c r="N2041" s="621"/>
      <c r="O2041" s="635"/>
    </row>
    <row r="2042" spans="2:18" ht="31.5" customHeight="1" x14ac:dyDescent="0.45">
      <c r="B2042" s="527"/>
      <c r="D2042" s="450" t="str">
        <f>Criteria!E20</f>
        <v>29 FEBRUARY 2024</v>
      </c>
      <c r="J2042" s="449" t="s">
        <v>303</v>
      </c>
      <c r="M2042" s="635"/>
      <c r="N2042" s="621"/>
      <c r="O2042" s="635"/>
    </row>
    <row r="2043" spans="2:18" ht="31.5" customHeight="1" x14ac:dyDescent="0.45">
      <c r="B2043" s="527"/>
      <c r="D2043" s="450"/>
      <c r="M2043" s="635"/>
      <c r="N2043" s="621"/>
      <c r="O2043" s="635"/>
    </row>
    <row r="2044" spans="2:18" ht="31.5" customHeight="1" x14ac:dyDescent="0.45">
      <c r="B2044" s="565"/>
      <c r="C2044" s="503"/>
      <c r="D2044" s="466"/>
      <c r="E2044" s="466"/>
      <c r="F2044" s="466"/>
      <c r="G2044" s="466"/>
      <c r="H2044" s="466"/>
      <c r="I2044" s="466"/>
      <c r="J2044" s="466"/>
      <c r="K2044" s="466"/>
      <c r="L2044" s="466"/>
      <c r="M2044" s="546"/>
      <c r="N2044" s="471"/>
      <c r="O2044" s="546"/>
      <c r="P2044" s="643"/>
      <c r="Q2044" s="467"/>
    </row>
    <row r="2045" spans="2:18" ht="31.5" customHeight="1" x14ac:dyDescent="0.45">
      <c r="B2045" s="563"/>
      <c r="C2045" s="450"/>
      <c r="M2045" s="525">
        <f>Criteria!E22</f>
        <v>2024</v>
      </c>
      <c r="N2045" s="458"/>
      <c r="O2045" s="525">
        <f>Criteria!E27</f>
        <v>2023</v>
      </c>
      <c r="Q2045" s="469"/>
    </row>
    <row r="2046" spans="2:18" ht="31.5" customHeight="1" x14ac:dyDescent="0.45">
      <c r="B2046" s="563"/>
      <c r="C2046" s="450"/>
      <c r="M2046" s="531"/>
      <c r="N2046" s="470"/>
      <c r="O2046" s="531"/>
      <c r="Q2046" s="469"/>
    </row>
    <row r="2047" spans="2:18" ht="31.5" customHeight="1" x14ac:dyDescent="0.45">
      <c r="B2047" s="563">
        <f>MAX(B$802:B2046)+1</f>
        <v>19</v>
      </c>
      <c r="C2047" s="450" t="s">
        <v>205</v>
      </c>
      <c r="M2047" s="531"/>
      <c r="N2047" s="470"/>
      <c r="O2047" s="531"/>
      <c r="Q2047" s="469"/>
    </row>
    <row r="2048" spans="2:18" ht="31.5" customHeight="1" x14ac:dyDescent="0.45">
      <c r="B2048" s="563"/>
      <c r="C2048" s="450"/>
      <c r="D2048" s="449">
        <f>TrialBalance!C366</f>
        <v>0</v>
      </c>
      <c r="M2048" s="531">
        <f>IF(TrialBalance!L366&gt;0,TrialBalance!L366,0)</f>
        <v>0</v>
      </c>
      <c r="N2048" s="470"/>
      <c r="O2048" s="531">
        <f>IF(TrialBalance!N366&gt;0,TrialBalance!N366,0)</f>
        <v>0</v>
      </c>
      <c r="Q2048" s="469"/>
      <c r="R2048" s="512" t="str">
        <f>IF(M2048=0,IF(O2048=0,"DELETE"," ")," ")</f>
        <v>DELETE</v>
      </c>
    </row>
    <row r="2049" spans="2:24" ht="31.5" customHeight="1" x14ac:dyDescent="0.45">
      <c r="B2049" s="563"/>
      <c r="C2049" s="450"/>
      <c r="D2049" s="449">
        <f>TrialBalance!C367</f>
        <v>0</v>
      </c>
      <c r="M2049" s="531">
        <f>IF(TrialBalance!L367&gt;0,TrialBalance!L367,0)</f>
        <v>0</v>
      </c>
      <c r="N2049" s="470"/>
      <c r="O2049" s="531">
        <f>IF(TrialBalance!N367&gt;0,TrialBalance!N367,0)</f>
        <v>0</v>
      </c>
      <c r="Q2049" s="469"/>
      <c r="R2049" s="512" t="str">
        <f t="shared" ref="R2049:R2053" si="97">IF(M2049=0,IF(O2049=0,"DELETE"," ")," ")</f>
        <v>DELETE</v>
      </c>
    </row>
    <row r="2050" spans="2:24" ht="31.5" customHeight="1" x14ac:dyDescent="0.45">
      <c r="B2050" s="563"/>
      <c r="C2050" s="450"/>
      <c r="D2050" s="449">
        <f>TrialBalance!C368</f>
        <v>0</v>
      </c>
      <c r="M2050" s="531">
        <f>IF(TrialBalance!L368&gt;0,TrialBalance!L368,0)</f>
        <v>0</v>
      </c>
      <c r="N2050" s="470"/>
      <c r="O2050" s="531">
        <f>IF(TrialBalance!N368&gt;0,TrialBalance!N368,0)</f>
        <v>0</v>
      </c>
      <c r="Q2050" s="469"/>
      <c r="R2050" s="512" t="str">
        <f t="shared" si="97"/>
        <v>DELETE</v>
      </c>
    </row>
    <row r="2051" spans="2:24" ht="31.5" customHeight="1" x14ac:dyDescent="0.45">
      <c r="B2051" s="563"/>
      <c r="C2051" s="450"/>
      <c r="D2051" s="449">
        <f>TrialBalance!C369</f>
        <v>0</v>
      </c>
      <c r="M2051" s="531">
        <f>IF(TrialBalance!L369&gt;0,TrialBalance!L369,0)</f>
        <v>0</v>
      </c>
      <c r="N2051" s="470"/>
      <c r="O2051" s="531">
        <f>IF(TrialBalance!N369&gt;0,TrialBalance!N369,0)</f>
        <v>0</v>
      </c>
      <c r="Q2051" s="469"/>
      <c r="R2051" s="512" t="str">
        <f t="shared" si="97"/>
        <v>DELETE</v>
      </c>
    </row>
    <row r="2052" spans="2:24" ht="31.5" customHeight="1" x14ac:dyDescent="0.45">
      <c r="B2052" s="563"/>
      <c r="C2052" s="450"/>
      <c r="D2052" s="449">
        <f>TrialBalance!C370</f>
        <v>0</v>
      </c>
      <c r="M2052" s="531">
        <f>IF(TrialBalance!L370&gt;0,TrialBalance!L370,0)</f>
        <v>0</v>
      </c>
      <c r="N2052" s="470"/>
      <c r="O2052" s="531">
        <f>IF(TrialBalance!N370&gt;0,TrialBalance!N370,0)</f>
        <v>0</v>
      </c>
      <c r="Q2052" s="469"/>
      <c r="R2052" s="512" t="str">
        <f t="shared" si="97"/>
        <v>DELETE</v>
      </c>
    </row>
    <row r="2053" spans="2:24" ht="31.5" customHeight="1" x14ac:dyDescent="0.45">
      <c r="B2053" s="563"/>
      <c r="C2053" s="450"/>
      <c r="D2053" s="449">
        <f>TrialBalance!C371</f>
        <v>0</v>
      </c>
      <c r="M2053" s="531">
        <f>IF(TrialBalance!L371&gt;0,TrialBalance!L371,0)</f>
        <v>0</v>
      </c>
      <c r="N2053" s="470"/>
      <c r="O2053" s="531">
        <f>IF(TrialBalance!N371&gt;0,TrialBalance!N371,0)</f>
        <v>0</v>
      </c>
      <c r="Q2053" s="469"/>
      <c r="R2053" s="512" t="str">
        <f t="shared" si="97"/>
        <v>DELETE</v>
      </c>
    </row>
    <row r="2054" spans="2:24" ht="31.5" customHeight="1" x14ac:dyDescent="0.45">
      <c r="B2054" s="563"/>
      <c r="C2054" s="450"/>
      <c r="D2054" s="449" t="s">
        <v>502</v>
      </c>
      <c r="M2054" s="531">
        <f>TrialBalance!L372</f>
        <v>0</v>
      </c>
      <c r="N2054" s="470"/>
      <c r="O2054" s="531">
        <f>TrialBalance!N372</f>
        <v>0</v>
      </c>
      <c r="Q2054" s="469"/>
      <c r="R2054" s="512" t="str">
        <f>IF(M2054=0,IF(O2054=0,"DELETE"," ")," ")</f>
        <v>DELETE</v>
      </c>
    </row>
    <row r="2055" spans="2:24" ht="9" customHeight="1" x14ac:dyDescent="0.45">
      <c r="B2055" s="563"/>
      <c r="C2055" s="450"/>
      <c r="M2055" s="535"/>
      <c r="N2055" s="473"/>
      <c r="O2055" s="535"/>
      <c r="Q2055" s="469"/>
      <c r="R2055" s="512" t="str">
        <f t="shared" ref="R2055:R2072" si="98">R$2057</f>
        <v>DELETE</v>
      </c>
    </row>
    <row r="2056" spans="2:24" ht="9" customHeight="1" x14ac:dyDescent="0.45">
      <c r="B2056" s="563"/>
      <c r="C2056" s="450"/>
      <c r="M2056" s="531"/>
      <c r="N2056" s="470"/>
      <c r="O2056" s="531"/>
      <c r="Q2056" s="469"/>
      <c r="R2056" s="512" t="str">
        <f t="shared" si="98"/>
        <v>DELETE</v>
      </c>
    </row>
    <row r="2057" spans="2:24" ht="31.5" customHeight="1" x14ac:dyDescent="0.45">
      <c r="B2057" s="563"/>
      <c r="C2057" s="450"/>
      <c r="M2057" s="531">
        <f>SUM(M2048:M2056)</f>
        <v>0</v>
      </c>
      <c r="N2057" s="470"/>
      <c r="O2057" s="531">
        <f>SUM(O2048:O2056)</f>
        <v>0</v>
      </c>
      <c r="Q2057" s="469"/>
      <c r="R2057" s="512" t="str">
        <f>IF(M2057=0,IF(O2057=0,"DELETE"," ")," ")</f>
        <v>DELETE</v>
      </c>
      <c r="V2057" s="518"/>
      <c r="W2057" s="518"/>
      <c r="X2057" s="518"/>
    </row>
    <row r="2058" spans="2:24" ht="9" customHeight="1" thickBot="1" x14ac:dyDescent="0.5">
      <c r="B2058" s="563"/>
      <c r="C2058" s="450"/>
      <c r="M2058" s="536"/>
      <c r="N2058" s="474"/>
      <c r="O2058" s="536"/>
      <c r="Q2058" s="469"/>
      <c r="R2058" s="512" t="str">
        <f t="shared" si="98"/>
        <v>DELETE</v>
      </c>
    </row>
    <row r="2059" spans="2:24" ht="9" customHeight="1" thickTop="1" x14ac:dyDescent="0.45">
      <c r="B2059" s="563"/>
      <c r="C2059" s="450"/>
      <c r="M2059" s="548"/>
      <c r="N2059" s="491"/>
      <c r="O2059" s="548"/>
      <c r="Q2059" s="469"/>
      <c r="R2059" s="512" t="str">
        <f t="shared" si="98"/>
        <v>DELETE</v>
      </c>
    </row>
    <row r="2060" spans="2:24" ht="31.5" customHeight="1" x14ac:dyDescent="0.45">
      <c r="B2060" s="563"/>
      <c r="C2060" s="450"/>
      <c r="M2060" s="531"/>
      <c r="N2060" s="470"/>
      <c r="O2060" s="531"/>
      <c r="Q2060" s="469"/>
      <c r="R2060" s="512" t="str">
        <f t="shared" si="98"/>
        <v>DELETE</v>
      </c>
    </row>
    <row r="2061" spans="2:24" ht="31.5" customHeight="1" x14ac:dyDescent="0.45">
      <c r="B2061" s="563"/>
      <c r="C2061" s="450"/>
      <c r="M2061" s="531"/>
      <c r="N2061" s="470"/>
      <c r="O2061" s="531"/>
      <c r="Q2061" s="469"/>
      <c r="R2061" s="512" t="str">
        <f t="shared" si="98"/>
        <v>DELETE</v>
      </c>
    </row>
    <row r="2062" spans="2:24" ht="31.5" customHeight="1" x14ac:dyDescent="0.45">
      <c r="B2062" s="564"/>
      <c r="C2062" s="502"/>
      <c r="D2062" s="461"/>
      <c r="E2062" s="461"/>
      <c r="F2062" s="461"/>
      <c r="G2062" s="461"/>
      <c r="H2062" s="461"/>
      <c r="I2062" s="461"/>
      <c r="J2062" s="461"/>
      <c r="K2062" s="461"/>
      <c r="L2062" s="461"/>
      <c r="M2062" s="535"/>
      <c r="N2062" s="473"/>
      <c r="O2062" s="535"/>
      <c r="P2062" s="631"/>
      <c r="Q2062" s="479"/>
      <c r="R2062" s="512" t="str">
        <f t="shared" si="98"/>
        <v>DELETE</v>
      </c>
    </row>
    <row r="2063" spans="2:24" ht="31.5" customHeight="1" x14ac:dyDescent="0.45">
      <c r="B2063" s="526"/>
      <c r="C2063" s="450"/>
      <c r="M2063" s="531"/>
      <c r="N2063" s="470"/>
      <c r="O2063" s="531"/>
      <c r="R2063" s="512" t="str">
        <f t="shared" si="98"/>
        <v>DELETE</v>
      </c>
    </row>
    <row r="2064" spans="2:24" ht="31.5" customHeight="1" x14ac:dyDescent="0.45">
      <c r="B2064" s="526"/>
      <c r="C2064" s="450"/>
      <c r="M2064" s="531"/>
      <c r="N2064" s="470"/>
      <c r="O2064" s="531"/>
      <c r="R2064" s="512" t="str">
        <f t="shared" si="98"/>
        <v>DELETE</v>
      </c>
    </row>
    <row r="2065" spans="2:18" ht="31.5" customHeight="1" x14ac:dyDescent="0.45">
      <c r="B2065" s="526"/>
      <c r="C2065" s="450"/>
      <c r="D2065" s="450" t="str">
        <f>Criteria!E9</f>
        <v>ABC COMPANY (PROPRIETARY) LIMITED</v>
      </c>
      <c r="M2065" s="635"/>
      <c r="N2065" s="621"/>
      <c r="O2065" s="531" t="s">
        <v>121</v>
      </c>
      <c r="Q2065" s="451">
        <f>MAX($Q$114:Q2064)+1</f>
        <v>49</v>
      </c>
      <c r="R2065" s="512" t="str">
        <f t="shared" si="98"/>
        <v>DELETE</v>
      </c>
    </row>
    <row r="2066" spans="2:18" ht="31.5" customHeight="1" x14ac:dyDescent="0.45">
      <c r="B2066" s="526"/>
      <c r="C2066" s="450"/>
      <c r="D2066" s="450" t="str">
        <f>Criteria!E10</f>
        <v>T/A SEAFRONT HOTEL, SEAFRONT RESTAURANT AND RENTAL PROPERTIES</v>
      </c>
      <c r="M2066" s="635"/>
      <c r="N2066" s="621"/>
      <c r="O2066" s="635"/>
      <c r="R2066" s="512" t="str">
        <f>IF(R$2057="DELETE","DELETE",IF(D2066=0,"DELETE"," "))</f>
        <v>DELETE</v>
      </c>
    </row>
    <row r="2067" spans="2:18" ht="31.5" customHeight="1" x14ac:dyDescent="0.45">
      <c r="B2067" s="526"/>
      <c r="C2067" s="450"/>
      <c r="M2067" s="635"/>
      <c r="N2067" s="621"/>
      <c r="O2067" s="635"/>
      <c r="R2067" s="512" t="str">
        <f t="shared" si="98"/>
        <v>DELETE</v>
      </c>
    </row>
    <row r="2068" spans="2:18" ht="31.5" customHeight="1" x14ac:dyDescent="0.45">
      <c r="B2068" s="526"/>
      <c r="C2068" s="450"/>
      <c r="D2068" s="450" t="s">
        <v>451</v>
      </c>
      <c r="M2068" s="635"/>
      <c r="N2068" s="621"/>
      <c r="O2068" s="635"/>
      <c r="R2068" s="512" t="str">
        <f t="shared" si="98"/>
        <v>DELETE</v>
      </c>
    </row>
    <row r="2069" spans="2:18" ht="31.5" customHeight="1" x14ac:dyDescent="0.45">
      <c r="B2069" s="526"/>
      <c r="C2069" s="450"/>
      <c r="D2069" s="450" t="str">
        <f>Criteria!E20</f>
        <v>29 FEBRUARY 2024</v>
      </c>
      <c r="J2069" s="449" t="s">
        <v>303</v>
      </c>
      <c r="M2069" s="635"/>
      <c r="N2069" s="621"/>
      <c r="O2069" s="635"/>
      <c r="R2069" s="512" t="str">
        <f t="shared" si="98"/>
        <v>DELETE</v>
      </c>
    </row>
    <row r="2070" spans="2:18" ht="31.5" customHeight="1" x14ac:dyDescent="0.45">
      <c r="B2070" s="526"/>
      <c r="C2070" s="450"/>
      <c r="M2070" s="531"/>
      <c r="N2070" s="470"/>
      <c r="O2070" s="531"/>
      <c r="R2070" s="512" t="str">
        <f t="shared" si="98"/>
        <v>DELETE</v>
      </c>
    </row>
    <row r="2071" spans="2:18" ht="31.5" customHeight="1" x14ac:dyDescent="0.45">
      <c r="B2071" s="565"/>
      <c r="C2071" s="503"/>
      <c r="D2071" s="466"/>
      <c r="E2071" s="466"/>
      <c r="F2071" s="466"/>
      <c r="G2071" s="466"/>
      <c r="H2071" s="466"/>
      <c r="I2071" s="466"/>
      <c r="J2071" s="466"/>
      <c r="K2071" s="466"/>
      <c r="L2071" s="466"/>
      <c r="M2071" s="546"/>
      <c r="N2071" s="471"/>
      <c r="O2071" s="546"/>
      <c r="P2071" s="643"/>
      <c r="Q2071" s="467"/>
      <c r="R2071" s="512" t="str">
        <f t="shared" si="98"/>
        <v>DELETE</v>
      </c>
    </row>
    <row r="2072" spans="2:18" ht="31.5" customHeight="1" x14ac:dyDescent="0.45">
      <c r="B2072" s="563"/>
      <c r="C2072" s="450"/>
      <c r="M2072" s="525">
        <f>Criteria!E22</f>
        <v>2024</v>
      </c>
      <c r="N2072" s="458"/>
      <c r="O2072" s="525">
        <f>Criteria!E27</f>
        <v>2023</v>
      </c>
      <c r="P2072" s="634"/>
      <c r="Q2072" s="469"/>
      <c r="R2072" s="512" t="str">
        <f t="shared" si="98"/>
        <v>DELETE</v>
      </c>
    </row>
    <row r="2073" spans="2:18" ht="31.5" customHeight="1" x14ac:dyDescent="0.45">
      <c r="B2073" s="563"/>
      <c r="C2073" s="450"/>
      <c r="M2073" s="548"/>
      <c r="N2073" s="491"/>
      <c r="O2073" s="548"/>
      <c r="P2073" s="634"/>
      <c r="Q2073" s="469"/>
    </row>
    <row r="2074" spans="2:18" ht="31.5" customHeight="1" x14ac:dyDescent="0.45">
      <c r="B2074" s="563"/>
      <c r="C2074" s="449" t="str">
        <f>IF(SUM(TrialBalance!L366:L372)=0,IF(SUM(TrialBalance!N366:N372)=0,"There were no Cash and cash equivalents balances at year end.","For the purpose of the Cash Flow Statement, Cash and cash equivalents include the following:"),"For the purpose of the Cash Flow Statement, Cash and cash equivalents include the following:")</f>
        <v>There were no Cash and cash equivalents balances at year end.</v>
      </c>
      <c r="M2074" s="548"/>
      <c r="N2074" s="491"/>
      <c r="O2074" s="548"/>
      <c r="P2074" s="634"/>
      <c r="Q2074" s="469"/>
    </row>
    <row r="2075" spans="2:18" ht="31.5" customHeight="1" x14ac:dyDescent="0.45">
      <c r="B2075" s="563"/>
      <c r="C2075" s="450"/>
      <c r="M2075" s="548"/>
      <c r="N2075" s="491"/>
      <c r="O2075" s="548"/>
      <c r="P2075" s="634"/>
      <c r="Q2075" s="469"/>
    </row>
    <row r="2076" spans="2:18" ht="31.5" customHeight="1" x14ac:dyDescent="0.45">
      <c r="B2076" s="563"/>
      <c r="C2076" s="450"/>
      <c r="D2076" s="449">
        <f>TrialBalance!C366</f>
        <v>0</v>
      </c>
      <c r="M2076" s="548">
        <f>TrialBalance!L366</f>
        <v>0</v>
      </c>
      <c r="N2076" s="491"/>
      <c r="O2076" s="548">
        <f>TrialBalance!N366</f>
        <v>0</v>
      </c>
      <c r="P2076" s="634"/>
      <c r="Q2076" s="469"/>
      <c r="R2076" s="512" t="str">
        <f t="shared" ref="R2076:R2082" si="99">IF(M2076=0,IF(O2076=0,"DELETE"," ")," ")</f>
        <v>DELETE</v>
      </c>
    </row>
    <row r="2077" spans="2:18" ht="31.5" customHeight="1" x14ac:dyDescent="0.45">
      <c r="B2077" s="563"/>
      <c r="C2077" s="450"/>
      <c r="D2077" s="449">
        <f>TrialBalance!C367</f>
        <v>0</v>
      </c>
      <c r="M2077" s="548">
        <f>TrialBalance!L367</f>
        <v>0</v>
      </c>
      <c r="N2077" s="491"/>
      <c r="O2077" s="548">
        <f>TrialBalance!N367</f>
        <v>0</v>
      </c>
      <c r="P2077" s="634"/>
      <c r="Q2077" s="469"/>
      <c r="R2077" s="512" t="str">
        <f t="shared" si="99"/>
        <v>DELETE</v>
      </c>
    </row>
    <row r="2078" spans="2:18" ht="31.5" customHeight="1" x14ac:dyDescent="0.45">
      <c r="B2078" s="563"/>
      <c r="C2078" s="450"/>
      <c r="D2078" s="449">
        <f>TrialBalance!C368</f>
        <v>0</v>
      </c>
      <c r="M2078" s="548">
        <f>TrialBalance!L368</f>
        <v>0</v>
      </c>
      <c r="N2078" s="491"/>
      <c r="O2078" s="548">
        <f>TrialBalance!N368</f>
        <v>0</v>
      </c>
      <c r="P2078" s="634"/>
      <c r="Q2078" s="469"/>
      <c r="R2078" s="512" t="str">
        <f t="shared" si="99"/>
        <v>DELETE</v>
      </c>
    </row>
    <row r="2079" spans="2:18" ht="31.5" customHeight="1" x14ac:dyDescent="0.45">
      <c r="B2079" s="563"/>
      <c r="C2079" s="450"/>
      <c r="D2079" s="449">
        <f>TrialBalance!C369</f>
        <v>0</v>
      </c>
      <c r="M2079" s="548">
        <f>TrialBalance!L369</f>
        <v>0</v>
      </c>
      <c r="N2079" s="491"/>
      <c r="O2079" s="548">
        <f>TrialBalance!N369</f>
        <v>0</v>
      </c>
      <c r="P2079" s="634"/>
      <c r="Q2079" s="469"/>
      <c r="R2079" s="512" t="str">
        <f t="shared" si="99"/>
        <v>DELETE</v>
      </c>
    </row>
    <row r="2080" spans="2:18" ht="31.5" customHeight="1" x14ac:dyDescent="0.45">
      <c r="B2080" s="563"/>
      <c r="C2080" s="450"/>
      <c r="D2080" s="449">
        <f>TrialBalance!C370</f>
        <v>0</v>
      </c>
      <c r="M2080" s="548">
        <f>TrialBalance!L370</f>
        <v>0</v>
      </c>
      <c r="N2080" s="491"/>
      <c r="O2080" s="548">
        <f>TrialBalance!N370</f>
        <v>0</v>
      </c>
      <c r="P2080" s="634"/>
      <c r="Q2080" s="469"/>
      <c r="R2080" s="512" t="str">
        <f t="shared" si="99"/>
        <v>DELETE</v>
      </c>
    </row>
    <row r="2081" spans="2:24" ht="31.5" customHeight="1" x14ac:dyDescent="0.45">
      <c r="B2081" s="563"/>
      <c r="C2081" s="450"/>
      <c r="D2081" s="449">
        <f>TrialBalance!C371</f>
        <v>0</v>
      </c>
      <c r="M2081" s="548">
        <f>TrialBalance!L371</f>
        <v>0</v>
      </c>
      <c r="N2081" s="491"/>
      <c r="O2081" s="548">
        <f>TrialBalance!N371</f>
        <v>0</v>
      </c>
      <c r="P2081" s="634"/>
      <c r="Q2081" s="469"/>
      <c r="R2081" s="512" t="str">
        <f t="shared" si="99"/>
        <v>DELETE</v>
      </c>
    </row>
    <row r="2082" spans="2:24" ht="31.5" customHeight="1" x14ac:dyDescent="0.45">
      <c r="B2082" s="563"/>
      <c r="C2082" s="450"/>
      <c r="D2082" s="449" t="str">
        <f>TrialBalance!C372</f>
        <v>Cash on hand</v>
      </c>
      <c r="M2082" s="548">
        <f>TrialBalance!L372</f>
        <v>0</v>
      </c>
      <c r="N2082" s="491"/>
      <c r="O2082" s="548">
        <f>TrialBalance!N372</f>
        <v>0</v>
      </c>
      <c r="P2082" s="634"/>
      <c r="Q2082" s="469"/>
      <c r="R2082" s="512" t="str">
        <f t="shared" si="99"/>
        <v>DELETE</v>
      </c>
    </row>
    <row r="2083" spans="2:24" ht="9" customHeight="1" x14ac:dyDescent="0.45">
      <c r="B2083" s="563"/>
      <c r="C2083" s="450"/>
      <c r="M2083" s="535"/>
      <c r="N2083" s="473"/>
      <c r="O2083" s="535"/>
      <c r="P2083" s="634"/>
      <c r="Q2083" s="469"/>
      <c r="R2083" s="512" t="str">
        <f>R$2085</f>
        <v>DELETE</v>
      </c>
    </row>
    <row r="2084" spans="2:24" ht="9" customHeight="1" x14ac:dyDescent="0.45">
      <c r="B2084" s="563"/>
      <c r="C2084" s="450"/>
      <c r="M2084" s="548"/>
      <c r="N2084" s="491"/>
      <c r="O2084" s="548"/>
      <c r="P2084" s="634"/>
      <c r="Q2084" s="469"/>
      <c r="R2084" s="512" t="str">
        <f>R$2085</f>
        <v>DELETE</v>
      </c>
    </row>
    <row r="2085" spans="2:24" ht="31.5" customHeight="1" x14ac:dyDescent="0.45">
      <c r="B2085" s="563"/>
      <c r="C2085" s="450"/>
      <c r="M2085" s="548">
        <f>SUM(M2076:M2083)</f>
        <v>0</v>
      </c>
      <c r="N2085" s="491"/>
      <c r="O2085" s="548">
        <f>SUM(O2076:O2083)</f>
        <v>0</v>
      </c>
      <c r="P2085" s="634"/>
      <c r="Q2085" s="469"/>
      <c r="R2085" s="512" t="str">
        <f t="shared" ref="R2085" si="100">IF(M2085=0,IF(O2085=0,"DELETE"," ")," ")</f>
        <v>DELETE</v>
      </c>
      <c r="V2085" s="513" t="b">
        <f>M2085=M788</f>
        <v>1</v>
      </c>
      <c r="X2085" s="513" t="b">
        <f>O2085=O788</f>
        <v>1</v>
      </c>
    </row>
    <row r="2086" spans="2:24" ht="9" customHeight="1" thickBot="1" x14ac:dyDescent="0.5">
      <c r="B2086" s="563"/>
      <c r="C2086" s="450"/>
      <c r="M2086" s="536"/>
      <c r="N2086" s="474"/>
      <c r="O2086" s="536"/>
      <c r="P2086" s="634"/>
      <c r="Q2086" s="469"/>
      <c r="R2086" s="512" t="str">
        <f t="shared" ref="R2086:R2087" si="101">R$2085</f>
        <v>DELETE</v>
      </c>
    </row>
    <row r="2087" spans="2:24" ht="9" customHeight="1" thickTop="1" x14ac:dyDescent="0.45">
      <c r="B2087" s="563"/>
      <c r="C2087" s="450"/>
      <c r="M2087" s="548"/>
      <c r="N2087" s="491"/>
      <c r="O2087" s="548"/>
      <c r="P2087" s="634"/>
      <c r="Q2087" s="469"/>
      <c r="R2087" s="512" t="str">
        <f t="shared" si="101"/>
        <v>DELETE</v>
      </c>
    </row>
    <row r="2088" spans="2:24" ht="31.5" customHeight="1" x14ac:dyDescent="0.45">
      <c r="B2088" s="563"/>
      <c r="C2088" s="450"/>
      <c r="M2088" s="548"/>
      <c r="N2088" s="491"/>
      <c r="O2088" s="548"/>
      <c r="P2088" s="634"/>
      <c r="Q2088" s="469"/>
    </row>
    <row r="2089" spans="2:24" ht="31.5" customHeight="1" x14ac:dyDescent="0.45">
      <c r="B2089" s="563"/>
      <c r="C2089" s="450"/>
      <c r="M2089" s="548"/>
      <c r="N2089" s="491"/>
      <c r="O2089" s="548"/>
      <c r="P2089" s="634"/>
      <c r="Q2089" s="469"/>
    </row>
    <row r="2090" spans="2:24" ht="31.5" customHeight="1" x14ac:dyDescent="0.45">
      <c r="B2090" s="564"/>
      <c r="C2090" s="502"/>
      <c r="D2090" s="461"/>
      <c r="E2090" s="461"/>
      <c r="F2090" s="461"/>
      <c r="G2090" s="461"/>
      <c r="H2090" s="461"/>
      <c r="I2090" s="461"/>
      <c r="J2090" s="461"/>
      <c r="K2090" s="461"/>
      <c r="L2090" s="461"/>
      <c r="M2090" s="535"/>
      <c r="N2090" s="473"/>
      <c r="O2090" s="535"/>
      <c r="P2090" s="631"/>
      <c r="Q2090" s="479"/>
    </row>
    <row r="2091" spans="2:24" ht="31.5" customHeight="1" x14ac:dyDescent="0.45">
      <c r="B2091" s="526"/>
      <c r="C2091" s="450"/>
      <c r="M2091" s="531"/>
      <c r="N2091" s="470"/>
      <c r="O2091" s="531"/>
    </row>
    <row r="2092" spans="2:24" ht="31.5" customHeight="1" x14ac:dyDescent="0.45">
      <c r="B2092" s="526"/>
      <c r="C2092" s="450"/>
      <c r="M2092" s="531"/>
      <c r="N2092" s="470"/>
      <c r="O2092" s="531"/>
    </row>
    <row r="2093" spans="2:24" ht="31.5" customHeight="1" x14ac:dyDescent="0.45">
      <c r="B2093" s="527"/>
      <c r="D2093" s="450" t="str">
        <f>Criteria!E9</f>
        <v>ABC COMPANY (PROPRIETARY) LIMITED</v>
      </c>
      <c r="M2093" s="635"/>
      <c r="N2093" s="621"/>
      <c r="O2093" s="531" t="s">
        <v>121</v>
      </c>
      <c r="Q2093" s="451">
        <f>MAX($Q$114:Q2092)+1</f>
        <v>50</v>
      </c>
    </row>
    <row r="2094" spans="2:24" ht="31.5" customHeight="1" x14ac:dyDescent="0.45">
      <c r="B2094" s="527"/>
      <c r="D2094" s="450" t="str">
        <f>Criteria!E10</f>
        <v>T/A SEAFRONT HOTEL, SEAFRONT RESTAURANT AND RENTAL PROPERTIES</v>
      </c>
      <c r="M2094" s="635"/>
      <c r="N2094" s="621"/>
      <c r="O2094" s="635"/>
      <c r="R2094" s="512" t="str">
        <f>IF(D2094=0,"DELETE"," ")</f>
        <v xml:space="preserve"> </v>
      </c>
    </row>
    <row r="2095" spans="2:24" ht="31.5" customHeight="1" x14ac:dyDescent="0.45">
      <c r="B2095" s="527"/>
      <c r="M2095" s="635"/>
      <c r="N2095" s="621"/>
      <c r="O2095" s="635"/>
    </row>
    <row r="2096" spans="2:24" ht="31.5" customHeight="1" x14ac:dyDescent="0.45">
      <c r="B2096" s="527"/>
      <c r="D2096" s="450" t="s">
        <v>451</v>
      </c>
      <c r="M2096" s="635"/>
      <c r="N2096" s="621"/>
      <c r="O2096" s="635"/>
    </row>
    <row r="2097" spans="2:17" ht="31.5" customHeight="1" x14ac:dyDescent="0.45">
      <c r="B2097" s="527"/>
      <c r="D2097" s="450" t="str">
        <f>Criteria!E20</f>
        <v>29 FEBRUARY 2024</v>
      </c>
      <c r="J2097" s="449" t="s">
        <v>303</v>
      </c>
      <c r="M2097" s="635"/>
      <c r="N2097" s="621"/>
      <c r="O2097" s="635"/>
    </row>
    <row r="2098" spans="2:17" ht="31.5" customHeight="1" x14ac:dyDescent="0.45">
      <c r="B2098" s="527"/>
      <c r="D2098" s="450"/>
      <c r="M2098" s="635"/>
      <c r="N2098" s="621"/>
      <c r="O2098" s="635"/>
    </row>
    <row r="2099" spans="2:17" ht="31.5" customHeight="1" x14ac:dyDescent="0.45">
      <c r="B2099" s="565"/>
      <c r="C2099" s="503"/>
      <c r="D2099" s="466"/>
      <c r="E2099" s="466"/>
      <c r="F2099" s="466"/>
      <c r="G2099" s="466"/>
      <c r="H2099" s="466"/>
      <c r="I2099" s="466"/>
      <c r="J2099" s="466"/>
      <c r="K2099" s="466"/>
      <c r="L2099" s="466"/>
      <c r="M2099" s="546"/>
      <c r="N2099" s="471"/>
      <c r="O2099" s="546"/>
      <c r="P2099" s="643"/>
      <c r="Q2099" s="467"/>
    </row>
    <row r="2100" spans="2:17" ht="31.5" customHeight="1" x14ac:dyDescent="0.45">
      <c r="B2100" s="563"/>
      <c r="C2100" s="450"/>
      <c r="M2100" s="525">
        <f>Criteria!E22</f>
        <v>2024</v>
      </c>
      <c r="N2100" s="458"/>
      <c r="O2100" s="525">
        <f>Criteria!E27</f>
        <v>2023</v>
      </c>
      <c r="Q2100" s="469"/>
    </row>
    <row r="2101" spans="2:17" ht="31.5" customHeight="1" x14ac:dyDescent="0.45">
      <c r="B2101" s="563"/>
      <c r="C2101" s="450"/>
      <c r="M2101" s="531"/>
      <c r="N2101" s="470"/>
      <c r="O2101" s="531"/>
      <c r="Q2101" s="469"/>
    </row>
    <row r="2102" spans="2:17" ht="31.5" customHeight="1" x14ac:dyDescent="0.45">
      <c r="B2102" s="563">
        <f>MAX(B$802:B2101)+1</f>
        <v>20</v>
      </c>
      <c r="C2102" s="450" t="s">
        <v>571</v>
      </c>
      <c r="M2102" s="531"/>
      <c r="N2102" s="470"/>
      <c r="O2102" s="531"/>
      <c r="Q2102" s="469"/>
    </row>
    <row r="2103" spans="2:17" ht="31.5" customHeight="1" x14ac:dyDescent="0.45">
      <c r="B2103" s="563"/>
      <c r="C2103" s="450"/>
      <c r="D2103" s="449" t="s">
        <v>1483</v>
      </c>
      <c r="K2103" s="451"/>
      <c r="M2103" s="526"/>
      <c r="N2103" s="449"/>
      <c r="O2103" s="526"/>
      <c r="Q2103" s="469"/>
    </row>
    <row r="2104" spans="2:17" ht="31.5" customHeight="1" x14ac:dyDescent="0.45">
      <c r="B2104" s="563"/>
      <c r="D2104" s="449" t="str">
        <f>Criteria!G112</f>
        <v>1000 Ordinary shares of R1 each</v>
      </c>
      <c r="H2104" s="501"/>
      <c r="J2104" s="501"/>
      <c r="K2104" s="501"/>
      <c r="M2104" s="539">
        <f>Criteria!E112*Criteria!E113</f>
        <v>1000</v>
      </c>
      <c r="N2104" s="475"/>
      <c r="O2104" s="539">
        <f>Criteria!F112*Criteria!F113</f>
        <v>1000</v>
      </c>
      <c r="Q2104" s="469"/>
    </row>
    <row r="2105" spans="2:17" ht="9" customHeight="1" thickBot="1" x14ac:dyDescent="0.5">
      <c r="B2105" s="563"/>
      <c r="H2105" s="464"/>
      <c r="J2105" s="464"/>
      <c r="K2105" s="464"/>
      <c r="M2105" s="544"/>
      <c r="N2105" s="489"/>
      <c r="O2105" s="544"/>
      <c r="Q2105" s="469"/>
    </row>
    <row r="2106" spans="2:17" ht="31.5" customHeight="1" thickTop="1" x14ac:dyDescent="0.45">
      <c r="B2106" s="563"/>
      <c r="C2106" s="450"/>
      <c r="M2106" s="531"/>
      <c r="N2106" s="470"/>
      <c r="O2106" s="531"/>
      <c r="Q2106" s="469"/>
    </row>
    <row r="2107" spans="2:17" ht="31.5" customHeight="1" x14ac:dyDescent="0.45">
      <c r="B2107" s="563"/>
      <c r="D2107" s="449" t="s">
        <v>988</v>
      </c>
      <c r="M2107" s="40"/>
      <c r="N2107" s="452"/>
      <c r="O2107" s="40"/>
      <c r="Q2107" s="469"/>
    </row>
    <row r="2108" spans="2:17" ht="31.5" customHeight="1" x14ac:dyDescent="0.45">
      <c r="B2108" s="563"/>
      <c r="D2108" s="449" t="str">
        <f>Criteria!G115</f>
        <v>100 Ordinary shares of R1 each</v>
      </c>
      <c r="H2108" s="621"/>
      <c r="J2108" s="464"/>
      <c r="K2108" s="464"/>
      <c r="L2108" s="464"/>
      <c r="M2108" s="530">
        <f>-TrialBalance!L169-TrialBalance!L170</f>
        <v>0</v>
      </c>
      <c r="N2108" s="655"/>
      <c r="O2108" s="531">
        <f>-TrialBalance!N169-TrialBalance!N170</f>
        <v>0</v>
      </c>
      <c r="P2108" s="621"/>
      <c r="Q2108" s="469"/>
    </row>
    <row r="2109" spans="2:17" ht="9" customHeight="1" thickBot="1" x14ac:dyDescent="0.5">
      <c r="B2109" s="563"/>
      <c r="C2109" s="450"/>
      <c r="J2109" s="464"/>
      <c r="K2109" s="464"/>
      <c r="L2109" s="464"/>
      <c r="M2109" s="544"/>
      <c r="N2109" s="489"/>
      <c r="O2109" s="544"/>
      <c r="P2109" s="621"/>
      <c r="Q2109" s="469"/>
    </row>
    <row r="2110" spans="2:17" ht="31.5" customHeight="1" thickTop="1" x14ac:dyDescent="0.45">
      <c r="B2110" s="563"/>
      <c r="C2110" s="450"/>
      <c r="H2110" s="621"/>
      <c r="J2110" s="464"/>
      <c r="K2110" s="464"/>
      <c r="L2110" s="464"/>
      <c r="M2110" s="531"/>
      <c r="N2110" s="470"/>
      <c r="O2110" s="531"/>
      <c r="P2110" s="621"/>
      <c r="Q2110" s="469"/>
    </row>
    <row r="2111" spans="2:17" ht="31.5" customHeight="1" x14ac:dyDescent="0.45">
      <c r="B2111" s="563"/>
      <c r="C2111" s="450"/>
      <c r="H2111" s="621"/>
      <c r="J2111" s="464"/>
      <c r="K2111" s="464"/>
      <c r="L2111" s="464"/>
      <c r="M2111" s="531"/>
      <c r="N2111" s="470"/>
      <c r="O2111" s="531"/>
      <c r="P2111" s="621"/>
      <c r="Q2111" s="469"/>
    </row>
    <row r="2112" spans="2:17" ht="31.5" customHeight="1" x14ac:dyDescent="0.45">
      <c r="B2112" s="564"/>
      <c r="C2112" s="502"/>
      <c r="D2112" s="461"/>
      <c r="E2112" s="461"/>
      <c r="F2112" s="461"/>
      <c r="G2112" s="461"/>
      <c r="H2112" s="646"/>
      <c r="I2112" s="461"/>
      <c r="J2112" s="505"/>
      <c r="K2112" s="505"/>
      <c r="L2112" s="505"/>
      <c r="M2112" s="535"/>
      <c r="N2112" s="473"/>
      <c r="O2112" s="535"/>
      <c r="P2112" s="646"/>
      <c r="Q2112" s="479"/>
    </row>
    <row r="2113" spans="2:18" ht="31.5" customHeight="1" x14ac:dyDescent="0.45">
      <c r="B2113" s="526"/>
      <c r="C2113" s="450"/>
      <c r="M2113" s="531"/>
      <c r="N2113" s="470"/>
      <c r="O2113" s="531"/>
    </row>
    <row r="2114" spans="2:18" ht="31.5" customHeight="1" x14ac:dyDescent="0.45">
      <c r="B2114" s="526"/>
      <c r="C2114" s="450"/>
      <c r="M2114" s="531"/>
      <c r="N2114" s="470"/>
      <c r="O2114" s="531"/>
      <c r="R2114" s="512" t="str">
        <f>R$2130</f>
        <v>DELETE</v>
      </c>
    </row>
    <row r="2115" spans="2:18" ht="31.5" customHeight="1" x14ac:dyDescent="0.45">
      <c r="B2115" s="527"/>
      <c r="D2115" s="450" t="str">
        <f>Criteria!E9</f>
        <v>ABC COMPANY (PROPRIETARY) LIMITED</v>
      </c>
      <c r="M2115" s="635"/>
      <c r="N2115" s="621"/>
      <c r="O2115" s="531" t="s">
        <v>121</v>
      </c>
      <c r="Q2115" s="451">
        <f>MAX($Q$114:Q2114)+1</f>
        <v>51</v>
      </c>
      <c r="R2115" s="512" t="str">
        <f t="shared" ref="R2115:R2124" si="102">R$2130</f>
        <v>DELETE</v>
      </c>
    </row>
    <row r="2116" spans="2:18" ht="31.5" customHeight="1" x14ac:dyDescent="0.45">
      <c r="B2116" s="527"/>
      <c r="D2116" s="450" t="str">
        <f>Criteria!E10</f>
        <v>T/A SEAFRONT HOTEL, SEAFRONT RESTAURANT AND RENTAL PROPERTIES</v>
      </c>
      <c r="M2116" s="635"/>
      <c r="N2116" s="621"/>
      <c r="O2116" s="635"/>
      <c r="R2116" s="512" t="str">
        <f>IF(R$2130="DELETE","DELETE",IF(D2116=0,"DELETE"," "))</f>
        <v>DELETE</v>
      </c>
    </row>
    <row r="2117" spans="2:18" ht="31.5" customHeight="1" x14ac:dyDescent="0.45">
      <c r="B2117" s="527"/>
      <c r="M2117" s="635"/>
      <c r="N2117" s="621"/>
      <c r="O2117" s="635"/>
      <c r="R2117" s="512" t="str">
        <f t="shared" si="102"/>
        <v>DELETE</v>
      </c>
    </row>
    <row r="2118" spans="2:18" ht="31.5" customHeight="1" x14ac:dyDescent="0.45">
      <c r="B2118" s="527"/>
      <c r="D2118" s="450" t="s">
        <v>451</v>
      </c>
      <c r="M2118" s="635"/>
      <c r="N2118" s="621"/>
      <c r="O2118" s="635"/>
      <c r="R2118" s="512" t="str">
        <f t="shared" si="102"/>
        <v>DELETE</v>
      </c>
    </row>
    <row r="2119" spans="2:18" ht="31.5" customHeight="1" x14ac:dyDescent="0.45">
      <c r="B2119" s="527"/>
      <c r="D2119" s="450" t="str">
        <f>Criteria!E20</f>
        <v>29 FEBRUARY 2024</v>
      </c>
      <c r="J2119" s="449" t="s">
        <v>303</v>
      </c>
      <c r="M2119" s="635"/>
      <c r="N2119" s="621"/>
      <c r="O2119" s="635"/>
      <c r="R2119" s="512" t="str">
        <f t="shared" si="102"/>
        <v>DELETE</v>
      </c>
    </row>
    <row r="2120" spans="2:18" ht="31.5" customHeight="1" x14ac:dyDescent="0.45">
      <c r="B2120" s="527"/>
      <c r="D2120" s="450"/>
      <c r="M2120" s="635"/>
      <c r="N2120" s="621"/>
      <c r="O2120" s="635"/>
      <c r="R2120" s="512" t="str">
        <f t="shared" si="102"/>
        <v>DELETE</v>
      </c>
    </row>
    <row r="2121" spans="2:18" ht="31.5" customHeight="1" x14ac:dyDescent="0.45">
      <c r="B2121" s="565"/>
      <c r="C2121" s="503"/>
      <c r="D2121" s="466"/>
      <c r="E2121" s="466"/>
      <c r="F2121" s="466"/>
      <c r="G2121" s="466"/>
      <c r="H2121" s="649"/>
      <c r="I2121" s="466"/>
      <c r="J2121" s="507"/>
      <c r="K2121" s="507"/>
      <c r="L2121" s="507"/>
      <c r="M2121" s="546"/>
      <c r="N2121" s="471"/>
      <c r="O2121" s="546"/>
      <c r="P2121" s="649"/>
      <c r="Q2121" s="467"/>
      <c r="R2121" s="512" t="str">
        <f t="shared" si="102"/>
        <v>DELETE</v>
      </c>
    </row>
    <row r="2122" spans="2:18" ht="31.5" customHeight="1" x14ac:dyDescent="0.45">
      <c r="B2122" s="563"/>
      <c r="C2122" s="450"/>
      <c r="H2122" s="621"/>
      <c r="J2122" s="464"/>
      <c r="K2122" s="464"/>
      <c r="L2122" s="464"/>
      <c r="M2122" s="525">
        <f>Criteria!E22</f>
        <v>2024</v>
      </c>
      <c r="N2122" s="458"/>
      <c r="O2122" s="525">
        <f>Criteria!E27</f>
        <v>2023</v>
      </c>
      <c r="P2122" s="621"/>
      <c r="Q2122" s="469"/>
      <c r="R2122" s="512" t="str">
        <f t="shared" si="102"/>
        <v>DELETE</v>
      </c>
    </row>
    <row r="2123" spans="2:18" ht="31.5" customHeight="1" x14ac:dyDescent="0.45">
      <c r="B2123" s="563"/>
      <c r="C2123" s="450"/>
      <c r="H2123" s="621"/>
      <c r="J2123" s="464"/>
      <c r="K2123" s="464"/>
      <c r="L2123" s="464"/>
      <c r="M2123" s="531"/>
      <c r="N2123" s="470"/>
      <c r="O2123" s="531"/>
      <c r="P2123" s="621"/>
      <c r="Q2123" s="469"/>
      <c r="R2123" s="512" t="str">
        <f t="shared" si="102"/>
        <v>DELETE</v>
      </c>
    </row>
    <row r="2124" spans="2:18" ht="31.5" customHeight="1" x14ac:dyDescent="0.45">
      <c r="B2124" s="563">
        <f>MAX(B$802:B2123)+1</f>
        <v>21</v>
      </c>
      <c r="C2124" s="450" t="s">
        <v>577</v>
      </c>
      <c r="H2124" s="621"/>
      <c r="J2124" s="464"/>
      <c r="K2124" s="464"/>
      <c r="L2124" s="464"/>
      <c r="M2124" s="531"/>
      <c r="N2124" s="470"/>
      <c r="O2124" s="531"/>
      <c r="P2124" s="621"/>
      <c r="Q2124" s="469"/>
      <c r="R2124" s="512" t="str">
        <f t="shared" si="102"/>
        <v>DELETE</v>
      </c>
    </row>
    <row r="2125" spans="2:18" ht="31.5" customHeight="1" x14ac:dyDescent="0.45">
      <c r="B2125" s="563"/>
      <c r="C2125" s="450"/>
      <c r="D2125" s="449" t="s">
        <v>143</v>
      </c>
      <c r="H2125" s="621"/>
      <c r="J2125" s="464"/>
      <c r="K2125" s="464"/>
      <c r="L2125" s="464"/>
      <c r="M2125" s="531">
        <f>-TrialBalance!L172</f>
        <v>0</v>
      </c>
      <c r="N2125" s="470"/>
      <c r="O2125" s="531">
        <f>-TrialBalance!N172</f>
        <v>0</v>
      </c>
      <c r="P2125" s="621"/>
      <c r="Q2125" s="469"/>
      <c r="R2125" s="512" t="str">
        <f>R2130</f>
        <v>DELETE</v>
      </c>
    </row>
    <row r="2126" spans="2:18" ht="31.5" customHeight="1" x14ac:dyDescent="0.45">
      <c r="B2126" s="563"/>
      <c r="C2126" s="450"/>
      <c r="D2126" s="449" t="s">
        <v>578</v>
      </c>
      <c r="H2126" s="621"/>
      <c r="J2126" s="464"/>
      <c r="K2126" s="464"/>
      <c r="L2126" s="464"/>
      <c r="M2126" s="531">
        <f>-TrialBalance!L173</f>
        <v>0</v>
      </c>
      <c r="N2126" s="470"/>
      <c r="O2126" s="531">
        <f>-TrialBalance!N173</f>
        <v>0</v>
      </c>
      <c r="P2126" s="621"/>
      <c r="Q2126" s="469"/>
      <c r="R2126" s="512" t="str">
        <f t="shared" ref="R2126:R2127" si="103">IF(M2126+O2126=0,"DELETE"," ")</f>
        <v>DELETE</v>
      </c>
    </row>
    <row r="2127" spans="2:18" ht="31.5" customHeight="1" x14ac:dyDescent="0.45">
      <c r="B2127" s="563"/>
      <c r="C2127" s="450"/>
      <c r="D2127" s="449" t="s">
        <v>579</v>
      </c>
      <c r="H2127" s="621"/>
      <c r="J2127" s="464"/>
      <c r="K2127" s="464"/>
      <c r="L2127" s="464"/>
      <c r="M2127" s="531">
        <f>-TrialBalance!L174</f>
        <v>0</v>
      </c>
      <c r="N2127" s="470"/>
      <c r="O2127" s="531">
        <f>-TrialBalance!N174</f>
        <v>0</v>
      </c>
      <c r="P2127" s="621"/>
      <c r="Q2127" s="469"/>
      <c r="R2127" s="512" t="str">
        <f t="shared" si="103"/>
        <v>DELETE</v>
      </c>
    </row>
    <row r="2128" spans="2:18" ht="9" customHeight="1" x14ac:dyDescent="0.45">
      <c r="B2128" s="563"/>
      <c r="C2128" s="450"/>
      <c r="H2128" s="621"/>
      <c r="J2128" s="464"/>
      <c r="K2128" s="464"/>
      <c r="L2128" s="464"/>
      <c r="M2128" s="535"/>
      <c r="N2128" s="473"/>
      <c r="O2128" s="535"/>
      <c r="P2128" s="621"/>
      <c r="Q2128" s="469"/>
      <c r="R2128" s="512" t="str">
        <f t="shared" ref="R2128:R2136" si="104">R$2130</f>
        <v>DELETE</v>
      </c>
    </row>
    <row r="2129" spans="2:18" ht="9" customHeight="1" x14ac:dyDescent="0.45">
      <c r="B2129" s="563"/>
      <c r="C2129" s="450"/>
      <c r="H2129" s="621"/>
      <c r="J2129" s="464"/>
      <c r="K2129" s="464"/>
      <c r="L2129" s="464"/>
      <c r="M2129" s="531"/>
      <c r="N2129" s="470"/>
      <c r="O2129" s="531"/>
      <c r="P2129" s="621"/>
      <c r="Q2129" s="469"/>
      <c r="R2129" s="512" t="str">
        <f t="shared" si="104"/>
        <v>DELETE</v>
      </c>
    </row>
    <row r="2130" spans="2:18" ht="31.5" customHeight="1" x14ac:dyDescent="0.45">
      <c r="B2130" s="563"/>
      <c r="C2130" s="450"/>
      <c r="H2130" s="621"/>
      <c r="J2130" s="464"/>
      <c r="K2130" s="464"/>
      <c r="L2130" s="464"/>
      <c r="M2130" s="531">
        <f>SUM(M2125:M2129)</f>
        <v>0</v>
      </c>
      <c r="N2130" s="470"/>
      <c r="O2130" s="531">
        <f>SUM(O2125:O2129)</f>
        <v>0</v>
      </c>
      <c r="P2130" s="621"/>
      <c r="Q2130" s="469"/>
      <c r="R2130" s="512" t="str">
        <f>IF(COUNTIF(O2125:O2127,"&gt;0")&gt;0," ",IF(COUNTIF(M2125:M2127,"&gt;0")&gt;0," ","DELETE"))</f>
        <v>DELETE</v>
      </c>
    </row>
    <row r="2131" spans="2:18" ht="9" customHeight="1" thickBot="1" x14ac:dyDescent="0.5">
      <c r="B2131" s="563"/>
      <c r="C2131" s="450"/>
      <c r="H2131" s="621"/>
      <c r="J2131" s="464"/>
      <c r="K2131" s="464"/>
      <c r="L2131" s="464"/>
      <c r="M2131" s="536"/>
      <c r="N2131" s="474"/>
      <c r="O2131" s="536"/>
      <c r="P2131" s="621"/>
      <c r="Q2131" s="469"/>
      <c r="R2131" s="512" t="str">
        <f t="shared" si="104"/>
        <v>DELETE</v>
      </c>
    </row>
    <row r="2132" spans="2:18" ht="9" customHeight="1" thickTop="1" x14ac:dyDescent="0.45">
      <c r="B2132" s="563"/>
      <c r="C2132" s="450"/>
      <c r="H2132" s="621"/>
      <c r="J2132" s="464"/>
      <c r="K2132" s="464"/>
      <c r="L2132" s="464"/>
      <c r="M2132" s="548"/>
      <c r="N2132" s="491"/>
      <c r="O2132" s="548"/>
      <c r="P2132" s="621"/>
      <c r="Q2132" s="469"/>
      <c r="R2132" s="512" t="str">
        <f t="shared" si="104"/>
        <v>DELETE</v>
      </c>
    </row>
    <row r="2133" spans="2:18" ht="31.5" customHeight="1" x14ac:dyDescent="0.45">
      <c r="B2133" s="563"/>
      <c r="C2133" s="450"/>
      <c r="J2133" s="464"/>
      <c r="K2133" s="464"/>
      <c r="L2133" s="464"/>
      <c r="M2133" s="531"/>
      <c r="N2133" s="470"/>
      <c r="O2133" s="531"/>
      <c r="P2133" s="621"/>
      <c r="Q2133" s="469"/>
      <c r="R2133" s="512" t="str">
        <f t="shared" si="104"/>
        <v>DELETE</v>
      </c>
    </row>
    <row r="2134" spans="2:18" ht="31.5" customHeight="1" x14ac:dyDescent="0.45">
      <c r="B2134" s="563"/>
      <c r="C2134" s="450"/>
      <c r="J2134" s="464"/>
      <c r="K2134" s="464"/>
      <c r="L2134" s="464"/>
      <c r="M2134" s="531"/>
      <c r="N2134" s="470"/>
      <c r="O2134" s="531"/>
      <c r="P2134" s="621"/>
      <c r="Q2134" s="469"/>
      <c r="R2134" s="512" t="str">
        <f t="shared" si="104"/>
        <v>DELETE</v>
      </c>
    </row>
    <row r="2135" spans="2:18" ht="31.5" customHeight="1" x14ac:dyDescent="0.45">
      <c r="B2135" s="564"/>
      <c r="C2135" s="502"/>
      <c r="D2135" s="461"/>
      <c r="E2135" s="461"/>
      <c r="F2135" s="461"/>
      <c r="G2135" s="461"/>
      <c r="H2135" s="461"/>
      <c r="I2135" s="461"/>
      <c r="J2135" s="505"/>
      <c r="K2135" s="505"/>
      <c r="L2135" s="505"/>
      <c r="M2135" s="535"/>
      <c r="N2135" s="473"/>
      <c r="O2135" s="535"/>
      <c r="P2135" s="646"/>
      <c r="Q2135" s="479"/>
      <c r="R2135" s="512" t="str">
        <f t="shared" si="104"/>
        <v>DELETE</v>
      </c>
    </row>
    <row r="2136" spans="2:18" ht="31.5" customHeight="1" x14ac:dyDescent="0.45">
      <c r="B2136" s="526"/>
      <c r="C2136" s="450"/>
      <c r="M2136" s="531"/>
      <c r="N2136" s="470"/>
      <c r="O2136" s="531"/>
      <c r="R2136" s="512" t="str">
        <f t="shared" si="104"/>
        <v>DELETE</v>
      </c>
    </row>
    <row r="2137" spans="2:18" ht="31.5" customHeight="1" x14ac:dyDescent="0.45">
      <c r="B2137" s="526"/>
      <c r="C2137" s="450"/>
      <c r="M2137" s="531"/>
      <c r="N2137" s="470"/>
      <c r="O2137" s="531"/>
      <c r="R2137" s="512" t="str">
        <f>R$2165</f>
        <v>DELETE</v>
      </c>
    </row>
    <row r="2138" spans="2:18" ht="31.5" customHeight="1" x14ac:dyDescent="0.45">
      <c r="B2138" s="527"/>
      <c r="D2138" s="450" t="str">
        <f>Criteria!E9</f>
        <v>ABC COMPANY (PROPRIETARY) LIMITED</v>
      </c>
      <c r="M2138" s="635"/>
      <c r="N2138" s="621"/>
      <c r="O2138" s="531" t="s">
        <v>121</v>
      </c>
      <c r="Q2138" s="451">
        <f>MAX($Q$114:Q2137)+1</f>
        <v>52</v>
      </c>
      <c r="R2138" s="512" t="str">
        <f t="shared" ref="R2138:R2147" si="105">R$2165</f>
        <v>DELETE</v>
      </c>
    </row>
    <row r="2139" spans="2:18" ht="31.5" customHeight="1" x14ac:dyDescent="0.45">
      <c r="B2139" s="527"/>
      <c r="D2139" s="450" t="str">
        <f>Criteria!E10</f>
        <v>T/A SEAFRONT HOTEL, SEAFRONT RESTAURANT AND RENTAL PROPERTIES</v>
      </c>
      <c r="M2139" s="635"/>
      <c r="N2139" s="621"/>
      <c r="O2139" s="635"/>
      <c r="R2139" s="512" t="str">
        <f>IF(R$2165="DELETE","DELETE",IF(D2139=0,"DELETE"," "))</f>
        <v>DELETE</v>
      </c>
    </row>
    <row r="2140" spans="2:18" ht="31.5" customHeight="1" x14ac:dyDescent="0.45">
      <c r="B2140" s="527"/>
      <c r="M2140" s="635"/>
      <c r="N2140" s="621"/>
      <c r="O2140" s="635"/>
      <c r="R2140" s="512" t="str">
        <f t="shared" si="105"/>
        <v>DELETE</v>
      </c>
    </row>
    <row r="2141" spans="2:18" ht="31.5" customHeight="1" x14ac:dyDescent="0.45">
      <c r="B2141" s="527"/>
      <c r="D2141" s="450" t="s">
        <v>451</v>
      </c>
      <c r="M2141" s="635"/>
      <c r="N2141" s="621"/>
      <c r="O2141" s="635"/>
      <c r="R2141" s="512" t="str">
        <f t="shared" si="105"/>
        <v>DELETE</v>
      </c>
    </row>
    <row r="2142" spans="2:18" ht="31.5" customHeight="1" x14ac:dyDescent="0.45">
      <c r="B2142" s="527"/>
      <c r="D2142" s="450" t="str">
        <f>Criteria!E20</f>
        <v>29 FEBRUARY 2024</v>
      </c>
      <c r="J2142" s="449" t="s">
        <v>303</v>
      </c>
      <c r="M2142" s="635"/>
      <c r="N2142" s="621"/>
      <c r="O2142" s="635"/>
      <c r="R2142" s="512" t="str">
        <f t="shared" si="105"/>
        <v>DELETE</v>
      </c>
    </row>
    <row r="2143" spans="2:18" ht="31.5" customHeight="1" x14ac:dyDescent="0.45">
      <c r="B2143" s="527"/>
      <c r="D2143" s="450"/>
      <c r="M2143" s="635"/>
      <c r="N2143" s="621"/>
      <c r="O2143" s="635"/>
      <c r="R2143" s="512" t="str">
        <f t="shared" si="105"/>
        <v>DELETE</v>
      </c>
    </row>
    <row r="2144" spans="2:18" ht="31.5" customHeight="1" x14ac:dyDescent="0.45">
      <c r="B2144" s="565"/>
      <c r="C2144" s="503"/>
      <c r="D2144" s="466"/>
      <c r="E2144" s="466"/>
      <c r="F2144" s="466"/>
      <c r="G2144" s="466"/>
      <c r="H2144" s="466"/>
      <c r="I2144" s="466"/>
      <c r="J2144" s="507"/>
      <c r="K2144" s="507"/>
      <c r="L2144" s="507"/>
      <c r="M2144" s="546"/>
      <c r="N2144" s="471"/>
      <c r="O2144" s="546"/>
      <c r="P2144" s="649"/>
      <c r="Q2144" s="467"/>
      <c r="R2144" s="512" t="str">
        <f t="shared" si="105"/>
        <v>DELETE</v>
      </c>
    </row>
    <row r="2145" spans="2:24" ht="31.5" customHeight="1" x14ac:dyDescent="0.45">
      <c r="B2145" s="563"/>
      <c r="C2145" s="450"/>
      <c r="J2145" s="464"/>
      <c r="K2145" s="464"/>
      <c r="L2145" s="464"/>
      <c r="M2145" s="525">
        <f>Criteria!E22</f>
        <v>2024</v>
      </c>
      <c r="N2145" s="458"/>
      <c r="O2145" s="525">
        <f>Criteria!E27</f>
        <v>2023</v>
      </c>
      <c r="P2145" s="621"/>
      <c r="Q2145" s="469"/>
      <c r="R2145" s="512" t="str">
        <f t="shared" si="105"/>
        <v>DELETE</v>
      </c>
    </row>
    <row r="2146" spans="2:24" ht="31.5" customHeight="1" x14ac:dyDescent="0.45">
      <c r="B2146" s="563"/>
      <c r="C2146" s="450"/>
      <c r="J2146" s="464"/>
      <c r="K2146" s="464"/>
      <c r="L2146" s="464"/>
      <c r="M2146" s="531"/>
      <c r="N2146" s="470"/>
      <c r="O2146" s="531"/>
      <c r="P2146" s="621"/>
      <c r="Q2146" s="469"/>
      <c r="R2146" s="512" t="str">
        <f t="shared" si="105"/>
        <v>DELETE</v>
      </c>
    </row>
    <row r="2147" spans="2:24" ht="31.5" customHeight="1" x14ac:dyDescent="0.45">
      <c r="B2147" s="563">
        <f>MAX(B$802:B2146)+1</f>
        <v>22</v>
      </c>
      <c r="C2147" s="450" t="s">
        <v>142</v>
      </c>
      <c r="M2147" s="531"/>
      <c r="N2147" s="470"/>
      <c r="O2147" s="531"/>
      <c r="Q2147" s="469"/>
      <c r="R2147" s="512" t="str">
        <f t="shared" si="105"/>
        <v>DELETE</v>
      </c>
    </row>
    <row r="2148" spans="2:24" ht="31.5" customHeight="1" x14ac:dyDescent="0.45">
      <c r="B2148" s="563"/>
      <c r="C2148" s="450"/>
      <c r="D2148" s="449" t="s">
        <v>1329</v>
      </c>
      <c r="M2148" s="531">
        <f>SUM(M2151:M2153)</f>
        <v>0</v>
      </c>
      <c r="N2148" s="470"/>
      <c r="O2148" s="531">
        <f>SUM(O2151:O2153)</f>
        <v>0</v>
      </c>
      <c r="Q2148" s="469"/>
      <c r="R2148" s="512" t="str">
        <f>IF(COUNTIF(O2151:O2153,"&gt;0")&gt;0," ",IF(COUNTIF(M2151:M2153,"&gt;0")&gt;0," ","DELETE"))</f>
        <v>DELETE</v>
      </c>
      <c r="S2148" s="517">
        <f>M2148</f>
        <v>0</v>
      </c>
      <c r="T2148" s="517"/>
      <c r="U2148" s="517">
        <f>O2148</f>
        <v>0</v>
      </c>
      <c r="V2148" s="517"/>
      <c r="W2148" s="517"/>
      <c r="X2148" s="517"/>
    </row>
    <row r="2149" spans="2:24" ht="9" customHeight="1" x14ac:dyDescent="0.45">
      <c r="B2149" s="563"/>
      <c r="C2149" s="450"/>
      <c r="M2149" s="531"/>
      <c r="N2149" s="470"/>
      <c r="O2149" s="531"/>
      <c r="Q2149" s="469"/>
      <c r="R2149" s="512" t="str">
        <f t="shared" ref="R2149" si="106">R2148</f>
        <v>DELETE</v>
      </c>
    </row>
    <row r="2150" spans="2:24" ht="9" customHeight="1" x14ac:dyDescent="0.45">
      <c r="B2150" s="563"/>
      <c r="C2150" s="450"/>
      <c r="M2150" s="532"/>
      <c r="N2150" s="471"/>
      <c r="O2150" s="552"/>
      <c r="Q2150" s="469"/>
      <c r="R2150" s="512" t="str">
        <f>R2148</f>
        <v>DELETE</v>
      </c>
    </row>
    <row r="2151" spans="2:24" ht="31.5" customHeight="1" x14ac:dyDescent="0.45">
      <c r="B2151" s="563"/>
      <c r="C2151" s="450"/>
      <c r="D2151" s="449" t="s">
        <v>143</v>
      </c>
      <c r="M2151" s="533">
        <f>-TrialBalance!L176</f>
        <v>0</v>
      </c>
      <c r="N2151" s="470"/>
      <c r="O2151" s="553">
        <f>-TrialBalance!N176</f>
        <v>0</v>
      </c>
      <c r="Q2151" s="469"/>
      <c r="R2151" s="512" t="str">
        <f>R2148</f>
        <v>DELETE</v>
      </c>
      <c r="V2151" s="513" t="b">
        <f>M2151=O2148</f>
        <v>1</v>
      </c>
    </row>
    <row r="2152" spans="2:24" ht="31.5" customHeight="1" x14ac:dyDescent="0.45">
      <c r="B2152" s="563"/>
      <c r="C2152" s="450"/>
      <c r="D2152" s="449" t="s">
        <v>1593</v>
      </c>
      <c r="M2152" s="533">
        <f>-TrialBalance!L177</f>
        <v>0</v>
      </c>
      <c r="N2152" s="470"/>
      <c r="O2152" s="553">
        <f>-TrialBalance!N177</f>
        <v>0</v>
      </c>
      <c r="Q2152" s="469"/>
      <c r="R2152" s="512" t="str">
        <f t="shared" ref="R2152:R2153" si="107">IF(M2152+O2152=0,"DELETE"," ")</f>
        <v>DELETE</v>
      </c>
    </row>
    <row r="2153" spans="2:24" ht="31.5" customHeight="1" x14ac:dyDescent="0.45">
      <c r="B2153" s="563"/>
      <c r="C2153" s="450"/>
      <c r="D2153" s="449" t="s">
        <v>1594</v>
      </c>
      <c r="M2153" s="533">
        <f>-TrialBalance!L178</f>
        <v>0</v>
      </c>
      <c r="N2153" s="470"/>
      <c r="O2153" s="553">
        <f>-TrialBalance!N178</f>
        <v>0</v>
      </c>
      <c r="Q2153" s="469"/>
      <c r="R2153" s="512" t="str">
        <f t="shared" si="107"/>
        <v>DELETE</v>
      </c>
    </row>
    <row r="2154" spans="2:24" ht="9" customHeight="1" x14ac:dyDescent="0.45">
      <c r="B2154" s="563"/>
      <c r="C2154" s="450"/>
      <c r="M2154" s="534"/>
      <c r="N2154" s="473"/>
      <c r="O2154" s="554"/>
      <c r="Q2154" s="469"/>
      <c r="R2154" s="512" t="str">
        <f>R2148</f>
        <v>DELETE</v>
      </c>
    </row>
    <row r="2155" spans="2:24" ht="9" customHeight="1" x14ac:dyDescent="0.45">
      <c r="B2155" s="563"/>
      <c r="C2155" s="450"/>
      <c r="M2155" s="531"/>
      <c r="N2155" s="470"/>
      <c r="O2155" s="531"/>
      <c r="Q2155" s="469"/>
      <c r="R2155" s="512" t="str">
        <f>R2148</f>
        <v>DELETE</v>
      </c>
    </row>
    <row r="2156" spans="2:24" ht="31.5" customHeight="1" x14ac:dyDescent="0.45">
      <c r="B2156" s="563"/>
      <c r="C2156" s="450"/>
      <c r="D2156" s="449" t="s">
        <v>304</v>
      </c>
      <c r="M2156" s="531">
        <f>SUM(M2159:M2161)</f>
        <v>0</v>
      </c>
      <c r="N2156" s="470"/>
      <c r="O2156" s="531">
        <f>SUM(O2159:O2161)</f>
        <v>0</v>
      </c>
      <c r="Q2156" s="469"/>
      <c r="R2156" s="512" t="str">
        <f>IF(COUNTIF(O2159:O2161,"&gt;0")&gt;0," ",IF(COUNTIF(M2159:M2161,"&gt;0")&gt;0," ","DELETE"))</f>
        <v>DELETE</v>
      </c>
      <c r="S2156" s="517">
        <f>M2156</f>
        <v>0</v>
      </c>
      <c r="T2156" s="517"/>
      <c r="U2156" s="517">
        <f>O2156</f>
        <v>0</v>
      </c>
      <c r="V2156" s="517"/>
      <c r="W2156" s="517"/>
      <c r="X2156" s="517"/>
    </row>
    <row r="2157" spans="2:24" ht="9" customHeight="1" x14ac:dyDescent="0.45">
      <c r="B2157" s="563"/>
      <c r="C2157" s="450"/>
      <c r="M2157" s="531"/>
      <c r="N2157" s="470"/>
      <c r="O2157" s="531"/>
      <c r="Q2157" s="469"/>
      <c r="R2157" s="512" t="str">
        <f>R2156</f>
        <v>DELETE</v>
      </c>
    </row>
    <row r="2158" spans="2:24" ht="9" customHeight="1" x14ac:dyDescent="0.45">
      <c r="B2158" s="563"/>
      <c r="C2158" s="450"/>
      <c r="M2158" s="532"/>
      <c r="N2158" s="471"/>
      <c r="O2158" s="552"/>
      <c r="Q2158" s="469"/>
      <c r="R2158" s="512" t="str">
        <f>R2156</f>
        <v>DELETE</v>
      </c>
    </row>
    <row r="2159" spans="2:24" ht="31.5" customHeight="1" x14ac:dyDescent="0.45">
      <c r="B2159" s="563"/>
      <c r="C2159" s="450"/>
      <c r="D2159" s="449" t="s">
        <v>143</v>
      </c>
      <c r="M2159" s="533">
        <f>-TrialBalance!L180</f>
        <v>0</v>
      </c>
      <c r="N2159" s="470"/>
      <c r="O2159" s="553">
        <f>-TrialBalance!N180</f>
        <v>0</v>
      </c>
      <c r="Q2159" s="469"/>
      <c r="R2159" s="512" t="str">
        <f>R2156</f>
        <v>DELETE</v>
      </c>
      <c r="V2159" s="513" t="b">
        <f>M2159=O2156</f>
        <v>1</v>
      </c>
    </row>
    <row r="2160" spans="2:24" ht="31.5" customHeight="1" x14ac:dyDescent="0.45">
      <c r="B2160" s="563"/>
      <c r="C2160" s="450"/>
      <c r="D2160" s="449" t="s">
        <v>1595</v>
      </c>
      <c r="M2160" s="533">
        <f>-TrialBalance!L181</f>
        <v>0</v>
      </c>
      <c r="N2160" s="470"/>
      <c r="O2160" s="553">
        <f>-TrialBalance!N181</f>
        <v>0</v>
      </c>
      <c r="Q2160" s="469"/>
      <c r="R2160" s="512" t="str">
        <f t="shared" ref="R2160:R2161" si="108">IF(M2160+O2160=0,"DELETE"," ")</f>
        <v>DELETE</v>
      </c>
    </row>
    <row r="2161" spans="2:18" ht="31.5" customHeight="1" x14ac:dyDescent="0.45">
      <c r="B2161" s="563"/>
      <c r="C2161" s="450"/>
      <c r="D2161" s="449" t="s">
        <v>1596</v>
      </c>
      <c r="M2161" s="533">
        <f>-TrialBalance!L182</f>
        <v>0</v>
      </c>
      <c r="N2161" s="470"/>
      <c r="O2161" s="553">
        <f>-TrialBalance!N182</f>
        <v>0</v>
      </c>
      <c r="Q2161" s="469"/>
      <c r="R2161" s="512" t="str">
        <f t="shared" si="108"/>
        <v>DELETE</v>
      </c>
    </row>
    <row r="2162" spans="2:18" ht="9" customHeight="1" x14ac:dyDescent="0.45">
      <c r="B2162" s="563"/>
      <c r="C2162" s="450"/>
      <c r="M2162" s="534"/>
      <c r="N2162" s="473"/>
      <c r="O2162" s="554"/>
      <c r="Q2162" s="469"/>
      <c r="R2162" s="512" t="str">
        <f>R2156</f>
        <v>DELETE</v>
      </c>
    </row>
    <row r="2163" spans="2:18" ht="9" customHeight="1" x14ac:dyDescent="0.45">
      <c r="B2163" s="563"/>
      <c r="C2163" s="450"/>
      <c r="M2163" s="535"/>
      <c r="N2163" s="473"/>
      <c r="O2163" s="535"/>
      <c r="Q2163" s="469"/>
      <c r="R2163" s="512" t="str">
        <f>R2165</f>
        <v>DELETE</v>
      </c>
    </row>
    <row r="2164" spans="2:18" ht="9" customHeight="1" x14ac:dyDescent="0.45">
      <c r="B2164" s="563"/>
      <c r="C2164" s="450"/>
      <c r="M2164" s="531"/>
      <c r="N2164" s="470"/>
      <c r="O2164" s="531"/>
      <c r="Q2164" s="469"/>
      <c r="R2164" s="512" t="str">
        <f>R2165</f>
        <v>DELETE</v>
      </c>
    </row>
    <row r="2165" spans="2:18" ht="31.5" customHeight="1" x14ac:dyDescent="0.45">
      <c r="B2165" s="563"/>
      <c r="C2165" s="450"/>
      <c r="M2165" s="531">
        <f>SUM(S2148:S2163)</f>
        <v>0</v>
      </c>
      <c r="N2165" s="470"/>
      <c r="O2165" s="531">
        <f>SUM(U2148:U2163)</f>
        <v>0</v>
      </c>
      <c r="Q2165" s="469"/>
      <c r="R2165" s="512" t="str">
        <f>IF(R2148=" "," ",IF(R2156=" "," ","DELETE"))</f>
        <v>DELETE</v>
      </c>
    </row>
    <row r="2166" spans="2:18" ht="9" customHeight="1" thickBot="1" x14ac:dyDescent="0.5">
      <c r="B2166" s="563"/>
      <c r="C2166" s="450"/>
      <c r="M2166" s="536"/>
      <c r="N2166" s="474"/>
      <c r="O2166" s="536"/>
      <c r="Q2166" s="469"/>
      <c r="R2166" s="512" t="str">
        <f>R2165</f>
        <v>DELETE</v>
      </c>
    </row>
    <row r="2167" spans="2:18" ht="9" customHeight="1" thickTop="1" x14ac:dyDescent="0.45">
      <c r="B2167" s="563"/>
      <c r="C2167" s="450"/>
      <c r="M2167" s="531"/>
      <c r="N2167" s="470"/>
      <c r="O2167" s="531"/>
      <c r="Q2167" s="469"/>
      <c r="R2167" s="512" t="str">
        <f>R2165</f>
        <v>DELETE</v>
      </c>
    </row>
    <row r="2168" spans="2:18" ht="31.5" customHeight="1" x14ac:dyDescent="0.45">
      <c r="B2168" s="563"/>
      <c r="C2168" s="450"/>
      <c r="M2168" s="531"/>
      <c r="N2168" s="470"/>
      <c r="O2168" s="531"/>
      <c r="Q2168" s="469"/>
      <c r="R2168" s="512" t="str">
        <f>R$2165</f>
        <v>DELETE</v>
      </c>
    </row>
    <row r="2169" spans="2:18" ht="31.5" customHeight="1" x14ac:dyDescent="0.45">
      <c r="B2169" s="563"/>
      <c r="C2169" s="450"/>
      <c r="M2169" s="531"/>
      <c r="N2169" s="470"/>
      <c r="O2169" s="531"/>
      <c r="Q2169" s="469"/>
      <c r="R2169" s="512" t="str">
        <f>R$2165</f>
        <v>DELETE</v>
      </c>
    </row>
    <row r="2170" spans="2:18" ht="31.5" customHeight="1" x14ac:dyDescent="0.45">
      <c r="B2170" s="567"/>
      <c r="C2170" s="461"/>
      <c r="D2170" s="461"/>
      <c r="E2170" s="461"/>
      <c r="F2170" s="461"/>
      <c r="G2170" s="461"/>
      <c r="H2170" s="461"/>
      <c r="I2170" s="461"/>
      <c r="J2170" s="461"/>
      <c r="K2170" s="461"/>
      <c r="L2170" s="461"/>
      <c r="M2170" s="640"/>
      <c r="N2170" s="646"/>
      <c r="O2170" s="640"/>
      <c r="P2170" s="631"/>
      <c r="Q2170" s="479"/>
      <c r="R2170" s="512" t="str">
        <f>R$2165</f>
        <v>DELETE</v>
      </c>
    </row>
    <row r="2171" spans="2:18" ht="31.5" customHeight="1" x14ac:dyDescent="0.45">
      <c r="B2171" s="527"/>
      <c r="M2171" s="635"/>
      <c r="N2171" s="621"/>
      <c r="O2171" s="635"/>
      <c r="R2171" s="512" t="str">
        <f>R$2165</f>
        <v>DELETE</v>
      </c>
    </row>
    <row r="2172" spans="2:18" ht="31.5" customHeight="1" x14ac:dyDescent="0.45">
      <c r="B2172" s="527"/>
      <c r="M2172" s="635"/>
      <c r="N2172" s="621"/>
      <c r="O2172" s="635"/>
      <c r="R2172" s="512" t="str">
        <f>R$2204</f>
        <v>DELETE</v>
      </c>
    </row>
    <row r="2173" spans="2:18" ht="31.5" customHeight="1" x14ac:dyDescent="0.45">
      <c r="B2173" s="527"/>
      <c r="D2173" s="450" t="str">
        <f>Criteria!E9</f>
        <v>ABC COMPANY (PROPRIETARY) LIMITED</v>
      </c>
      <c r="M2173" s="635"/>
      <c r="N2173" s="621"/>
      <c r="O2173" s="531" t="s">
        <v>121</v>
      </c>
      <c r="Q2173" s="451">
        <f>MAX($Q$114:Q2172)+1</f>
        <v>53</v>
      </c>
      <c r="R2173" s="512" t="str">
        <f>R$2204</f>
        <v>DELETE</v>
      </c>
    </row>
    <row r="2174" spans="2:18" ht="31.5" customHeight="1" x14ac:dyDescent="0.45">
      <c r="B2174" s="527"/>
      <c r="D2174" s="450" t="str">
        <f>Criteria!E10</f>
        <v>T/A SEAFRONT HOTEL, SEAFRONT RESTAURANT AND RENTAL PROPERTIES</v>
      </c>
      <c r="M2174" s="635"/>
      <c r="N2174" s="621"/>
      <c r="O2174" s="635"/>
      <c r="R2174" s="512" t="str">
        <f>IF(R$2204="DELETE","DELETE",IF(D2174=0,"DELETE"," "))</f>
        <v>DELETE</v>
      </c>
    </row>
    <row r="2175" spans="2:18" ht="31.5" customHeight="1" x14ac:dyDescent="0.45">
      <c r="B2175" s="527"/>
      <c r="M2175" s="635"/>
      <c r="N2175" s="621"/>
      <c r="O2175" s="635"/>
      <c r="R2175" s="512" t="str">
        <f t="shared" ref="R2175:R2182" si="109">R$2204</f>
        <v>DELETE</v>
      </c>
    </row>
    <row r="2176" spans="2:18" ht="31.5" customHeight="1" x14ac:dyDescent="0.45">
      <c r="B2176" s="527"/>
      <c r="D2176" s="450" t="s">
        <v>451</v>
      </c>
      <c r="M2176" s="635"/>
      <c r="N2176" s="621"/>
      <c r="O2176" s="635"/>
      <c r="R2176" s="512" t="str">
        <f t="shared" si="109"/>
        <v>DELETE</v>
      </c>
    </row>
    <row r="2177" spans="2:21" ht="31.5" customHeight="1" x14ac:dyDescent="0.45">
      <c r="B2177" s="527"/>
      <c r="D2177" s="450" t="str">
        <f>Criteria!E20</f>
        <v>29 FEBRUARY 2024</v>
      </c>
      <c r="J2177" s="449" t="s">
        <v>303</v>
      </c>
      <c r="M2177" s="635"/>
      <c r="N2177" s="621"/>
      <c r="O2177" s="635"/>
      <c r="R2177" s="512" t="str">
        <f t="shared" si="109"/>
        <v>DELETE</v>
      </c>
    </row>
    <row r="2178" spans="2:21" ht="31.5" customHeight="1" x14ac:dyDescent="0.45">
      <c r="B2178" s="527"/>
      <c r="M2178" s="640"/>
      <c r="N2178" s="646"/>
      <c r="O2178" s="640"/>
      <c r="R2178" s="512" t="str">
        <f t="shared" si="109"/>
        <v>DELETE</v>
      </c>
    </row>
    <row r="2179" spans="2:21" ht="31.5" customHeight="1" x14ac:dyDescent="0.45">
      <c r="B2179" s="566"/>
      <c r="C2179" s="466"/>
      <c r="D2179" s="466"/>
      <c r="E2179" s="466"/>
      <c r="F2179" s="466"/>
      <c r="G2179" s="466"/>
      <c r="H2179" s="466"/>
      <c r="I2179" s="466"/>
      <c r="J2179" s="466"/>
      <c r="K2179" s="466"/>
      <c r="L2179" s="466"/>
      <c r="M2179" s="648"/>
      <c r="N2179" s="649"/>
      <c r="O2179" s="648"/>
      <c r="P2179" s="643"/>
      <c r="Q2179" s="467"/>
      <c r="R2179" s="512" t="str">
        <f t="shared" si="109"/>
        <v>DELETE</v>
      </c>
    </row>
    <row r="2180" spans="2:21" ht="31.5" customHeight="1" x14ac:dyDescent="0.45">
      <c r="B2180" s="582"/>
      <c r="M2180" s="525">
        <f>Criteria!E22</f>
        <v>2024</v>
      </c>
      <c r="N2180" s="458"/>
      <c r="O2180" s="525">
        <f>Criteria!E27</f>
        <v>2023</v>
      </c>
      <c r="Q2180" s="469"/>
      <c r="R2180" s="512" t="str">
        <f t="shared" si="109"/>
        <v>DELETE</v>
      </c>
    </row>
    <row r="2181" spans="2:21" ht="31.5" customHeight="1" x14ac:dyDescent="0.45">
      <c r="B2181" s="563"/>
      <c r="C2181" s="450"/>
      <c r="M2181" s="531"/>
      <c r="N2181" s="470"/>
      <c r="O2181" s="531"/>
      <c r="Q2181" s="469"/>
      <c r="R2181" s="512" t="str">
        <f t="shared" si="109"/>
        <v>DELETE</v>
      </c>
    </row>
    <row r="2182" spans="2:21" ht="31.5" customHeight="1" x14ac:dyDescent="0.45">
      <c r="B2182" s="563">
        <f>MAX(B$802:B2181)+1</f>
        <v>23</v>
      </c>
      <c r="C2182" s="450" t="str">
        <f>IF(COUNTIF(TrialBalance!N185:N199,"&lt;0")&gt;1,"INTEREST BEARING BORROWINGS",IF(COUNTIF(TrialBalance!L185:L199,"&lt;0")&gt;1,"INTEREST BEARING BORROWINGS","INTEREST BEARING BORROWING"))</f>
        <v>INTEREST BEARING BORROWING</v>
      </c>
      <c r="M2182" s="531"/>
      <c r="N2182" s="470"/>
      <c r="O2182" s="531"/>
      <c r="Q2182" s="469"/>
      <c r="R2182" s="512" t="str">
        <f t="shared" si="109"/>
        <v>DELETE</v>
      </c>
      <c r="S2182" s="517">
        <f>SUM(M2183:M2198)</f>
        <v>0</v>
      </c>
      <c r="T2182" s="517"/>
      <c r="U2182" s="517">
        <f>SUM(O2183:O2198)</f>
        <v>0</v>
      </c>
    </row>
    <row r="2183" spans="2:21" ht="31.5" customHeight="1" x14ac:dyDescent="0.45">
      <c r="B2183" s="563"/>
      <c r="C2183" s="450"/>
      <c r="D2183" s="449">
        <f>TrialBalance!C185</f>
        <v>0</v>
      </c>
      <c r="M2183" s="531">
        <f>-TrialBalance!L185</f>
        <v>0</v>
      </c>
      <c r="N2183" s="470"/>
      <c r="O2183" s="531">
        <f>-TrialBalance!N185</f>
        <v>0</v>
      </c>
      <c r="Q2183" s="469"/>
      <c r="R2183" s="512" t="str">
        <f>IF(M2183+O2183=0,"DELETE"," ")</f>
        <v>DELETE</v>
      </c>
    </row>
    <row r="2184" spans="2:21" ht="31.5" customHeight="1" x14ac:dyDescent="0.45">
      <c r="B2184" s="563"/>
      <c r="C2184" s="450"/>
      <c r="D2184" s="449">
        <f>TrialBalance!C186</f>
        <v>0</v>
      </c>
      <c r="M2184" s="531">
        <f>-TrialBalance!L186</f>
        <v>0</v>
      </c>
      <c r="N2184" s="470"/>
      <c r="O2184" s="531">
        <f>-TrialBalance!N186</f>
        <v>0</v>
      </c>
      <c r="Q2184" s="469"/>
      <c r="R2184" s="512" t="str">
        <f t="shared" ref="R2184:R2197" si="110">IF(M2184+O2184=0,"DELETE"," ")</f>
        <v>DELETE</v>
      </c>
    </row>
    <row r="2185" spans="2:21" ht="31.5" customHeight="1" x14ac:dyDescent="0.45">
      <c r="B2185" s="563"/>
      <c r="C2185" s="450"/>
      <c r="D2185" s="449">
        <f>TrialBalance!C187</f>
        <v>0</v>
      </c>
      <c r="M2185" s="531">
        <f>-TrialBalance!L187</f>
        <v>0</v>
      </c>
      <c r="N2185" s="470"/>
      <c r="O2185" s="531">
        <f>-TrialBalance!N187</f>
        <v>0</v>
      </c>
      <c r="Q2185" s="469"/>
      <c r="R2185" s="512" t="str">
        <f t="shared" si="110"/>
        <v>DELETE</v>
      </c>
    </row>
    <row r="2186" spans="2:21" ht="31.5" customHeight="1" x14ac:dyDescent="0.45">
      <c r="B2186" s="563"/>
      <c r="C2186" s="450"/>
      <c r="D2186" s="449">
        <f>TrialBalance!C188</f>
        <v>0</v>
      </c>
      <c r="M2186" s="531">
        <f>-TrialBalance!L188</f>
        <v>0</v>
      </c>
      <c r="N2186" s="470"/>
      <c r="O2186" s="531">
        <f>-TrialBalance!N188</f>
        <v>0</v>
      </c>
      <c r="Q2186" s="469"/>
      <c r="R2186" s="512" t="str">
        <f t="shared" si="110"/>
        <v>DELETE</v>
      </c>
    </row>
    <row r="2187" spans="2:21" ht="31.5" customHeight="1" x14ac:dyDescent="0.45">
      <c r="B2187" s="563"/>
      <c r="C2187" s="450"/>
      <c r="D2187" s="449">
        <f>TrialBalance!C189</f>
        <v>0</v>
      </c>
      <c r="M2187" s="531">
        <f>-TrialBalance!L189</f>
        <v>0</v>
      </c>
      <c r="N2187" s="470"/>
      <c r="O2187" s="531">
        <f>-TrialBalance!N189</f>
        <v>0</v>
      </c>
      <c r="Q2187" s="469"/>
      <c r="R2187" s="512" t="str">
        <f t="shared" si="110"/>
        <v>DELETE</v>
      </c>
    </row>
    <row r="2188" spans="2:21" ht="31.5" customHeight="1" x14ac:dyDescent="0.45">
      <c r="B2188" s="563"/>
      <c r="C2188" s="450"/>
      <c r="D2188" s="449">
        <f>TrialBalance!C190</f>
        <v>0</v>
      </c>
      <c r="M2188" s="531">
        <f>-TrialBalance!L190</f>
        <v>0</v>
      </c>
      <c r="N2188" s="470"/>
      <c r="O2188" s="531">
        <f>-TrialBalance!N190</f>
        <v>0</v>
      </c>
      <c r="Q2188" s="469"/>
      <c r="R2188" s="512" t="str">
        <f t="shared" si="110"/>
        <v>DELETE</v>
      </c>
    </row>
    <row r="2189" spans="2:21" ht="31.5" customHeight="1" x14ac:dyDescent="0.45">
      <c r="B2189" s="563"/>
      <c r="C2189" s="450"/>
      <c r="D2189" s="449">
        <f>TrialBalance!C191</f>
        <v>0</v>
      </c>
      <c r="M2189" s="531">
        <f>-TrialBalance!L191</f>
        <v>0</v>
      </c>
      <c r="N2189" s="470"/>
      <c r="O2189" s="531">
        <f>-TrialBalance!N191</f>
        <v>0</v>
      </c>
      <c r="Q2189" s="469"/>
      <c r="R2189" s="512" t="str">
        <f t="shared" si="110"/>
        <v>DELETE</v>
      </c>
    </row>
    <row r="2190" spans="2:21" ht="31.5" customHeight="1" x14ac:dyDescent="0.45">
      <c r="B2190" s="563"/>
      <c r="C2190" s="450"/>
      <c r="D2190" s="449">
        <f>TrialBalance!C192</f>
        <v>0</v>
      </c>
      <c r="M2190" s="531">
        <f>-TrialBalance!L192</f>
        <v>0</v>
      </c>
      <c r="N2190" s="470"/>
      <c r="O2190" s="531">
        <f>-TrialBalance!N192</f>
        <v>0</v>
      </c>
      <c r="Q2190" s="469"/>
      <c r="R2190" s="512" t="str">
        <f t="shared" si="110"/>
        <v>DELETE</v>
      </c>
    </row>
    <row r="2191" spans="2:21" ht="31.5" customHeight="1" x14ac:dyDescent="0.45">
      <c r="B2191" s="563"/>
      <c r="C2191" s="450"/>
      <c r="D2191" s="449">
        <f>TrialBalance!C193</f>
        <v>0</v>
      </c>
      <c r="M2191" s="531">
        <f>-TrialBalance!L193</f>
        <v>0</v>
      </c>
      <c r="N2191" s="470"/>
      <c r="O2191" s="531">
        <f>-TrialBalance!N193</f>
        <v>0</v>
      </c>
      <c r="Q2191" s="469"/>
      <c r="R2191" s="512" t="str">
        <f t="shared" si="110"/>
        <v>DELETE</v>
      </c>
    </row>
    <row r="2192" spans="2:21" ht="31.5" customHeight="1" x14ac:dyDescent="0.45">
      <c r="B2192" s="563"/>
      <c r="C2192" s="450"/>
      <c r="D2192" s="449">
        <f>TrialBalance!C194</f>
        <v>0</v>
      </c>
      <c r="M2192" s="531">
        <f>-TrialBalance!L194</f>
        <v>0</v>
      </c>
      <c r="N2192" s="470"/>
      <c r="O2192" s="531">
        <f>-TrialBalance!N194</f>
        <v>0</v>
      </c>
      <c r="Q2192" s="469"/>
      <c r="R2192" s="512" t="str">
        <f t="shared" si="110"/>
        <v>DELETE</v>
      </c>
    </row>
    <row r="2193" spans="2:24" ht="31.5" customHeight="1" x14ac:dyDescent="0.45">
      <c r="B2193" s="563"/>
      <c r="C2193" s="450"/>
      <c r="D2193" s="449">
        <f>TrialBalance!C195</f>
        <v>0</v>
      </c>
      <c r="M2193" s="531">
        <f>-TrialBalance!L195</f>
        <v>0</v>
      </c>
      <c r="N2193" s="470"/>
      <c r="O2193" s="531">
        <f>-TrialBalance!N195</f>
        <v>0</v>
      </c>
      <c r="Q2193" s="469"/>
      <c r="R2193" s="512" t="str">
        <f t="shared" si="110"/>
        <v>DELETE</v>
      </c>
    </row>
    <row r="2194" spans="2:24" ht="31.5" customHeight="1" x14ac:dyDescent="0.45">
      <c r="B2194" s="563"/>
      <c r="C2194" s="450"/>
      <c r="D2194" s="449">
        <f>TrialBalance!C196</f>
        <v>0</v>
      </c>
      <c r="M2194" s="531">
        <f>-TrialBalance!L196</f>
        <v>0</v>
      </c>
      <c r="N2194" s="470"/>
      <c r="O2194" s="531">
        <f>-TrialBalance!N196</f>
        <v>0</v>
      </c>
      <c r="Q2194" s="469"/>
      <c r="R2194" s="512" t="str">
        <f t="shared" ref="R2194:R2195" si="111">IF(M2194+O2194=0,"DELETE"," ")</f>
        <v>DELETE</v>
      </c>
    </row>
    <row r="2195" spans="2:24" ht="31.5" customHeight="1" x14ac:dyDescent="0.45">
      <c r="B2195" s="563"/>
      <c r="C2195" s="450"/>
      <c r="D2195" s="449">
        <f>TrialBalance!C197</f>
        <v>0</v>
      </c>
      <c r="M2195" s="531">
        <f>-TrialBalance!L197</f>
        <v>0</v>
      </c>
      <c r="N2195" s="470"/>
      <c r="O2195" s="531">
        <f>-TrialBalance!N197</f>
        <v>0</v>
      </c>
      <c r="Q2195" s="469"/>
      <c r="R2195" s="512" t="str">
        <f t="shared" si="111"/>
        <v>DELETE</v>
      </c>
    </row>
    <row r="2196" spans="2:24" ht="31.5" customHeight="1" x14ac:dyDescent="0.45">
      <c r="B2196" s="563"/>
      <c r="C2196" s="450"/>
      <c r="D2196" s="449">
        <f>TrialBalance!C198</f>
        <v>0</v>
      </c>
      <c r="M2196" s="531">
        <f>-TrialBalance!L198</f>
        <v>0</v>
      </c>
      <c r="N2196" s="470"/>
      <c r="O2196" s="531">
        <f>-TrialBalance!N198</f>
        <v>0</v>
      </c>
      <c r="Q2196" s="469"/>
      <c r="R2196" s="512" t="str">
        <f t="shared" si="110"/>
        <v>DELETE</v>
      </c>
    </row>
    <row r="2197" spans="2:24" ht="31.5" customHeight="1" x14ac:dyDescent="0.45">
      <c r="B2197" s="563"/>
      <c r="C2197" s="450"/>
      <c r="D2197" s="449">
        <f>TrialBalance!C199</f>
        <v>0</v>
      </c>
      <c r="M2197" s="531">
        <f>-TrialBalance!L199</f>
        <v>0</v>
      </c>
      <c r="N2197" s="470"/>
      <c r="O2197" s="531">
        <f>-TrialBalance!N199</f>
        <v>0</v>
      </c>
      <c r="Q2197" s="469"/>
      <c r="R2197" s="512" t="str">
        <f t="shared" si="110"/>
        <v>DELETE</v>
      </c>
    </row>
    <row r="2198" spans="2:24" ht="9" customHeight="1" x14ac:dyDescent="0.45">
      <c r="B2198" s="563"/>
      <c r="C2198" s="450"/>
      <c r="M2198" s="535"/>
      <c r="N2198" s="473"/>
      <c r="O2198" s="535"/>
      <c r="Q2198" s="469"/>
      <c r="R2198" s="512" t="str">
        <f>R2201</f>
        <v>DELETE</v>
      </c>
    </row>
    <row r="2199" spans="2:24" ht="9" customHeight="1" x14ac:dyDescent="0.45">
      <c r="B2199" s="563"/>
      <c r="C2199" s="450"/>
      <c r="M2199" s="531"/>
      <c r="N2199" s="470"/>
      <c r="O2199" s="531"/>
      <c r="Q2199" s="469"/>
      <c r="R2199" s="512" t="str">
        <f>R2201</f>
        <v>DELETE</v>
      </c>
    </row>
    <row r="2200" spans="2:24" ht="31.5" customHeight="1" x14ac:dyDescent="0.45">
      <c r="B2200" s="563"/>
      <c r="C2200" s="450"/>
      <c r="M2200" s="531">
        <f>SUM(M2183:M2198)</f>
        <v>0</v>
      </c>
      <c r="N2200" s="470"/>
      <c r="O2200" s="531">
        <f>SUM(O2183:O2198)</f>
        <v>0</v>
      </c>
      <c r="Q2200" s="469"/>
      <c r="R2200" s="512" t="str">
        <f>R2201</f>
        <v>DELETE</v>
      </c>
      <c r="S2200" s="518"/>
      <c r="T2200" s="518"/>
      <c r="U2200" s="518"/>
      <c r="V2200" s="518"/>
      <c r="W2200" s="518"/>
      <c r="X2200" s="518"/>
    </row>
    <row r="2201" spans="2:24" ht="31.5" customHeight="1" x14ac:dyDescent="0.45">
      <c r="B2201" s="563"/>
      <c r="C2201" s="450"/>
      <c r="D2201" s="656" t="s">
        <v>945</v>
      </c>
      <c r="M2201" s="531">
        <f>TrialBalance!L200</f>
        <v>0</v>
      </c>
      <c r="N2201" s="470"/>
      <c r="O2201" s="531">
        <f>TrialBalance!N200</f>
        <v>0</v>
      </c>
      <c r="Q2201" s="469"/>
      <c r="R2201" s="512" t="str">
        <f t="shared" ref="R2201" si="112">IF(M2201+O2201=0,"DELETE"," ")</f>
        <v>DELETE</v>
      </c>
      <c r="S2201" s="518">
        <f>-M2201</f>
        <v>0</v>
      </c>
      <c r="T2201" s="518"/>
      <c r="U2201" s="518">
        <f>-O2201</f>
        <v>0</v>
      </c>
      <c r="V2201" s="518"/>
      <c r="W2201" s="518"/>
      <c r="X2201" s="518"/>
    </row>
    <row r="2202" spans="2:24" ht="9" customHeight="1" x14ac:dyDescent="0.45">
      <c r="B2202" s="563"/>
      <c r="C2202" s="450"/>
      <c r="M2202" s="535"/>
      <c r="N2202" s="473"/>
      <c r="O2202" s="535"/>
      <c r="Q2202" s="469"/>
      <c r="R2202" s="512" t="str">
        <f>R$2204</f>
        <v>DELETE</v>
      </c>
    </row>
    <row r="2203" spans="2:24" ht="9" customHeight="1" x14ac:dyDescent="0.45">
      <c r="B2203" s="563"/>
      <c r="C2203" s="450"/>
      <c r="M2203" s="531"/>
      <c r="N2203" s="470"/>
      <c r="O2203" s="531"/>
      <c r="Q2203" s="469"/>
      <c r="R2203" s="512" t="str">
        <f>R$2204</f>
        <v>DELETE</v>
      </c>
    </row>
    <row r="2204" spans="2:24" ht="31.5" customHeight="1" x14ac:dyDescent="0.45">
      <c r="B2204" s="563"/>
      <c r="C2204" s="450"/>
      <c r="M2204" s="531">
        <f>SUM(S2182:S2202)</f>
        <v>0</v>
      </c>
      <c r="N2204" s="470"/>
      <c r="O2204" s="531">
        <f>SUM(U2182:U2202)</f>
        <v>0</v>
      </c>
      <c r="Q2204" s="469"/>
      <c r="R2204" s="512" t="str">
        <f>IF(SUM(M2183:M2197)+SUM(O2183:O2197)&gt;0," ","DELETE")</f>
        <v>DELETE</v>
      </c>
    </row>
    <row r="2205" spans="2:24" ht="9" customHeight="1" thickBot="1" x14ac:dyDescent="0.5">
      <c r="B2205" s="563"/>
      <c r="C2205" s="450"/>
      <c r="M2205" s="536"/>
      <c r="N2205" s="474"/>
      <c r="O2205" s="536"/>
      <c r="Q2205" s="469"/>
      <c r="R2205" s="512" t="str">
        <f t="shared" ref="R2205:R2210" si="113">R$2204</f>
        <v>DELETE</v>
      </c>
    </row>
    <row r="2206" spans="2:24" ht="9" customHeight="1" thickTop="1" x14ac:dyDescent="0.45">
      <c r="B2206" s="563"/>
      <c r="C2206" s="450"/>
      <c r="M2206" s="548"/>
      <c r="N2206" s="491"/>
      <c r="O2206" s="548"/>
      <c r="Q2206" s="469"/>
      <c r="R2206" s="512" t="str">
        <f t="shared" si="113"/>
        <v>DELETE</v>
      </c>
    </row>
    <row r="2207" spans="2:24" ht="31.5" customHeight="1" x14ac:dyDescent="0.45">
      <c r="B2207" s="563"/>
      <c r="C2207" s="450"/>
      <c r="M2207" s="531"/>
      <c r="N2207" s="470"/>
      <c r="O2207" s="531"/>
      <c r="Q2207" s="469"/>
      <c r="R2207" s="512" t="str">
        <f t="shared" si="113"/>
        <v>DELETE</v>
      </c>
    </row>
    <row r="2208" spans="2:24" ht="31.5" customHeight="1" x14ac:dyDescent="0.45">
      <c r="B2208" s="563"/>
      <c r="C2208" s="450"/>
      <c r="M2208" s="531"/>
      <c r="N2208" s="470"/>
      <c r="O2208" s="531"/>
      <c r="Q2208" s="469"/>
      <c r="R2208" s="512" t="str">
        <f t="shared" si="113"/>
        <v>DELETE</v>
      </c>
    </row>
    <row r="2209" spans="2:18" ht="31.5" customHeight="1" x14ac:dyDescent="0.45">
      <c r="B2209" s="564"/>
      <c r="C2209" s="502"/>
      <c r="D2209" s="461"/>
      <c r="E2209" s="461"/>
      <c r="F2209" s="461"/>
      <c r="G2209" s="461"/>
      <c r="H2209" s="461"/>
      <c r="I2209" s="461"/>
      <c r="J2209" s="461"/>
      <c r="K2209" s="461"/>
      <c r="L2209" s="461"/>
      <c r="M2209" s="535"/>
      <c r="N2209" s="473"/>
      <c r="O2209" s="535"/>
      <c r="P2209" s="631"/>
      <c r="Q2209" s="479"/>
      <c r="R2209" s="512" t="str">
        <f t="shared" si="113"/>
        <v>DELETE</v>
      </c>
    </row>
    <row r="2210" spans="2:18" ht="31.5" customHeight="1" x14ac:dyDescent="0.45">
      <c r="B2210" s="526"/>
      <c r="C2210" s="450"/>
      <c r="M2210" s="531"/>
      <c r="N2210" s="470"/>
      <c r="O2210" s="531"/>
      <c r="R2210" s="512" t="str">
        <f t="shared" si="113"/>
        <v>DELETE</v>
      </c>
    </row>
    <row r="2211" spans="2:18" ht="31.5" customHeight="1" x14ac:dyDescent="0.45">
      <c r="B2211" s="526"/>
      <c r="C2211" s="450"/>
      <c r="M2211" s="531"/>
      <c r="N2211" s="470"/>
      <c r="O2211" s="531"/>
      <c r="R2211" s="512" t="str">
        <f>R$2241</f>
        <v>DELETE</v>
      </c>
    </row>
    <row r="2212" spans="2:18" ht="31.5" customHeight="1" x14ac:dyDescent="0.45">
      <c r="B2212" s="527"/>
      <c r="D2212" s="450" t="str">
        <f>Criteria!E9</f>
        <v>ABC COMPANY (PROPRIETARY) LIMITED</v>
      </c>
      <c r="M2212" s="635"/>
      <c r="N2212" s="621"/>
      <c r="O2212" s="531" t="s">
        <v>121</v>
      </c>
      <c r="Q2212" s="451">
        <f>MAX($Q$114:Q2211)+1</f>
        <v>54</v>
      </c>
      <c r="R2212" s="512" t="str">
        <f t="shared" ref="R2212:R2221" si="114">R$2241</f>
        <v>DELETE</v>
      </c>
    </row>
    <row r="2213" spans="2:18" ht="31.5" customHeight="1" x14ac:dyDescent="0.45">
      <c r="B2213" s="527"/>
      <c r="D2213" s="450" t="str">
        <f>Criteria!E10</f>
        <v>T/A SEAFRONT HOTEL, SEAFRONT RESTAURANT AND RENTAL PROPERTIES</v>
      </c>
      <c r="M2213" s="635"/>
      <c r="N2213" s="621"/>
      <c r="O2213" s="635"/>
      <c r="R2213" s="512" t="str">
        <f>IF(R$2241="DELETE","DELETE",IF(D2213=0,"DELETE"," "))</f>
        <v>DELETE</v>
      </c>
    </row>
    <row r="2214" spans="2:18" ht="31.5" customHeight="1" x14ac:dyDescent="0.45">
      <c r="B2214" s="527"/>
      <c r="M2214" s="635"/>
      <c r="N2214" s="621"/>
      <c r="O2214" s="635"/>
      <c r="R2214" s="512" t="str">
        <f t="shared" si="114"/>
        <v>DELETE</v>
      </c>
    </row>
    <row r="2215" spans="2:18" ht="31.5" customHeight="1" x14ac:dyDescent="0.45">
      <c r="B2215" s="527"/>
      <c r="D2215" s="450" t="s">
        <v>451</v>
      </c>
      <c r="M2215" s="635"/>
      <c r="N2215" s="621"/>
      <c r="O2215" s="635"/>
      <c r="R2215" s="512" t="str">
        <f t="shared" si="114"/>
        <v>DELETE</v>
      </c>
    </row>
    <row r="2216" spans="2:18" ht="31.5" customHeight="1" x14ac:dyDescent="0.45">
      <c r="B2216" s="527"/>
      <c r="D2216" s="450" t="str">
        <f>Criteria!E20</f>
        <v>29 FEBRUARY 2024</v>
      </c>
      <c r="J2216" s="449" t="s">
        <v>303</v>
      </c>
      <c r="M2216" s="635"/>
      <c r="N2216" s="621"/>
      <c r="O2216" s="635"/>
      <c r="R2216" s="512" t="str">
        <f t="shared" si="114"/>
        <v>DELETE</v>
      </c>
    </row>
    <row r="2217" spans="2:18" ht="31.5" customHeight="1" x14ac:dyDescent="0.45">
      <c r="B2217" s="527"/>
      <c r="M2217" s="640"/>
      <c r="N2217" s="646"/>
      <c r="O2217" s="640"/>
      <c r="R2217" s="512" t="str">
        <f t="shared" si="114"/>
        <v>DELETE</v>
      </c>
    </row>
    <row r="2218" spans="2:18" ht="31.5" customHeight="1" x14ac:dyDescent="0.45">
      <c r="B2218" s="566"/>
      <c r="C2218" s="466"/>
      <c r="D2218" s="466"/>
      <c r="E2218" s="466"/>
      <c r="F2218" s="466"/>
      <c r="G2218" s="466"/>
      <c r="H2218" s="466"/>
      <c r="I2218" s="466"/>
      <c r="J2218" s="466"/>
      <c r="K2218" s="466"/>
      <c r="L2218" s="466"/>
      <c r="M2218" s="648"/>
      <c r="N2218" s="649"/>
      <c r="O2218" s="648"/>
      <c r="P2218" s="643"/>
      <c r="Q2218" s="467"/>
      <c r="R2218" s="512" t="str">
        <f t="shared" si="114"/>
        <v>DELETE</v>
      </c>
    </row>
    <row r="2219" spans="2:18" ht="31.5" customHeight="1" x14ac:dyDescent="0.45">
      <c r="B2219" s="582"/>
      <c r="M2219" s="525">
        <f>Criteria!E22</f>
        <v>2024</v>
      </c>
      <c r="N2219" s="458"/>
      <c r="O2219" s="525">
        <f>Criteria!E27</f>
        <v>2023</v>
      </c>
      <c r="Q2219" s="469"/>
      <c r="R2219" s="512" t="str">
        <f t="shared" si="114"/>
        <v>DELETE</v>
      </c>
    </row>
    <row r="2220" spans="2:18" ht="31.5" customHeight="1" x14ac:dyDescent="0.45">
      <c r="B2220" s="563"/>
      <c r="C2220" s="450"/>
      <c r="M2220" s="531"/>
      <c r="N2220" s="470"/>
      <c r="O2220" s="531"/>
      <c r="Q2220" s="469"/>
      <c r="R2220" s="512" t="str">
        <f t="shared" si="114"/>
        <v>DELETE</v>
      </c>
    </row>
    <row r="2221" spans="2:18" ht="31.5" customHeight="1" x14ac:dyDescent="0.45">
      <c r="B2221" s="563">
        <f>MAX(B$802:B2220)+1</f>
        <v>24</v>
      </c>
      <c r="C2221" s="450" t="str">
        <f>IF(COUNTIF(TrialBalance!N202:N218,"&lt;0")&gt;1,"INTEREST FREE BORROWINGS",IF(COUNTIF(TrialBalance!L202:L218,"&lt;0")&gt;1,"INTEREST FREE BORROWINGS","INTEREST FREE BORROWING"))</f>
        <v>INTEREST FREE BORROWING</v>
      </c>
      <c r="M2221" s="531"/>
      <c r="N2221" s="470"/>
      <c r="O2221" s="531"/>
      <c r="Q2221" s="469"/>
      <c r="R2221" s="512" t="str">
        <f t="shared" si="114"/>
        <v>DELETE</v>
      </c>
    </row>
    <row r="2222" spans="2:18" ht="31.5" customHeight="1" x14ac:dyDescent="0.45">
      <c r="B2222" s="563"/>
      <c r="C2222" s="450"/>
      <c r="D2222" s="449">
        <f>TrialBalance!C202</f>
        <v>0</v>
      </c>
      <c r="M2222" s="531">
        <f>-TrialBalance!L202</f>
        <v>0</v>
      </c>
      <c r="N2222" s="470"/>
      <c r="O2222" s="531">
        <f>-TrialBalance!N202</f>
        <v>0</v>
      </c>
      <c r="Q2222" s="469"/>
      <c r="R2222" s="512" t="str">
        <f t="shared" ref="R2222" si="115">IF(M2222+O2222=0,"DELETE"," ")</f>
        <v>DELETE</v>
      </c>
    </row>
    <row r="2223" spans="2:18" ht="31.5" customHeight="1" x14ac:dyDescent="0.45">
      <c r="B2223" s="563"/>
      <c r="C2223" s="450"/>
      <c r="D2223" s="449">
        <f>TrialBalance!C203</f>
        <v>0</v>
      </c>
      <c r="M2223" s="531">
        <f>-TrialBalance!L203</f>
        <v>0</v>
      </c>
      <c r="N2223" s="470"/>
      <c r="O2223" s="531">
        <f>-TrialBalance!N203</f>
        <v>0</v>
      </c>
      <c r="Q2223" s="469"/>
      <c r="R2223" s="512" t="str">
        <f t="shared" ref="R2223:R2238" si="116">IF(M2223+O2223=0,"DELETE"," ")</f>
        <v>DELETE</v>
      </c>
    </row>
    <row r="2224" spans="2:18" ht="31.5" customHeight="1" x14ac:dyDescent="0.45">
      <c r="B2224" s="563"/>
      <c r="C2224" s="450"/>
      <c r="D2224" s="449">
        <f>TrialBalance!C204</f>
        <v>0</v>
      </c>
      <c r="M2224" s="531">
        <f>-TrialBalance!L204</f>
        <v>0</v>
      </c>
      <c r="N2224" s="470"/>
      <c r="O2224" s="531">
        <f>-TrialBalance!N204</f>
        <v>0</v>
      </c>
      <c r="Q2224" s="469"/>
      <c r="R2224" s="512" t="str">
        <f t="shared" si="116"/>
        <v>DELETE</v>
      </c>
    </row>
    <row r="2225" spans="2:18" ht="31.5" customHeight="1" x14ac:dyDescent="0.45">
      <c r="B2225" s="563"/>
      <c r="C2225" s="450"/>
      <c r="D2225" s="449">
        <f>TrialBalance!C205</f>
        <v>0</v>
      </c>
      <c r="M2225" s="531">
        <f>-TrialBalance!L205</f>
        <v>0</v>
      </c>
      <c r="N2225" s="470"/>
      <c r="O2225" s="531">
        <f>-TrialBalance!N205</f>
        <v>0</v>
      </c>
      <c r="Q2225" s="469"/>
      <c r="R2225" s="512" t="str">
        <f t="shared" si="116"/>
        <v>DELETE</v>
      </c>
    </row>
    <row r="2226" spans="2:18" ht="31.5" customHeight="1" x14ac:dyDescent="0.45">
      <c r="B2226" s="563"/>
      <c r="C2226" s="450"/>
      <c r="D2226" s="449">
        <f>TrialBalance!C206</f>
        <v>0</v>
      </c>
      <c r="M2226" s="531">
        <f>-TrialBalance!L206</f>
        <v>0</v>
      </c>
      <c r="N2226" s="470"/>
      <c r="O2226" s="531">
        <f>-TrialBalance!N206</f>
        <v>0</v>
      </c>
      <c r="Q2226" s="469"/>
      <c r="R2226" s="512" t="str">
        <f t="shared" si="116"/>
        <v>DELETE</v>
      </c>
    </row>
    <row r="2227" spans="2:18" ht="31.5" customHeight="1" x14ac:dyDescent="0.45">
      <c r="B2227" s="563"/>
      <c r="C2227" s="450"/>
      <c r="D2227" s="449">
        <f>TrialBalance!C207</f>
        <v>0</v>
      </c>
      <c r="M2227" s="531">
        <f>-TrialBalance!L207</f>
        <v>0</v>
      </c>
      <c r="N2227" s="470"/>
      <c r="O2227" s="531">
        <f>-TrialBalance!N207</f>
        <v>0</v>
      </c>
      <c r="Q2227" s="469"/>
      <c r="R2227" s="512" t="str">
        <f t="shared" si="116"/>
        <v>DELETE</v>
      </c>
    </row>
    <row r="2228" spans="2:18" ht="31.5" customHeight="1" x14ac:dyDescent="0.45">
      <c r="B2228" s="563"/>
      <c r="C2228" s="450"/>
      <c r="D2228" s="449">
        <f>TrialBalance!C208</f>
        <v>0</v>
      </c>
      <c r="M2228" s="531">
        <f>-TrialBalance!L208</f>
        <v>0</v>
      </c>
      <c r="N2228" s="470"/>
      <c r="O2228" s="531">
        <f>-TrialBalance!N208</f>
        <v>0</v>
      </c>
      <c r="Q2228" s="469"/>
      <c r="R2228" s="512" t="str">
        <f t="shared" si="116"/>
        <v>DELETE</v>
      </c>
    </row>
    <row r="2229" spans="2:18" ht="31.5" customHeight="1" x14ac:dyDescent="0.45">
      <c r="B2229" s="563"/>
      <c r="C2229" s="450"/>
      <c r="D2229" s="449">
        <f>TrialBalance!C209</f>
        <v>0</v>
      </c>
      <c r="M2229" s="531">
        <f>-TrialBalance!L209</f>
        <v>0</v>
      </c>
      <c r="N2229" s="470"/>
      <c r="O2229" s="531">
        <f>-TrialBalance!N209</f>
        <v>0</v>
      </c>
      <c r="Q2229" s="469"/>
      <c r="R2229" s="512" t="str">
        <f t="shared" si="116"/>
        <v>DELETE</v>
      </c>
    </row>
    <row r="2230" spans="2:18" ht="31.5" customHeight="1" x14ac:dyDescent="0.45">
      <c r="B2230" s="563"/>
      <c r="C2230" s="450"/>
      <c r="D2230" s="449">
        <f>TrialBalance!C210</f>
        <v>0</v>
      </c>
      <c r="M2230" s="531">
        <f>-TrialBalance!L210</f>
        <v>0</v>
      </c>
      <c r="N2230" s="470"/>
      <c r="O2230" s="531">
        <f>-TrialBalance!N210</f>
        <v>0</v>
      </c>
      <c r="Q2230" s="469"/>
      <c r="R2230" s="512" t="str">
        <f t="shared" si="116"/>
        <v>DELETE</v>
      </c>
    </row>
    <row r="2231" spans="2:18" ht="31.5" customHeight="1" x14ac:dyDescent="0.45">
      <c r="B2231" s="563"/>
      <c r="C2231" s="450"/>
      <c r="D2231" s="449">
        <f>TrialBalance!C211</f>
        <v>0</v>
      </c>
      <c r="M2231" s="531">
        <f>-TrialBalance!L211</f>
        <v>0</v>
      </c>
      <c r="N2231" s="470"/>
      <c r="O2231" s="531">
        <f>-TrialBalance!N211</f>
        <v>0</v>
      </c>
      <c r="Q2231" s="469"/>
      <c r="R2231" s="512" t="str">
        <f t="shared" si="116"/>
        <v>DELETE</v>
      </c>
    </row>
    <row r="2232" spans="2:18" ht="31.5" customHeight="1" x14ac:dyDescent="0.45">
      <c r="B2232" s="563"/>
      <c r="C2232" s="450"/>
      <c r="D2232" s="449">
        <f>TrialBalance!C212</f>
        <v>0</v>
      </c>
      <c r="M2232" s="531">
        <f>-TrialBalance!L212</f>
        <v>0</v>
      </c>
      <c r="N2232" s="470"/>
      <c r="O2232" s="531">
        <f>-TrialBalance!N212</f>
        <v>0</v>
      </c>
      <c r="Q2232" s="469"/>
      <c r="R2232" s="512" t="str">
        <f t="shared" si="116"/>
        <v>DELETE</v>
      </c>
    </row>
    <row r="2233" spans="2:18" ht="31.5" customHeight="1" x14ac:dyDescent="0.45">
      <c r="B2233" s="563"/>
      <c r="C2233" s="450"/>
      <c r="D2233" s="449">
        <f>TrialBalance!C213</f>
        <v>0</v>
      </c>
      <c r="M2233" s="531">
        <f>-TrialBalance!L213</f>
        <v>0</v>
      </c>
      <c r="N2233" s="470"/>
      <c r="O2233" s="531">
        <f>-TrialBalance!N213</f>
        <v>0</v>
      </c>
      <c r="Q2233" s="469"/>
      <c r="R2233" s="512" t="str">
        <f t="shared" si="116"/>
        <v>DELETE</v>
      </c>
    </row>
    <row r="2234" spans="2:18" ht="31.5" customHeight="1" x14ac:dyDescent="0.45">
      <c r="B2234" s="563"/>
      <c r="C2234" s="450"/>
      <c r="D2234" s="449">
        <f>TrialBalance!C214</f>
        <v>0</v>
      </c>
      <c r="M2234" s="531">
        <f>-TrialBalance!L214</f>
        <v>0</v>
      </c>
      <c r="N2234" s="470"/>
      <c r="O2234" s="531">
        <f>-TrialBalance!N214</f>
        <v>0</v>
      </c>
      <c r="Q2234" s="469"/>
      <c r="R2234" s="512" t="str">
        <f t="shared" si="116"/>
        <v>DELETE</v>
      </c>
    </row>
    <row r="2235" spans="2:18" ht="31.5" customHeight="1" x14ac:dyDescent="0.45">
      <c r="B2235" s="563"/>
      <c r="C2235" s="450"/>
      <c r="D2235" s="449">
        <f>TrialBalance!C215</f>
        <v>0</v>
      </c>
      <c r="M2235" s="531">
        <f>-TrialBalance!L215</f>
        <v>0</v>
      </c>
      <c r="N2235" s="470"/>
      <c r="O2235" s="531">
        <f>-TrialBalance!N215</f>
        <v>0</v>
      </c>
      <c r="Q2235" s="469"/>
      <c r="R2235" s="512" t="str">
        <f t="shared" si="116"/>
        <v>DELETE</v>
      </c>
    </row>
    <row r="2236" spans="2:18" ht="31.5" customHeight="1" x14ac:dyDescent="0.45">
      <c r="B2236" s="563"/>
      <c r="C2236" s="450"/>
      <c r="D2236" s="449">
        <f>TrialBalance!C216</f>
        <v>0</v>
      </c>
      <c r="M2236" s="531">
        <f>-TrialBalance!L216</f>
        <v>0</v>
      </c>
      <c r="N2236" s="470"/>
      <c r="O2236" s="531">
        <f>-TrialBalance!N216</f>
        <v>0</v>
      </c>
      <c r="Q2236" s="469"/>
      <c r="R2236" s="512" t="str">
        <f t="shared" si="116"/>
        <v>DELETE</v>
      </c>
    </row>
    <row r="2237" spans="2:18" ht="31.5" customHeight="1" x14ac:dyDescent="0.45">
      <c r="B2237" s="563"/>
      <c r="C2237" s="450"/>
      <c r="D2237" s="449">
        <f>TrialBalance!C217</f>
        <v>0</v>
      </c>
      <c r="M2237" s="531">
        <f>-TrialBalance!L217</f>
        <v>0</v>
      </c>
      <c r="N2237" s="470"/>
      <c r="O2237" s="531">
        <f>-TrialBalance!N217</f>
        <v>0</v>
      </c>
      <c r="Q2237" s="469"/>
      <c r="R2237" s="512" t="str">
        <f t="shared" si="116"/>
        <v>DELETE</v>
      </c>
    </row>
    <row r="2238" spans="2:18" ht="31.5" customHeight="1" x14ac:dyDescent="0.45">
      <c r="B2238" s="563"/>
      <c r="C2238" s="450"/>
      <c r="D2238" s="449">
        <f>TrialBalance!C218</f>
        <v>0</v>
      </c>
      <c r="M2238" s="531">
        <f>-TrialBalance!L218</f>
        <v>0</v>
      </c>
      <c r="N2238" s="470"/>
      <c r="O2238" s="531">
        <f>-TrialBalance!N218</f>
        <v>0</v>
      </c>
      <c r="Q2238" s="469"/>
      <c r="R2238" s="512" t="str">
        <f t="shared" si="116"/>
        <v>DELETE</v>
      </c>
    </row>
    <row r="2239" spans="2:18" ht="9" customHeight="1" x14ac:dyDescent="0.45">
      <c r="B2239" s="563"/>
      <c r="C2239" s="450"/>
      <c r="M2239" s="535"/>
      <c r="N2239" s="473"/>
      <c r="O2239" s="535"/>
      <c r="Q2239" s="469"/>
      <c r="R2239" s="512" t="str">
        <f t="shared" ref="R2239:R2248" si="117">R$2241</f>
        <v>DELETE</v>
      </c>
    </row>
    <row r="2240" spans="2:18" ht="9" customHeight="1" x14ac:dyDescent="0.45">
      <c r="B2240" s="563"/>
      <c r="C2240" s="450"/>
      <c r="M2240" s="531"/>
      <c r="N2240" s="470"/>
      <c r="O2240" s="531"/>
      <c r="Q2240" s="469"/>
      <c r="R2240" s="512" t="str">
        <f t="shared" si="117"/>
        <v>DELETE</v>
      </c>
    </row>
    <row r="2241" spans="2:18" ht="31.5" customHeight="1" x14ac:dyDescent="0.45">
      <c r="B2241" s="563"/>
      <c r="C2241" s="450"/>
      <c r="M2241" s="531">
        <f>SUM(M2222:M2240)</f>
        <v>0</v>
      </c>
      <c r="N2241" s="470"/>
      <c r="O2241" s="531">
        <f>SUM(O2222:O2240)</f>
        <v>0</v>
      </c>
      <c r="Q2241" s="469"/>
      <c r="R2241" s="512" t="str">
        <f>IF(M2241+O2241=0,"DELETE"," ")</f>
        <v>DELETE</v>
      </c>
    </row>
    <row r="2242" spans="2:18" ht="9" customHeight="1" thickBot="1" x14ac:dyDescent="0.5">
      <c r="B2242" s="563"/>
      <c r="C2242" s="450"/>
      <c r="M2242" s="536"/>
      <c r="N2242" s="474"/>
      <c r="O2242" s="536"/>
      <c r="Q2242" s="469"/>
      <c r="R2242" s="512" t="str">
        <f t="shared" si="117"/>
        <v>DELETE</v>
      </c>
    </row>
    <row r="2243" spans="2:18" ht="9" customHeight="1" thickTop="1" x14ac:dyDescent="0.45">
      <c r="B2243" s="563"/>
      <c r="C2243" s="450"/>
      <c r="M2243" s="548"/>
      <c r="N2243" s="491"/>
      <c r="O2243" s="548"/>
      <c r="Q2243" s="469"/>
      <c r="R2243" s="512" t="str">
        <f t="shared" si="117"/>
        <v>DELETE</v>
      </c>
    </row>
    <row r="2244" spans="2:18" ht="31.5" customHeight="1" x14ac:dyDescent="0.45">
      <c r="B2244" s="563"/>
      <c r="C2244" s="450"/>
      <c r="D2244" s="449" t="str">
        <f>IF(COUNTIF(TrialBalance!L202:L218,"&lt;0")=0," ",IF(COUNTIF(TrialBalance!L202:L218,"&lt;0")&gt;1,"Unsecured interest free loans with no fixed repayment terms","Unsecured interest free loan with no fixed repayment terms"))</f>
        <v xml:space="preserve"> </v>
      </c>
      <c r="M2244" s="531"/>
      <c r="N2244" s="470"/>
      <c r="O2244" s="531"/>
      <c r="Q2244" s="469"/>
      <c r="R2244" s="512" t="str">
        <f t="shared" si="117"/>
        <v>DELETE</v>
      </c>
    </row>
    <row r="2245" spans="2:18" ht="31.5" customHeight="1" x14ac:dyDescent="0.45">
      <c r="B2245" s="563"/>
      <c r="C2245" s="450"/>
      <c r="M2245" s="531"/>
      <c r="N2245" s="470"/>
      <c r="O2245" s="531"/>
      <c r="Q2245" s="469"/>
      <c r="R2245" s="512" t="str">
        <f t="shared" si="117"/>
        <v>DELETE</v>
      </c>
    </row>
    <row r="2246" spans="2:18" ht="31.5" customHeight="1" x14ac:dyDescent="0.45">
      <c r="B2246" s="563"/>
      <c r="C2246" s="450"/>
      <c r="M2246" s="531"/>
      <c r="N2246" s="470"/>
      <c r="O2246" s="531"/>
      <c r="Q2246" s="469"/>
      <c r="R2246" s="512" t="str">
        <f t="shared" si="117"/>
        <v>DELETE</v>
      </c>
    </row>
    <row r="2247" spans="2:18" ht="31.5" customHeight="1" x14ac:dyDescent="0.45">
      <c r="B2247" s="564"/>
      <c r="C2247" s="502"/>
      <c r="D2247" s="461"/>
      <c r="E2247" s="461"/>
      <c r="F2247" s="461"/>
      <c r="G2247" s="461"/>
      <c r="H2247" s="461"/>
      <c r="I2247" s="461"/>
      <c r="J2247" s="461"/>
      <c r="K2247" s="461"/>
      <c r="L2247" s="461"/>
      <c r="M2247" s="535"/>
      <c r="N2247" s="473"/>
      <c r="O2247" s="535"/>
      <c r="P2247" s="631"/>
      <c r="Q2247" s="479"/>
      <c r="R2247" s="512" t="str">
        <f t="shared" si="117"/>
        <v>DELETE</v>
      </c>
    </row>
    <row r="2248" spans="2:18" ht="31.5" customHeight="1" x14ac:dyDescent="0.45">
      <c r="B2248" s="526"/>
      <c r="C2248" s="450"/>
      <c r="M2248" s="531"/>
      <c r="N2248" s="470"/>
      <c r="O2248" s="531"/>
      <c r="R2248" s="512" t="str">
        <f t="shared" si="117"/>
        <v>DELETE</v>
      </c>
    </row>
    <row r="2249" spans="2:18" ht="31.5" customHeight="1" x14ac:dyDescent="0.45">
      <c r="B2249" s="527"/>
      <c r="M2249" s="635"/>
      <c r="N2249" s="621"/>
      <c r="O2249" s="635"/>
      <c r="R2249" s="512" t="str">
        <f t="shared" ref="R2249:R2261" si="118">R$2267</f>
        <v>DELETE</v>
      </c>
    </row>
    <row r="2250" spans="2:18" ht="31.5" customHeight="1" x14ac:dyDescent="0.45">
      <c r="B2250" s="527"/>
      <c r="D2250" s="450" t="str">
        <f>Criteria!E9</f>
        <v>ABC COMPANY (PROPRIETARY) LIMITED</v>
      </c>
      <c r="M2250" s="635"/>
      <c r="N2250" s="621"/>
      <c r="O2250" s="531" t="s">
        <v>121</v>
      </c>
      <c r="Q2250" s="451">
        <f>MAX($Q$114:Q2249)+1</f>
        <v>55</v>
      </c>
      <c r="R2250" s="512" t="str">
        <f t="shared" si="118"/>
        <v>DELETE</v>
      </c>
    </row>
    <row r="2251" spans="2:18" ht="31.5" customHeight="1" x14ac:dyDescent="0.45">
      <c r="B2251" s="527"/>
      <c r="D2251" s="450" t="str">
        <f>Criteria!E10</f>
        <v>T/A SEAFRONT HOTEL, SEAFRONT RESTAURANT AND RENTAL PROPERTIES</v>
      </c>
      <c r="M2251" s="635"/>
      <c r="N2251" s="621"/>
      <c r="O2251" s="635"/>
      <c r="R2251" s="512" t="str">
        <f>IF(R$2267="DELETE","DELETE",IF(D2251=0,"DELETE"," "))</f>
        <v>DELETE</v>
      </c>
    </row>
    <row r="2252" spans="2:18" ht="31.5" customHeight="1" x14ac:dyDescent="0.45">
      <c r="B2252" s="527"/>
      <c r="M2252" s="635"/>
      <c r="N2252" s="621"/>
      <c r="O2252" s="635"/>
      <c r="R2252" s="512" t="str">
        <f t="shared" si="118"/>
        <v>DELETE</v>
      </c>
    </row>
    <row r="2253" spans="2:18" ht="31.5" customHeight="1" x14ac:dyDescent="0.45">
      <c r="B2253" s="527"/>
      <c r="D2253" s="450" t="s">
        <v>451</v>
      </c>
      <c r="M2253" s="635"/>
      <c r="N2253" s="621"/>
      <c r="O2253" s="635"/>
      <c r="R2253" s="512" t="str">
        <f t="shared" si="118"/>
        <v>DELETE</v>
      </c>
    </row>
    <row r="2254" spans="2:18" ht="31.5" customHeight="1" x14ac:dyDescent="0.45">
      <c r="B2254" s="527"/>
      <c r="D2254" s="450" t="str">
        <f>Criteria!E20</f>
        <v>29 FEBRUARY 2024</v>
      </c>
      <c r="J2254" s="449" t="s">
        <v>303</v>
      </c>
      <c r="M2254" s="635"/>
      <c r="N2254" s="621"/>
      <c r="O2254" s="635"/>
      <c r="R2254" s="512" t="str">
        <f t="shared" si="118"/>
        <v>DELETE</v>
      </c>
    </row>
    <row r="2255" spans="2:18" ht="31.5" customHeight="1" x14ac:dyDescent="0.45">
      <c r="B2255" s="527"/>
      <c r="D2255" s="450"/>
      <c r="M2255" s="635"/>
      <c r="N2255" s="621"/>
      <c r="O2255" s="635"/>
      <c r="R2255" s="512" t="str">
        <f t="shared" si="118"/>
        <v>DELETE</v>
      </c>
    </row>
    <row r="2256" spans="2:18" ht="31.5" customHeight="1" x14ac:dyDescent="0.45">
      <c r="B2256" s="565"/>
      <c r="C2256" s="503"/>
      <c r="D2256" s="466"/>
      <c r="E2256" s="466"/>
      <c r="F2256" s="466"/>
      <c r="G2256" s="466"/>
      <c r="H2256" s="466"/>
      <c r="I2256" s="466"/>
      <c r="J2256" s="466"/>
      <c r="K2256" s="466"/>
      <c r="L2256" s="466"/>
      <c r="M2256" s="546"/>
      <c r="N2256" s="471"/>
      <c r="O2256" s="546"/>
      <c r="P2256" s="643"/>
      <c r="Q2256" s="467"/>
      <c r="R2256" s="512" t="str">
        <f t="shared" si="118"/>
        <v>DELETE</v>
      </c>
    </row>
    <row r="2257" spans="2:26" ht="31.5" customHeight="1" x14ac:dyDescent="0.45">
      <c r="B2257" s="563"/>
      <c r="C2257" s="450"/>
      <c r="M2257" s="525">
        <f>Criteria!E22</f>
        <v>2024</v>
      </c>
      <c r="N2257" s="458"/>
      <c r="O2257" s="525">
        <f>Criteria!E27</f>
        <v>2023</v>
      </c>
      <c r="Q2257" s="469"/>
      <c r="R2257" s="512" t="str">
        <f t="shared" si="118"/>
        <v>DELETE</v>
      </c>
    </row>
    <row r="2258" spans="2:26" ht="31.5" customHeight="1" x14ac:dyDescent="0.45">
      <c r="B2258" s="563"/>
      <c r="C2258" s="450"/>
      <c r="M2258" s="531"/>
      <c r="N2258" s="470"/>
      <c r="O2258" s="531"/>
      <c r="Q2258" s="469"/>
      <c r="R2258" s="512" t="str">
        <f t="shared" si="118"/>
        <v>DELETE</v>
      </c>
    </row>
    <row r="2259" spans="2:26" ht="31.5" customHeight="1" x14ac:dyDescent="0.45">
      <c r="B2259" s="563">
        <f>MAX(B$802:B2258)+1</f>
        <v>25</v>
      </c>
      <c r="C2259" s="450" t="s">
        <v>307</v>
      </c>
      <c r="M2259" s="531"/>
      <c r="N2259" s="470"/>
      <c r="O2259" s="531"/>
      <c r="Q2259" s="469"/>
      <c r="R2259" s="512" t="str">
        <f t="shared" si="118"/>
        <v>DELETE</v>
      </c>
    </row>
    <row r="2260" spans="2:26" ht="31.5" customHeight="1" x14ac:dyDescent="0.45">
      <c r="B2260" s="563"/>
      <c r="C2260" s="450"/>
      <c r="D2260" s="449" t="s">
        <v>1688</v>
      </c>
      <c r="M2260" s="531"/>
      <c r="N2260" s="470"/>
      <c r="O2260" s="531"/>
      <c r="Q2260" s="469"/>
      <c r="R2260" s="512" t="str">
        <f t="shared" si="118"/>
        <v>DELETE</v>
      </c>
    </row>
    <row r="2261" spans="2:26" ht="31.5" customHeight="1" x14ac:dyDescent="0.45">
      <c r="B2261" s="563"/>
      <c r="C2261" s="450"/>
      <c r="M2261" s="531"/>
      <c r="N2261" s="470"/>
      <c r="O2261" s="531"/>
      <c r="Q2261" s="469"/>
      <c r="R2261" s="512" t="str">
        <f t="shared" si="118"/>
        <v>DELETE</v>
      </c>
    </row>
    <row r="2262" spans="2:26" ht="31.5" customHeight="1" x14ac:dyDescent="0.45">
      <c r="B2262" s="563"/>
      <c r="C2262" s="450"/>
      <c r="D2262" s="449" t="s">
        <v>1685</v>
      </c>
      <c r="M2262" s="531"/>
      <c r="N2262" s="470"/>
      <c r="O2262" s="531"/>
      <c r="Q2262" s="469"/>
      <c r="R2262" s="512" t="str">
        <f>R2263</f>
        <v>DELETE</v>
      </c>
    </row>
    <row r="2263" spans="2:26" ht="31.5" customHeight="1" x14ac:dyDescent="0.45">
      <c r="B2263" s="563"/>
      <c r="C2263" s="450"/>
      <c r="D2263" s="449" t="s">
        <v>1686</v>
      </c>
      <c r="M2263" s="531">
        <f>-TrialBalance!L220-TrialBalance!L222-TrialBalance!L224-TrialBalance!L226</f>
        <v>0</v>
      </c>
      <c r="N2263" s="470"/>
      <c r="O2263" s="531">
        <f>-TrialBalance!N220-TrialBalance!N222-TrialBalance!N224-TrialBalance!N226</f>
        <v>0</v>
      </c>
      <c r="Q2263" s="469"/>
      <c r="R2263" s="512" t="str">
        <f>IF(SUM(Y2263:Z2263)&gt;0," ","DELETE")</f>
        <v>DELETE</v>
      </c>
      <c r="Y2263" s="513">
        <f>IF(TrialBalance!L220=0,IF(TrialBalance!L224=0,IF(TrialBalance!L226=0,0,1),1),1)</f>
        <v>0</v>
      </c>
      <c r="Z2263" s="513">
        <f>IF(TrialBalance!N220=0,IF(TrialBalance!N224=0,IF(TrialBalance!N226=0,0,1),1),1)</f>
        <v>0</v>
      </c>
    </row>
    <row r="2264" spans="2:26" ht="31.5" customHeight="1" x14ac:dyDescent="0.45">
      <c r="B2264" s="563"/>
      <c r="C2264" s="450"/>
      <c r="D2264" s="449" t="s">
        <v>980</v>
      </c>
      <c r="M2264" s="531">
        <f>-TrialBalance!L221-TrialBalance!L223-TrialBalance!L225-TrialBalance!L227</f>
        <v>0</v>
      </c>
      <c r="N2264" s="470"/>
      <c r="O2264" s="531">
        <f>-TrialBalance!N221-TrialBalance!N223-TrialBalance!N225-TrialBalance!N227</f>
        <v>0</v>
      </c>
      <c r="Q2264" s="469"/>
      <c r="R2264" s="512" t="str">
        <f>IF(SUM(Y2264:Z2264)&gt;0," ","DELETE")</f>
        <v>DELETE</v>
      </c>
      <c r="Y2264" s="513">
        <f>IF(TrialBalance!L221=0,IF(TrialBalance!L225=0,IF(TrialBalance!L227=0,0,1),1),1)</f>
        <v>0</v>
      </c>
      <c r="Z2264" s="513">
        <f>IF(TrialBalance!N221=0,IF(TrialBalance!N225=0,IF(TrialBalance!N227=0,0,1),1),1)</f>
        <v>0</v>
      </c>
    </row>
    <row r="2265" spans="2:26" ht="9" customHeight="1" x14ac:dyDescent="0.45">
      <c r="B2265" s="563"/>
      <c r="C2265" s="450"/>
      <c r="M2265" s="535"/>
      <c r="N2265" s="473"/>
      <c r="O2265" s="535"/>
      <c r="Q2265" s="469"/>
      <c r="R2265" s="512" t="str">
        <f t="shared" ref="R2265:R2271" si="119">R$2267</f>
        <v>DELETE</v>
      </c>
    </row>
    <row r="2266" spans="2:26" ht="9" customHeight="1" x14ac:dyDescent="0.45">
      <c r="B2266" s="563"/>
      <c r="C2266" s="450"/>
      <c r="M2266" s="531"/>
      <c r="N2266" s="470"/>
      <c r="O2266" s="531"/>
      <c r="Q2266" s="469"/>
      <c r="R2266" s="512" t="str">
        <f t="shared" si="119"/>
        <v>DELETE</v>
      </c>
    </row>
    <row r="2267" spans="2:26" ht="31.5" customHeight="1" x14ac:dyDescent="0.45">
      <c r="B2267" s="563"/>
      <c r="C2267" s="450"/>
      <c r="M2267" s="531">
        <f>SUM(M2263:M2265)</f>
        <v>0</v>
      </c>
      <c r="N2267" s="470"/>
      <c r="O2267" s="531">
        <f>SUM(O2263:O2265)</f>
        <v>0</v>
      </c>
      <c r="Q2267" s="469"/>
      <c r="R2267" s="512" t="str">
        <f>IF(R2263=" "," ",IF(R2264=" "," ","DELETE"))</f>
        <v>DELETE</v>
      </c>
      <c r="V2267" s="513" t="b">
        <f>M2267=M2301</f>
        <v>1</v>
      </c>
      <c r="X2267" s="513" t="b">
        <f>O2267=O2301</f>
        <v>1</v>
      </c>
    </row>
    <row r="2268" spans="2:26" ht="9" customHeight="1" thickBot="1" x14ac:dyDescent="0.5">
      <c r="B2268" s="563"/>
      <c r="C2268" s="450"/>
      <c r="M2268" s="536"/>
      <c r="N2268" s="474"/>
      <c r="O2268" s="536"/>
      <c r="Q2268" s="469"/>
      <c r="R2268" s="512" t="str">
        <f t="shared" si="119"/>
        <v>DELETE</v>
      </c>
    </row>
    <row r="2269" spans="2:26" ht="9" customHeight="1" thickTop="1" x14ac:dyDescent="0.45">
      <c r="B2269" s="563"/>
      <c r="C2269" s="450"/>
      <c r="M2269" s="548"/>
      <c r="N2269" s="491"/>
      <c r="O2269" s="548"/>
      <c r="Q2269" s="469"/>
      <c r="R2269" s="512" t="str">
        <f t="shared" si="119"/>
        <v>DELETE</v>
      </c>
    </row>
    <row r="2270" spans="2:26" ht="31.5" customHeight="1" x14ac:dyDescent="0.45">
      <c r="B2270" s="563"/>
      <c r="C2270" s="450"/>
      <c r="M2270" s="531"/>
      <c r="N2270" s="470"/>
      <c r="O2270" s="531"/>
      <c r="Q2270" s="469"/>
      <c r="R2270" s="512" t="str">
        <f t="shared" si="119"/>
        <v>DELETE</v>
      </c>
    </row>
    <row r="2271" spans="2:26" ht="31.5" customHeight="1" x14ac:dyDescent="0.45">
      <c r="B2271" s="563"/>
      <c r="C2271" s="450"/>
      <c r="D2271" s="449" t="s">
        <v>495</v>
      </c>
      <c r="M2271" s="531"/>
      <c r="N2271" s="470"/>
      <c r="O2271" s="531"/>
      <c r="Q2271" s="469"/>
      <c r="R2271" s="512" t="str">
        <f t="shared" si="119"/>
        <v>DELETE</v>
      </c>
    </row>
    <row r="2272" spans="2:26" ht="31.5" customHeight="1" x14ac:dyDescent="0.45">
      <c r="B2272" s="563"/>
      <c r="C2272" s="450"/>
      <c r="D2272" s="463" t="str">
        <f>IF((Y2272+Z2272)=3,"Deferred tax liability/(asset) at the beginning of the year",(IF((Y2272+Z2272=4),"Deferred tax liability at the beginning of the year","Deferred tax asset at the beginning of the year")))</f>
        <v>Deferred tax liability at the beginning of the year</v>
      </c>
      <c r="M2272" s="531">
        <f>SUM(S2274:S2277)</f>
        <v>0</v>
      </c>
      <c r="N2272" s="470"/>
      <c r="O2272" s="531">
        <f>SUM(U2274:U2277)</f>
        <v>0</v>
      </c>
      <c r="Q2272" s="469"/>
      <c r="R2272" s="512" t="str">
        <f>R$2267</f>
        <v>DELETE</v>
      </c>
      <c r="V2272" s="513" t="b">
        <f>M2272=O2301</f>
        <v>1</v>
      </c>
      <c r="Y2272" s="513">
        <f>IF(M2272&lt;0,1,IF(M2272=0,IF(O2272&lt;0,1,2),2))</f>
        <v>2</v>
      </c>
      <c r="Z2272" s="513">
        <f>IF(O2272&lt;0,1,IF(O2272=0,IF(M2272&lt;0,1,2),2))</f>
        <v>2</v>
      </c>
    </row>
    <row r="2273" spans="2:21" ht="9" customHeight="1" x14ac:dyDescent="0.45">
      <c r="B2273" s="563"/>
      <c r="C2273" s="450"/>
      <c r="D2273" s="463"/>
      <c r="M2273" s="531"/>
      <c r="N2273" s="470"/>
      <c r="O2273" s="531"/>
      <c r="Q2273" s="469"/>
      <c r="R2273" s="512" t="str">
        <f>R$2272</f>
        <v>DELETE</v>
      </c>
    </row>
    <row r="2274" spans="2:21" ht="9" customHeight="1" x14ac:dyDescent="0.45">
      <c r="B2274" s="563"/>
      <c r="C2274" s="450"/>
      <c r="D2274" s="463"/>
      <c r="M2274" s="532"/>
      <c r="N2274" s="471"/>
      <c r="O2274" s="552"/>
      <c r="Q2274" s="469"/>
      <c r="R2274" s="512" t="str">
        <f>R$2272</f>
        <v>DELETE</v>
      </c>
    </row>
    <row r="2275" spans="2:21" ht="31.5" customHeight="1" x14ac:dyDescent="0.45">
      <c r="B2275" s="563"/>
      <c r="C2275" s="450"/>
      <c r="D2275" s="463"/>
      <c r="E2275" s="449" t="s">
        <v>1687</v>
      </c>
      <c r="M2275" s="533">
        <f>-TrialBalance!L220</f>
        <v>0</v>
      </c>
      <c r="N2275" s="491"/>
      <c r="O2275" s="553">
        <f>-TrialBalance!N220</f>
        <v>0</v>
      </c>
      <c r="Q2275" s="469"/>
      <c r="R2275" s="512" t="str">
        <f>IF(R2267="DELETE","DELETE",IF(R2276="DELETE"," ",IF(M2275=0,IF(O2275=0,"DELETE"," ")," ")))</f>
        <v>DELETE</v>
      </c>
      <c r="S2275" s="517">
        <f>M2275</f>
        <v>0</v>
      </c>
      <c r="U2275" s="517">
        <f>O2275</f>
        <v>0</v>
      </c>
    </row>
    <row r="2276" spans="2:21" ht="31.5" customHeight="1" x14ac:dyDescent="0.45">
      <c r="B2276" s="563"/>
      <c r="C2276" s="450"/>
      <c r="D2276" s="463"/>
      <c r="E2276" s="449" t="s">
        <v>980</v>
      </c>
      <c r="M2276" s="533">
        <f>-TrialBalance!L221</f>
        <v>0</v>
      </c>
      <c r="N2276" s="491"/>
      <c r="O2276" s="553">
        <f>-TrialBalance!N221</f>
        <v>0</v>
      </c>
      <c r="Q2276" s="469"/>
      <c r="R2276" s="512" t="str">
        <f>IF(R2267="DELETE","DELETE",IF(M2276=0,IF(O2276=0,"DELETE"," ")," "))</f>
        <v>DELETE</v>
      </c>
      <c r="S2276" s="517">
        <f>M2276</f>
        <v>0</v>
      </c>
      <c r="U2276" s="517">
        <f>O2276</f>
        <v>0</v>
      </c>
    </row>
    <row r="2277" spans="2:21" ht="9" customHeight="1" x14ac:dyDescent="0.45">
      <c r="B2277" s="563"/>
      <c r="C2277" s="450"/>
      <c r="D2277" s="463"/>
      <c r="M2277" s="534"/>
      <c r="N2277" s="473"/>
      <c r="O2277" s="554"/>
      <c r="Q2277" s="469"/>
      <c r="R2277" s="512" t="str">
        <f t="shared" ref="R2277:R2278" si="120">R$2272</f>
        <v>DELETE</v>
      </c>
    </row>
    <row r="2278" spans="2:21" ht="9" customHeight="1" x14ac:dyDescent="0.45">
      <c r="B2278" s="563"/>
      <c r="C2278" s="450"/>
      <c r="D2278" s="463"/>
      <c r="M2278" s="531"/>
      <c r="N2278" s="470"/>
      <c r="O2278" s="531"/>
      <c r="Q2278" s="469"/>
      <c r="R2278" s="512" t="str">
        <f t="shared" si="120"/>
        <v>DELETE</v>
      </c>
    </row>
    <row r="2279" spans="2:21" ht="31.5" customHeight="1" x14ac:dyDescent="0.45">
      <c r="B2279" s="563"/>
      <c r="C2279" s="450"/>
      <c r="D2279" s="463" t="s">
        <v>1603</v>
      </c>
      <c r="M2279" s="531">
        <f>SUM(S2281:S2284)</f>
        <v>0</v>
      </c>
      <c r="N2279" s="470"/>
      <c r="O2279" s="531">
        <f>SUM(U2281:U2284)</f>
        <v>0</v>
      </c>
      <c r="Q2279" s="469"/>
      <c r="R2279" s="512" t="str">
        <f>IF(M2279=0,IF(O2279=0,"DELETE"," ")," ")</f>
        <v>DELETE</v>
      </c>
    </row>
    <row r="2280" spans="2:21" ht="9" customHeight="1" x14ac:dyDescent="0.45">
      <c r="B2280" s="563"/>
      <c r="C2280" s="450"/>
      <c r="D2280" s="463"/>
      <c r="M2280" s="531"/>
      <c r="N2280" s="470"/>
      <c r="O2280" s="531"/>
      <c r="Q2280" s="469"/>
      <c r="R2280" s="512" t="str">
        <f>R$2279</f>
        <v>DELETE</v>
      </c>
    </row>
    <row r="2281" spans="2:21" ht="9" customHeight="1" x14ac:dyDescent="0.45">
      <c r="B2281" s="563"/>
      <c r="C2281" s="450"/>
      <c r="D2281" s="463"/>
      <c r="M2281" s="532"/>
      <c r="N2281" s="471"/>
      <c r="O2281" s="552"/>
      <c r="Q2281" s="469"/>
      <c r="R2281" s="512" t="str">
        <f>R$2279</f>
        <v>DELETE</v>
      </c>
    </row>
    <row r="2282" spans="2:21" ht="31.5" customHeight="1" x14ac:dyDescent="0.45">
      <c r="B2282" s="563"/>
      <c r="C2282" s="450"/>
      <c r="D2282" s="463"/>
      <c r="E2282" s="449" t="s">
        <v>1687</v>
      </c>
      <c r="M2282" s="533">
        <f>-TrialBalance!L222</f>
        <v>0</v>
      </c>
      <c r="N2282" s="491"/>
      <c r="O2282" s="553">
        <f>-TrialBalance!N222</f>
        <v>0</v>
      </c>
      <c r="Q2282" s="469"/>
      <c r="R2282" s="512" t="str">
        <f t="shared" ref="R2282:R2283" si="121">IF(M2282=0,IF(O2282=0,"DELETE"," ")," ")</f>
        <v>DELETE</v>
      </c>
      <c r="S2282" s="517">
        <f>M2282</f>
        <v>0</v>
      </c>
      <c r="U2282" s="517">
        <f>O2282</f>
        <v>0</v>
      </c>
    </row>
    <row r="2283" spans="2:21" ht="31.5" customHeight="1" x14ac:dyDescent="0.45">
      <c r="B2283" s="563"/>
      <c r="C2283" s="450"/>
      <c r="D2283" s="463"/>
      <c r="E2283" s="449" t="s">
        <v>980</v>
      </c>
      <c r="M2283" s="533">
        <f>-TrialBalance!L223</f>
        <v>0</v>
      </c>
      <c r="N2283" s="491"/>
      <c r="O2283" s="553">
        <f>-TrialBalance!N223</f>
        <v>0</v>
      </c>
      <c r="Q2283" s="469"/>
      <c r="R2283" s="512" t="str">
        <f t="shared" si="121"/>
        <v>DELETE</v>
      </c>
      <c r="S2283" s="517">
        <f>M2283</f>
        <v>0</v>
      </c>
      <c r="U2283" s="517">
        <f>O2283</f>
        <v>0</v>
      </c>
    </row>
    <row r="2284" spans="2:21" ht="9" customHeight="1" x14ac:dyDescent="0.45">
      <c r="B2284" s="563"/>
      <c r="C2284" s="450"/>
      <c r="D2284" s="463"/>
      <c r="M2284" s="534"/>
      <c r="N2284" s="473"/>
      <c r="O2284" s="554"/>
      <c r="Q2284" s="469"/>
      <c r="R2284" s="512" t="str">
        <f t="shared" ref="R2284:R2285" si="122">R$2279</f>
        <v>DELETE</v>
      </c>
    </row>
    <row r="2285" spans="2:21" ht="9" customHeight="1" x14ac:dyDescent="0.45">
      <c r="B2285" s="563"/>
      <c r="C2285" s="450"/>
      <c r="D2285" s="463"/>
      <c r="M2285" s="531"/>
      <c r="N2285" s="470"/>
      <c r="O2285" s="531"/>
      <c r="Q2285" s="469"/>
      <c r="R2285" s="512" t="str">
        <f t="shared" si="122"/>
        <v>DELETE</v>
      </c>
    </row>
    <row r="2286" spans="2:21" ht="31.5" customHeight="1" x14ac:dyDescent="0.45">
      <c r="B2286" s="563"/>
      <c r="C2286" s="450"/>
      <c r="D2286" s="463" t="s">
        <v>1169</v>
      </c>
      <c r="M2286" s="531">
        <f>SUM(S2288:S2291)</f>
        <v>0</v>
      </c>
      <c r="N2286" s="470"/>
      <c r="O2286" s="531">
        <f>SUM(U2288:U2291)</f>
        <v>0</v>
      </c>
      <c r="Q2286" s="469"/>
      <c r="R2286" s="512" t="str">
        <f t="shared" ref="R2286" si="123">IF(M2286=0,IF(O2286=0,"DELETE"," ")," ")</f>
        <v>DELETE</v>
      </c>
    </row>
    <row r="2287" spans="2:21" ht="9" customHeight="1" x14ac:dyDescent="0.45">
      <c r="B2287" s="563"/>
      <c r="C2287" s="450"/>
      <c r="D2287" s="463"/>
      <c r="M2287" s="539"/>
      <c r="N2287" s="475"/>
      <c r="O2287" s="539"/>
      <c r="Q2287" s="469"/>
      <c r="R2287" s="512" t="str">
        <f>R$2286</f>
        <v>DELETE</v>
      </c>
    </row>
    <row r="2288" spans="2:21" ht="9" customHeight="1" x14ac:dyDescent="0.45">
      <c r="B2288" s="563"/>
      <c r="C2288" s="450"/>
      <c r="D2288" s="463"/>
      <c r="M2288" s="673"/>
      <c r="N2288" s="674"/>
      <c r="O2288" s="675"/>
      <c r="Q2288" s="469"/>
      <c r="R2288" s="512" t="str">
        <f>R$2286</f>
        <v>DELETE</v>
      </c>
    </row>
    <row r="2289" spans="2:26" ht="31.5" customHeight="1" x14ac:dyDescent="0.45">
      <c r="B2289" s="563"/>
      <c r="C2289" s="450"/>
      <c r="D2289" s="463"/>
      <c r="E2289" s="449" t="s">
        <v>1687</v>
      </c>
      <c r="M2289" s="537">
        <f>-TrialBalance!L224</f>
        <v>0</v>
      </c>
      <c r="N2289" s="676"/>
      <c r="O2289" s="555">
        <f>-TrialBalance!N224</f>
        <v>0</v>
      </c>
      <c r="Q2289" s="469"/>
      <c r="R2289" s="512" t="str">
        <f t="shared" ref="R2289:R2290" si="124">IF(M2289=0,IF(O2289=0,"DELETE"," ")," ")</f>
        <v>DELETE</v>
      </c>
      <c r="S2289" s="517">
        <f>M2289</f>
        <v>0</v>
      </c>
      <c r="U2289" s="517">
        <f>O2289</f>
        <v>0</v>
      </c>
    </row>
    <row r="2290" spans="2:26" ht="31.5" customHeight="1" x14ac:dyDescent="0.45">
      <c r="B2290" s="563"/>
      <c r="C2290" s="450"/>
      <c r="D2290" s="463"/>
      <c r="E2290" s="449" t="s">
        <v>980</v>
      </c>
      <c r="M2290" s="537">
        <f>-TrialBalance!L225</f>
        <v>0</v>
      </c>
      <c r="N2290" s="676"/>
      <c r="O2290" s="555">
        <f>-TrialBalance!N225</f>
        <v>0</v>
      </c>
      <c r="Q2290" s="469"/>
      <c r="R2290" s="512" t="str">
        <f t="shared" si="124"/>
        <v>DELETE</v>
      </c>
      <c r="S2290" s="517">
        <f>M2290</f>
        <v>0</v>
      </c>
      <c r="U2290" s="517">
        <f>O2290</f>
        <v>0</v>
      </c>
    </row>
    <row r="2291" spans="2:26" ht="9" customHeight="1" x14ac:dyDescent="0.45">
      <c r="B2291" s="563"/>
      <c r="C2291" s="450"/>
      <c r="D2291" s="463"/>
      <c r="M2291" s="677"/>
      <c r="N2291" s="678"/>
      <c r="O2291" s="679"/>
      <c r="Q2291" s="469"/>
      <c r="R2291" s="512" t="str">
        <f t="shared" ref="R2291:R2292" si="125">R$2286</f>
        <v>DELETE</v>
      </c>
    </row>
    <row r="2292" spans="2:26" ht="9" customHeight="1" x14ac:dyDescent="0.45">
      <c r="B2292" s="563"/>
      <c r="C2292" s="450"/>
      <c r="D2292" s="463"/>
      <c r="M2292" s="539"/>
      <c r="N2292" s="475"/>
      <c r="O2292" s="539"/>
      <c r="Q2292" s="469"/>
      <c r="R2292" s="512" t="str">
        <f t="shared" si="125"/>
        <v>DELETE</v>
      </c>
    </row>
    <row r="2293" spans="2:26" ht="31.5" customHeight="1" x14ac:dyDescent="0.45">
      <c r="B2293" s="563"/>
      <c r="C2293" s="450"/>
      <c r="D2293" s="463" t="s">
        <v>1170</v>
      </c>
      <c r="M2293" s="531">
        <f>SUM(S2295:S2298)</f>
        <v>0</v>
      </c>
      <c r="N2293" s="470"/>
      <c r="O2293" s="531">
        <f>SUM(U2295:U2298)</f>
        <v>0</v>
      </c>
      <c r="Q2293" s="469"/>
      <c r="R2293" s="512" t="str">
        <f>IF(M2293=0,IF(O2293=0,"DELETE"," ")," ")</f>
        <v>DELETE</v>
      </c>
    </row>
    <row r="2294" spans="2:26" ht="9" customHeight="1" x14ac:dyDescent="0.45">
      <c r="B2294" s="563"/>
      <c r="C2294" s="450"/>
      <c r="D2294" s="463"/>
      <c r="M2294" s="539"/>
      <c r="N2294" s="475"/>
      <c r="O2294" s="539"/>
      <c r="Q2294" s="469"/>
      <c r="R2294" s="512" t="str">
        <f>R$2293</f>
        <v>DELETE</v>
      </c>
    </row>
    <row r="2295" spans="2:26" ht="9" customHeight="1" x14ac:dyDescent="0.45">
      <c r="B2295" s="563"/>
      <c r="C2295" s="450"/>
      <c r="D2295" s="463"/>
      <c r="M2295" s="673"/>
      <c r="N2295" s="674"/>
      <c r="O2295" s="675"/>
      <c r="Q2295" s="469"/>
      <c r="R2295" s="512" t="str">
        <f>R$2293</f>
        <v>DELETE</v>
      </c>
    </row>
    <row r="2296" spans="2:26" ht="31.5" customHeight="1" x14ac:dyDescent="0.45">
      <c r="B2296" s="563"/>
      <c r="C2296" s="450"/>
      <c r="D2296" s="463"/>
      <c r="E2296" s="449" t="s">
        <v>1687</v>
      </c>
      <c r="M2296" s="537">
        <f>-TrialBalance!L226</f>
        <v>0</v>
      </c>
      <c r="N2296" s="676"/>
      <c r="O2296" s="555">
        <f>-TrialBalance!N226</f>
        <v>0</v>
      </c>
      <c r="Q2296" s="469"/>
      <c r="R2296" s="512" t="str">
        <f t="shared" ref="R2296:R2297" si="126">IF(M2296=0,IF(O2296=0,"DELETE"," ")," ")</f>
        <v>DELETE</v>
      </c>
      <c r="S2296" s="517">
        <f>M2296</f>
        <v>0</v>
      </c>
      <c r="U2296" s="517">
        <f>O2296</f>
        <v>0</v>
      </c>
    </row>
    <row r="2297" spans="2:26" ht="31.5" customHeight="1" x14ac:dyDescent="0.45">
      <c r="B2297" s="563"/>
      <c r="C2297" s="450"/>
      <c r="D2297" s="463"/>
      <c r="E2297" s="449" t="s">
        <v>980</v>
      </c>
      <c r="M2297" s="537">
        <f>-TrialBalance!L227</f>
        <v>0</v>
      </c>
      <c r="N2297" s="676"/>
      <c r="O2297" s="555">
        <f>-TrialBalance!N227</f>
        <v>0</v>
      </c>
      <c r="Q2297" s="469"/>
      <c r="R2297" s="512" t="str">
        <f t="shared" si="126"/>
        <v>DELETE</v>
      </c>
      <c r="S2297" s="517">
        <f>M2297</f>
        <v>0</v>
      </c>
      <c r="U2297" s="517">
        <f>O2297</f>
        <v>0</v>
      </c>
    </row>
    <row r="2298" spans="2:26" ht="9" customHeight="1" x14ac:dyDescent="0.45">
      <c r="B2298" s="563"/>
      <c r="C2298" s="450"/>
      <c r="D2298" s="463"/>
      <c r="M2298" s="677"/>
      <c r="N2298" s="678"/>
      <c r="O2298" s="679"/>
      <c r="Q2298" s="469"/>
      <c r="R2298" s="512" t="str">
        <f>R$2293</f>
        <v>DELETE</v>
      </c>
    </row>
    <row r="2299" spans="2:26" ht="9" customHeight="1" x14ac:dyDescent="0.45">
      <c r="B2299" s="563"/>
      <c r="C2299" s="450"/>
      <c r="M2299" s="535"/>
      <c r="N2299" s="473"/>
      <c r="O2299" s="535"/>
      <c r="Q2299" s="469"/>
      <c r="R2299" s="512" t="str">
        <f t="shared" ref="R2299:R2304" si="127">R$2267</f>
        <v>DELETE</v>
      </c>
    </row>
    <row r="2300" spans="2:26" ht="9" customHeight="1" x14ac:dyDescent="0.45">
      <c r="B2300" s="563"/>
      <c r="C2300" s="450"/>
      <c r="M2300" s="531"/>
      <c r="N2300" s="470"/>
      <c r="O2300" s="531"/>
      <c r="Q2300" s="469"/>
      <c r="R2300" s="512" t="str">
        <f t="shared" si="127"/>
        <v>DELETE</v>
      </c>
    </row>
    <row r="2301" spans="2:26" ht="31.5" customHeight="1" x14ac:dyDescent="0.45">
      <c r="B2301" s="563"/>
      <c r="C2301" s="450"/>
      <c r="D2301" s="463" t="str">
        <f>IF((Y2301+Z2301)=3,"Deferred tax liability/(asset) at the end of the year",(IF((Y2301+Z2301=4),"Deferred tax liability at the end of the year","Deferred tax asset at the end of the year")))</f>
        <v>Deferred tax liability at the end of the year</v>
      </c>
      <c r="M2301" s="531">
        <f>SUM(S2274:S2298)</f>
        <v>0</v>
      </c>
      <c r="N2301" s="470"/>
      <c r="O2301" s="531">
        <f>SUM(U2274:U2298)</f>
        <v>0</v>
      </c>
      <c r="Q2301" s="469"/>
      <c r="R2301" s="512" t="str">
        <f t="shared" si="127"/>
        <v>DELETE</v>
      </c>
      <c r="V2301" s="513" t="b">
        <f>M2301=SUM(M2304:M2307)</f>
        <v>1</v>
      </c>
      <c r="X2301" s="513" t="b">
        <f>O2301=SUM(O2304:O2307)</f>
        <v>1</v>
      </c>
      <c r="Y2301" s="513">
        <f>IF(M2301&lt;0,1,IF(M2301=0,IF(O2301&lt;0,1,2),2))</f>
        <v>2</v>
      </c>
      <c r="Z2301" s="513">
        <f>IF(O2301&lt;0,1,IF(O2301=0,IF(M2301&lt;0,1,2),2))</f>
        <v>2</v>
      </c>
    </row>
    <row r="2302" spans="2:26" ht="9" customHeight="1" thickBot="1" x14ac:dyDescent="0.5">
      <c r="B2302" s="563"/>
      <c r="C2302" s="450"/>
      <c r="M2302" s="536"/>
      <c r="N2302" s="474"/>
      <c r="O2302" s="536"/>
      <c r="Q2302" s="469"/>
      <c r="R2302" s="512" t="str">
        <f t="shared" si="127"/>
        <v>DELETE</v>
      </c>
    </row>
    <row r="2303" spans="2:26" ht="9" customHeight="1" thickTop="1" x14ac:dyDescent="0.45">
      <c r="B2303" s="563"/>
      <c r="C2303" s="450"/>
      <c r="M2303" s="531"/>
      <c r="N2303" s="470"/>
      <c r="O2303" s="531" t="s">
        <v>756</v>
      </c>
      <c r="Q2303" s="469"/>
      <c r="R2303" s="512" t="str">
        <f t="shared" si="127"/>
        <v>DELETE</v>
      </c>
    </row>
    <row r="2304" spans="2:26" ht="9" customHeight="1" x14ac:dyDescent="0.45">
      <c r="B2304" s="563"/>
      <c r="C2304" s="450"/>
      <c r="M2304" s="532"/>
      <c r="N2304" s="471"/>
      <c r="O2304" s="552"/>
      <c r="Q2304" s="469"/>
      <c r="R2304" s="512" t="str">
        <f t="shared" si="127"/>
        <v>DELETE</v>
      </c>
    </row>
    <row r="2305" spans="2:21" ht="31.5" customHeight="1" x14ac:dyDescent="0.45">
      <c r="B2305" s="563"/>
      <c r="C2305" s="450"/>
      <c r="E2305" s="449" t="s">
        <v>1687</v>
      </c>
      <c r="M2305" s="533">
        <f>-TrialBalance!L220-TrialBalance!L222-TrialBalance!L224-TrialBalance!L226</f>
        <v>0</v>
      </c>
      <c r="N2305" s="491"/>
      <c r="O2305" s="553">
        <f>-TrialBalance!N220-TrialBalance!N222-TrialBalance!N224-TrialBalance!N226</f>
        <v>0</v>
      </c>
      <c r="Q2305" s="469"/>
      <c r="R2305" s="512" t="str">
        <f>IF(R2267="DELETE","DELETE",IF(R2306="DELETE"," ",IF(M2305=0,IF(O2305=0,"DELETE"," ")," ")))</f>
        <v>DELETE</v>
      </c>
      <c r="S2305" s="517">
        <f>M2305</f>
        <v>0</v>
      </c>
      <c r="U2305" s="517">
        <f>O2305</f>
        <v>0</v>
      </c>
    </row>
    <row r="2306" spans="2:21" ht="31.5" customHeight="1" x14ac:dyDescent="0.45">
      <c r="B2306" s="563"/>
      <c r="C2306" s="450"/>
      <c r="E2306" s="449" t="s">
        <v>980</v>
      </c>
      <c r="M2306" s="533">
        <f>-TrialBalance!L221-TrialBalance!L223-TrialBalance!L225-TrialBalance!L227</f>
        <v>0</v>
      </c>
      <c r="N2306" s="491"/>
      <c r="O2306" s="553">
        <f>-TrialBalance!N221-TrialBalance!N223-TrialBalance!N225-TrialBalance!N227</f>
        <v>0</v>
      </c>
      <c r="Q2306" s="469"/>
      <c r="R2306" s="512" t="str">
        <f>IF(R2267="DELETE","DELETE",IF(M2306=0,IF(O2306=0,"DELETE"," ")," "))</f>
        <v>DELETE</v>
      </c>
      <c r="S2306" s="517">
        <f>M2306</f>
        <v>0</v>
      </c>
      <c r="U2306" s="517">
        <f>O2306</f>
        <v>0</v>
      </c>
    </row>
    <row r="2307" spans="2:21" ht="9" customHeight="1" x14ac:dyDescent="0.45">
      <c r="B2307" s="563"/>
      <c r="C2307" s="450"/>
      <c r="M2307" s="534"/>
      <c r="N2307" s="473"/>
      <c r="O2307" s="554"/>
      <c r="Q2307" s="469"/>
      <c r="R2307" s="512" t="str">
        <f t="shared" ref="R2307:R2312" si="128">R$2267</f>
        <v>DELETE</v>
      </c>
    </row>
    <row r="2308" spans="2:21" ht="9" customHeight="1" x14ac:dyDescent="0.45">
      <c r="B2308" s="563"/>
      <c r="C2308" s="450"/>
      <c r="M2308" s="531"/>
      <c r="N2308" s="470"/>
      <c r="O2308" s="531"/>
      <c r="Q2308" s="469"/>
      <c r="R2308" s="512" t="str">
        <f t="shared" si="128"/>
        <v>DELETE</v>
      </c>
    </row>
    <row r="2309" spans="2:21" ht="31.5" customHeight="1" x14ac:dyDescent="0.45">
      <c r="B2309" s="563"/>
      <c r="C2309" s="450"/>
      <c r="M2309" s="531"/>
      <c r="N2309" s="470"/>
      <c r="O2309" s="531"/>
      <c r="Q2309" s="469"/>
      <c r="R2309" s="512" t="str">
        <f t="shared" si="128"/>
        <v>DELETE</v>
      </c>
    </row>
    <row r="2310" spans="2:21" ht="31.5" customHeight="1" x14ac:dyDescent="0.45">
      <c r="B2310" s="563"/>
      <c r="C2310" s="450"/>
      <c r="M2310" s="531"/>
      <c r="N2310" s="470"/>
      <c r="O2310" s="531"/>
      <c r="Q2310" s="469"/>
      <c r="R2310" s="512" t="str">
        <f t="shared" si="128"/>
        <v>DELETE</v>
      </c>
    </row>
    <row r="2311" spans="2:21" ht="31.5" customHeight="1" x14ac:dyDescent="0.45">
      <c r="B2311" s="564"/>
      <c r="C2311" s="502"/>
      <c r="D2311" s="461"/>
      <c r="E2311" s="461"/>
      <c r="F2311" s="461"/>
      <c r="G2311" s="461"/>
      <c r="H2311" s="461"/>
      <c r="I2311" s="461"/>
      <c r="J2311" s="461"/>
      <c r="K2311" s="461"/>
      <c r="L2311" s="461"/>
      <c r="M2311" s="535"/>
      <c r="N2311" s="473"/>
      <c r="O2311" s="535"/>
      <c r="P2311" s="631"/>
      <c r="Q2311" s="479"/>
      <c r="R2311" s="512" t="str">
        <f t="shared" si="128"/>
        <v>DELETE</v>
      </c>
    </row>
    <row r="2312" spans="2:21" ht="31.5" customHeight="1" x14ac:dyDescent="0.45">
      <c r="B2312" s="527"/>
      <c r="M2312" s="635"/>
      <c r="N2312" s="621"/>
      <c r="O2312" s="635"/>
      <c r="R2312" s="512" t="str">
        <f t="shared" si="128"/>
        <v>DELETE</v>
      </c>
    </row>
    <row r="2313" spans="2:21" ht="31.5" customHeight="1" x14ac:dyDescent="0.45">
      <c r="B2313" s="527"/>
      <c r="M2313" s="635"/>
      <c r="N2313" s="621"/>
      <c r="O2313" s="635"/>
      <c r="R2313" s="512" t="str">
        <f>R$2332</f>
        <v>DELETE</v>
      </c>
    </row>
    <row r="2314" spans="2:21" ht="31.5" customHeight="1" x14ac:dyDescent="0.45">
      <c r="B2314" s="527"/>
      <c r="D2314" s="450" t="str">
        <f>Criteria!E9</f>
        <v>ABC COMPANY (PROPRIETARY) LIMITED</v>
      </c>
      <c r="M2314" s="635"/>
      <c r="N2314" s="621"/>
      <c r="O2314" s="531" t="s">
        <v>121</v>
      </c>
      <c r="Q2314" s="451">
        <f>MAX($Q$114:Q2313)+1</f>
        <v>56</v>
      </c>
      <c r="R2314" s="512" t="str">
        <f t="shared" ref="R2314:R2323" si="129">R$2332</f>
        <v>DELETE</v>
      </c>
    </row>
    <row r="2315" spans="2:21" ht="31.5" customHeight="1" x14ac:dyDescent="0.45">
      <c r="B2315" s="527"/>
      <c r="D2315" s="450" t="str">
        <f>Criteria!E10</f>
        <v>T/A SEAFRONT HOTEL, SEAFRONT RESTAURANT AND RENTAL PROPERTIES</v>
      </c>
      <c r="M2315" s="635"/>
      <c r="N2315" s="621"/>
      <c r="O2315" s="635"/>
      <c r="R2315" s="512" t="str">
        <f>IF(R$2332="DELETE","DELETE",IF(D2315=0,"DELETE"," "))</f>
        <v>DELETE</v>
      </c>
    </row>
    <row r="2316" spans="2:21" ht="31.5" customHeight="1" x14ac:dyDescent="0.45">
      <c r="B2316" s="527"/>
      <c r="M2316" s="635"/>
      <c r="N2316" s="621"/>
      <c r="O2316" s="635"/>
      <c r="R2316" s="512" t="str">
        <f t="shared" si="129"/>
        <v>DELETE</v>
      </c>
    </row>
    <row r="2317" spans="2:21" ht="31.5" customHeight="1" x14ac:dyDescent="0.45">
      <c r="B2317" s="527"/>
      <c r="D2317" s="450" t="s">
        <v>451</v>
      </c>
      <c r="M2317" s="635"/>
      <c r="N2317" s="621"/>
      <c r="O2317" s="635"/>
      <c r="R2317" s="512" t="str">
        <f t="shared" si="129"/>
        <v>DELETE</v>
      </c>
    </row>
    <row r="2318" spans="2:21" ht="31.5" customHeight="1" x14ac:dyDescent="0.45">
      <c r="B2318" s="527"/>
      <c r="D2318" s="450" t="str">
        <f>Criteria!E20</f>
        <v>29 FEBRUARY 2024</v>
      </c>
      <c r="J2318" s="449" t="s">
        <v>303</v>
      </c>
      <c r="M2318" s="635"/>
      <c r="N2318" s="621"/>
      <c r="O2318" s="635"/>
      <c r="R2318" s="512" t="str">
        <f t="shared" si="129"/>
        <v>DELETE</v>
      </c>
    </row>
    <row r="2319" spans="2:21" ht="31.5" customHeight="1" x14ac:dyDescent="0.45">
      <c r="B2319" s="527"/>
      <c r="D2319" s="450"/>
      <c r="M2319" s="635"/>
      <c r="N2319" s="621"/>
      <c r="O2319" s="635"/>
      <c r="R2319" s="512" t="str">
        <f t="shared" si="129"/>
        <v>DELETE</v>
      </c>
    </row>
    <row r="2320" spans="2:21" ht="31.5" customHeight="1" x14ac:dyDescent="0.45">
      <c r="B2320" s="565"/>
      <c r="C2320" s="503"/>
      <c r="D2320" s="466"/>
      <c r="E2320" s="466"/>
      <c r="F2320" s="466"/>
      <c r="G2320" s="466"/>
      <c r="H2320" s="466"/>
      <c r="I2320" s="466"/>
      <c r="J2320" s="466"/>
      <c r="K2320" s="466"/>
      <c r="L2320" s="466"/>
      <c r="M2320" s="546"/>
      <c r="N2320" s="471"/>
      <c r="O2320" s="546"/>
      <c r="P2320" s="643"/>
      <c r="Q2320" s="467"/>
      <c r="R2320" s="512" t="str">
        <f t="shared" si="129"/>
        <v>DELETE</v>
      </c>
    </row>
    <row r="2321" spans="2:18" ht="31.5" customHeight="1" x14ac:dyDescent="0.45">
      <c r="B2321" s="563"/>
      <c r="C2321" s="450"/>
      <c r="M2321" s="525">
        <f>Criteria!E22</f>
        <v>2024</v>
      </c>
      <c r="N2321" s="458"/>
      <c r="O2321" s="525">
        <f>Criteria!E27</f>
        <v>2023</v>
      </c>
      <c r="Q2321" s="469"/>
      <c r="R2321" s="512" t="str">
        <f t="shared" si="129"/>
        <v>DELETE</v>
      </c>
    </row>
    <row r="2322" spans="2:18" ht="31.5" customHeight="1" x14ac:dyDescent="0.45">
      <c r="B2322" s="563"/>
      <c r="C2322" s="450"/>
      <c r="M2322" s="531"/>
      <c r="N2322" s="470"/>
      <c r="O2322" s="531"/>
      <c r="Q2322" s="469"/>
      <c r="R2322" s="512" t="str">
        <f t="shared" si="129"/>
        <v>DELETE</v>
      </c>
    </row>
    <row r="2323" spans="2:18" ht="31.5" customHeight="1" x14ac:dyDescent="0.45">
      <c r="B2323" s="563">
        <f>MAX(B$802:B2322)+1</f>
        <v>26</v>
      </c>
      <c r="C2323" s="450" t="s">
        <v>496</v>
      </c>
      <c r="M2323" s="531"/>
      <c r="N2323" s="470"/>
      <c r="O2323" s="531"/>
      <c r="Q2323" s="469"/>
      <c r="R2323" s="512" t="str">
        <f t="shared" si="129"/>
        <v>DELETE</v>
      </c>
    </row>
    <row r="2324" spans="2:18" ht="31.5" customHeight="1" x14ac:dyDescent="0.45">
      <c r="B2324" s="563"/>
      <c r="C2324" s="450"/>
      <c r="D2324" s="449" t="s">
        <v>497</v>
      </c>
      <c r="M2324" s="531">
        <f>-TrialBalance!L379-TrialBalance!L378</f>
        <v>0</v>
      </c>
      <c r="N2324" s="470"/>
      <c r="O2324" s="531">
        <f>-TrialBalance!N379-TrialBalance!N378</f>
        <v>0</v>
      </c>
      <c r="Q2324" s="469"/>
      <c r="R2324" s="512" t="str">
        <f t="shared" ref="R2324:R2329" si="130">IF(M2324+O2324=0,"DELETE"," ")</f>
        <v>DELETE</v>
      </c>
    </row>
    <row r="2325" spans="2:18" ht="31.5" customHeight="1" x14ac:dyDescent="0.45">
      <c r="B2325" s="563"/>
      <c r="C2325" s="450"/>
      <c r="D2325" s="449" t="s">
        <v>676</v>
      </c>
      <c r="M2325" s="531">
        <f>-TrialBalance!L380</f>
        <v>0</v>
      </c>
      <c r="N2325" s="470"/>
      <c r="O2325" s="531">
        <f>-TrialBalance!N380</f>
        <v>0</v>
      </c>
      <c r="Q2325" s="469"/>
      <c r="R2325" s="512" t="str">
        <f t="shared" si="130"/>
        <v>DELETE</v>
      </c>
    </row>
    <row r="2326" spans="2:18" ht="31.5" customHeight="1" x14ac:dyDescent="0.45">
      <c r="B2326" s="563"/>
      <c r="C2326" s="450"/>
      <c r="D2326" s="449" t="s">
        <v>985</v>
      </c>
      <c r="M2326" s="531">
        <f>-TrialBalance!L381</f>
        <v>0</v>
      </c>
      <c r="N2326" s="470"/>
      <c r="O2326" s="531">
        <f>-TrialBalance!N381</f>
        <v>0</v>
      </c>
      <c r="Q2326" s="469"/>
      <c r="R2326" s="512" t="str">
        <f t="shared" si="130"/>
        <v>DELETE</v>
      </c>
    </row>
    <row r="2327" spans="2:18" ht="31.5" customHeight="1" x14ac:dyDescent="0.45">
      <c r="B2327" s="563"/>
      <c r="C2327" s="450"/>
      <c r="D2327" s="449" t="s">
        <v>677</v>
      </c>
      <c r="M2327" s="531">
        <f>-TrialBalance!L382</f>
        <v>0</v>
      </c>
      <c r="N2327" s="470"/>
      <c r="O2327" s="531">
        <f>-TrialBalance!N382</f>
        <v>0</v>
      </c>
      <c r="Q2327" s="469"/>
      <c r="R2327" s="512" t="str">
        <f t="shared" si="130"/>
        <v>DELETE</v>
      </c>
    </row>
    <row r="2328" spans="2:18" ht="31.5" customHeight="1" x14ac:dyDescent="0.45">
      <c r="B2328" s="563"/>
      <c r="C2328" s="450"/>
      <c r="D2328" s="449" t="s">
        <v>963</v>
      </c>
      <c r="M2328" s="531">
        <f>-TrialBalance!L383</f>
        <v>0</v>
      </c>
      <c r="N2328" s="470"/>
      <c r="O2328" s="531">
        <f>-TrialBalance!N383</f>
        <v>0</v>
      </c>
      <c r="Q2328" s="469"/>
      <c r="R2328" s="512" t="str">
        <f t="shared" si="130"/>
        <v>DELETE</v>
      </c>
    </row>
    <row r="2329" spans="2:18" ht="31.5" customHeight="1" x14ac:dyDescent="0.45">
      <c r="B2329" s="563"/>
      <c r="C2329" s="450"/>
      <c r="D2329" s="449" t="s">
        <v>658</v>
      </c>
      <c r="M2329" s="531">
        <f>IF(TrialBalance!L398&lt;0,-TrialBalance!L398,0)</f>
        <v>0</v>
      </c>
      <c r="N2329" s="470"/>
      <c r="O2329" s="531">
        <f>IF(TrialBalance!N398&lt;0,-TrialBalance!N398,0)</f>
        <v>0</v>
      </c>
      <c r="Q2329" s="469"/>
      <c r="R2329" s="512" t="str">
        <f t="shared" si="130"/>
        <v>DELETE</v>
      </c>
    </row>
    <row r="2330" spans="2:18" ht="9" customHeight="1" x14ac:dyDescent="0.45">
      <c r="B2330" s="563"/>
      <c r="C2330" s="450"/>
      <c r="M2330" s="535"/>
      <c r="N2330" s="473"/>
      <c r="O2330" s="535"/>
      <c r="Q2330" s="469"/>
      <c r="R2330" s="512" t="str">
        <f t="shared" ref="R2330:R2338" si="131">R$2332</f>
        <v>DELETE</v>
      </c>
    </row>
    <row r="2331" spans="2:18" ht="9" customHeight="1" x14ac:dyDescent="0.45">
      <c r="B2331" s="563"/>
      <c r="C2331" s="450"/>
      <c r="M2331" s="531"/>
      <c r="N2331" s="470"/>
      <c r="O2331" s="531"/>
      <c r="Q2331" s="469"/>
      <c r="R2331" s="512" t="str">
        <f t="shared" si="131"/>
        <v>DELETE</v>
      </c>
    </row>
    <row r="2332" spans="2:18" ht="31.5" customHeight="1" x14ac:dyDescent="0.45">
      <c r="B2332" s="563"/>
      <c r="C2332" s="450"/>
      <c r="M2332" s="531">
        <f>SUM(M2324:M2331)</f>
        <v>0</v>
      </c>
      <c r="N2332" s="470"/>
      <c r="O2332" s="531">
        <f>SUM(O2324:O2331)</f>
        <v>0</v>
      </c>
      <c r="Q2332" s="469"/>
      <c r="R2332" s="512" t="str">
        <f>IF(M2332+O2332=0,"DELETE"," ")</f>
        <v>DELETE</v>
      </c>
    </row>
    <row r="2333" spans="2:18" ht="9" customHeight="1" thickBot="1" x14ac:dyDescent="0.5">
      <c r="B2333" s="563"/>
      <c r="C2333" s="450"/>
      <c r="M2333" s="536"/>
      <c r="N2333" s="474"/>
      <c r="O2333" s="536"/>
      <c r="Q2333" s="469"/>
      <c r="R2333" s="512" t="str">
        <f t="shared" si="131"/>
        <v>DELETE</v>
      </c>
    </row>
    <row r="2334" spans="2:18" ht="9" customHeight="1" thickTop="1" x14ac:dyDescent="0.45">
      <c r="B2334" s="563"/>
      <c r="C2334" s="450"/>
      <c r="M2334" s="548"/>
      <c r="N2334" s="491"/>
      <c r="O2334" s="548"/>
      <c r="Q2334" s="469"/>
      <c r="R2334" s="512" t="str">
        <f t="shared" si="131"/>
        <v>DELETE</v>
      </c>
    </row>
    <row r="2335" spans="2:18" ht="31.5" customHeight="1" x14ac:dyDescent="0.45">
      <c r="B2335" s="563"/>
      <c r="C2335" s="450"/>
      <c r="M2335" s="531"/>
      <c r="N2335" s="470"/>
      <c r="O2335" s="531"/>
      <c r="Q2335" s="469"/>
      <c r="R2335" s="512" t="str">
        <f t="shared" si="131"/>
        <v>DELETE</v>
      </c>
    </row>
    <row r="2336" spans="2:18" ht="31.5" customHeight="1" x14ac:dyDescent="0.45">
      <c r="B2336" s="563"/>
      <c r="C2336" s="450"/>
      <c r="M2336" s="531"/>
      <c r="N2336" s="470"/>
      <c r="O2336" s="531"/>
      <c r="Q2336" s="469"/>
      <c r="R2336" s="512" t="str">
        <f t="shared" si="131"/>
        <v>DELETE</v>
      </c>
    </row>
    <row r="2337" spans="2:18" ht="31.5" customHeight="1" x14ac:dyDescent="0.45">
      <c r="B2337" s="564"/>
      <c r="C2337" s="502"/>
      <c r="D2337" s="461"/>
      <c r="E2337" s="461"/>
      <c r="F2337" s="461"/>
      <c r="G2337" s="461"/>
      <c r="H2337" s="461"/>
      <c r="I2337" s="461"/>
      <c r="J2337" s="461"/>
      <c r="K2337" s="461"/>
      <c r="L2337" s="461"/>
      <c r="M2337" s="535"/>
      <c r="N2337" s="473"/>
      <c r="O2337" s="535"/>
      <c r="P2337" s="631"/>
      <c r="Q2337" s="479"/>
      <c r="R2337" s="512" t="str">
        <f t="shared" si="131"/>
        <v>DELETE</v>
      </c>
    </row>
    <row r="2338" spans="2:18" ht="31.5" customHeight="1" x14ac:dyDescent="0.45">
      <c r="B2338" s="526"/>
      <c r="C2338" s="450"/>
      <c r="M2338" s="531"/>
      <c r="N2338" s="470"/>
      <c r="O2338" s="531"/>
      <c r="R2338" s="512" t="str">
        <f t="shared" si="131"/>
        <v>DELETE</v>
      </c>
    </row>
    <row r="2339" spans="2:18" ht="31.5" customHeight="1" x14ac:dyDescent="0.45">
      <c r="B2339" s="527"/>
      <c r="M2339" s="635"/>
      <c r="N2339" s="621"/>
      <c r="O2339" s="635"/>
      <c r="R2339" s="512" t="str">
        <f>R$2358</f>
        <v>DELETE</v>
      </c>
    </row>
    <row r="2340" spans="2:18" ht="31.5" customHeight="1" x14ac:dyDescent="0.45">
      <c r="B2340" s="527"/>
      <c r="D2340" s="450" t="str">
        <f>Criteria!E9</f>
        <v>ABC COMPANY (PROPRIETARY) LIMITED</v>
      </c>
      <c r="M2340" s="635"/>
      <c r="N2340" s="621"/>
      <c r="O2340" s="531" t="s">
        <v>121</v>
      </c>
      <c r="Q2340" s="451">
        <f>MAX($Q$114:Q2339)+1</f>
        <v>57</v>
      </c>
      <c r="R2340" s="512" t="str">
        <f t="shared" ref="R2340:R2349" si="132">R$2358</f>
        <v>DELETE</v>
      </c>
    </row>
    <row r="2341" spans="2:18" ht="31.5" customHeight="1" x14ac:dyDescent="0.45">
      <c r="B2341" s="527"/>
      <c r="D2341" s="450" t="str">
        <f>Criteria!E10</f>
        <v>T/A SEAFRONT HOTEL, SEAFRONT RESTAURANT AND RENTAL PROPERTIES</v>
      </c>
      <c r="M2341" s="635"/>
      <c r="N2341" s="621"/>
      <c r="O2341" s="635"/>
      <c r="R2341" s="512" t="str">
        <f>IF(R$2358="DELETE","DELETE",IF(D2341=0,"DELETE"," "))</f>
        <v>DELETE</v>
      </c>
    </row>
    <row r="2342" spans="2:18" ht="31.5" customHeight="1" x14ac:dyDescent="0.45">
      <c r="B2342" s="527"/>
      <c r="M2342" s="635"/>
      <c r="N2342" s="621"/>
      <c r="O2342" s="635"/>
      <c r="R2342" s="512" t="str">
        <f t="shared" si="132"/>
        <v>DELETE</v>
      </c>
    </row>
    <row r="2343" spans="2:18" ht="31.5" customHeight="1" x14ac:dyDescent="0.45">
      <c r="B2343" s="527"/>
      <c r="D2343" s="450" t="s">
        <v>451</v>
      </c>
      <c r="M2343" s="635"/>
      <c r="N2343" s="621"/>
      <c r="O2343" s="635"/>
      <c r="R2343" s="512" t="str">
        <f t="shared" si="132"/>
        <v>DELETE</v>
      </c>
    </row>
    <row r="2344" spans="2:18" ht="31.5" customHeight="1" x14ac:dyDescent="0.45">
      <c r="B2344" s="527"/>
      <c r="D2344" s="450" t="str">
        <f>Criteria!E20</f>
        <v>29 FEBRUARY 2024</v>
      </c>
      <c r="J2344" s="449" t="s">
        <v>303</v>
      </c>
      <c r="M2344" s="635"/>
      <c r="N2344" s="621"/>
      <c r="O2344" s="635"/>
      <c r="R2344" s="512" t="str">
        <f t="shared" si="132"/>
        <v>DELETE</v>
      </c>
    </row>
    <row r="2345" spans="2:18" ht="31.5" customHeight="1" x14ac:dyDescent="0.45">
      <c r="B2345" s="527"/>
      <c r="M2345" s="640"/>
      <c r="N2345" s="646"/>
      <c r="O2345" s="640"/>
      <c r="R2345" s="512" t="str">
        <f t="shared" si="132"/>
        <v>DELETE</v>
      </c>
    </row>
    <row r="2346" spans="2:18" ht="31.5" customHeight="1" x14ac:dyDescent="0.45">
      <c r="B2346" s="566"/>
      <c r="C2346" s="466"/>
      <c r="D2346" s="466"/>
      <c r="E2346" s="466"/>
      <c r="F2346" s="466"/>
      <c r="G2346" s="466"/>
      <c r="H2346" s="466"/>
      <c r="I2346" s="466"/>
      <c r="J2346" s="466"/>
      <c r="K2346" s="466"/>
      <c r="L2346" s="466"/>
      <c r="M2346" s="648"/>
      <c r="N2346" s="649"/>
      <c r="O2346" s="648"/>
      <c r="P2346" s="643"/>
      <c r="Q2346" s="467"/>
      <c r="R2346" s="512" t="str">
        <f t="shared" si="132"/>
        <v>DELETE</v>
      </c>
    </row>
    <row r="2347" spans="2:18" ht="31.5" customHeight="1" x14ac:dyDescent="0.45">
      <c r="B2347" s="582"/>
      <c r="M2347" s="525">
        <f>Criteria!E22</f>
        <v>2024</v>
      </c>
      <c r="N2347" s="458"/>
      <c r="O2347" s="525">
        <f>Criteria!E27</f>
        <v>2023</v>
      </c>
      <c r="Q2347" s="469"/>
      <c r="R2347" s="512" t="str">
        <f t="shared" si="132"/>
        <v>DELETE</v>
      </c>
    </row>
    <row r="2348" spans="2:18" ht="31.5" customHeight="1" x14ac:dyDescent="0.45">
      <c r="B2348" s="563"/>
      <c r="C2348" s="450"/>
      <c r="M2348" s="531"/>
      <c r="N2348" s="470"/>
      <c r="O2348" s="531"/>
      <c r="Q2348" s="469"/>
      <c r="R2348" s="512" t="str">
        <f t="shared" si="132"/>
        <v>DELETE</v>
      </c>
    </row>
    <row r="2349" spans="2:18" ht="31.5" customHeight="1" x14ac:dyDescent="0.45">
      <c r="B2349" s="563">
        <f>MAX(B$802:B2348)+1</f>
        <v>27</v>
      </c>
      <c r="C2349" s="450" t="str">
        <f>IF(COUNTIF(TrialBalance!N366:N371,"&lt;0")&gt;1,"BANK OVERDRAFTS",IF(COUNTIF(TrialBalance!L366:L371,"&lt;0")&gt;1,"BANK OVERDRAFTS","BANK OVERDRAFT"))</f>
        <v>BANK OVERDRAFT</v>
      </c>
      <c r="M2349" s="531"/>
      <c r="N2349" s="470"/>
      <c r="O2349" s="531"/>
      <c r="Q2349" s="469"/>
      <c r="R2349" s="512" t="str">
        <f t="shared" si="132"/>
        <v>DELETE</v>
      </c>
    </row>
    <row r="2350" spans="2:18" ht="31.5" customHeight="1" x14ac:dyDescent="0.45">
      <c r="B2350" s="563"/>
      <c r="C2350" s="450"/>
      <c r="D2350" s="449">
        <f>TrialBalance!C366</f>
        <v>0</v>
      </c>
      <c r="M2350" s="531">
        <f>IF(TrialBalance!L366&lt;0,-TrialBalance!L366,0)</f>
        <v>0</v>
      </c>
      <c r="N2350" s="470"/>
      <c r="O2350" s="531">
        <f>IF(TrialBalance!N366&lt;0,-TrialBalance!N366,0)</f>
        <v>0</v>
      </c>
      <c r="Q2350" s="469"/>
      <c r="R2350" s="512" t="str">
        <f>IF(M2350+O2350=0,"DELETE"," ")</f>
        <v>DELETE</v>
      </c>
    </row>
    <row r="2351" spans="2:18" ht="31.5" customHeight="1" x14ac:dyDescent="0.45">
      <c r="B2351" s="563"/>
      <c r="C2351" s="450"/>
      <c r="D2351" s="449">
        <f>TrialBalance!C367</f>
        <v>0</v>
      </c>
      <c r="M2351" s="531">
        <f>IF(TrialBalance!L367&lt;0,-TrialBalance!L367,0)</f>
        <v>0</v>
      </c>
      <c r="N2351" s="470"/>
      <c r="O2351" s="531">
        <f>IF(TrialBalance!N367&lt;0,-TrialBalance!N367,0)</f>
        <v>0</v>
      </c>
      <c r="Q2351" s="469"/>
      <c r="R2351" s="512" t="str">
        <f>IF(M2351+O2351=0,"DELETE"," ")</f>
        <v>DELETE</v>
      </c>
    </row>
    <row r="2352" spans="2:18" ht="31.5" customHeight="1" x14ac:dyDescent="0.45">
      <c r="B2352" s="563"/>
      <c r="C2352" s="450"/>
      <c r="D2352" s="449">
        <f>TrialBalance!C368</f>
        <v>0</v>
      </c>
      <c r="M2352" s="531">
        <f>IF(TrialBalance!L368&lt;0,-TrialBalance!L368,0)</f>
        <v>0</v>
      </c>
      <c r="N2352" s="470"/>
      <c r="O2352" s="531">
        <f>IF(TrialBalance!N368&lt;0,-TrialBalance!N368,0)</f>
        <v>0</v>
      </c>
      <c r="Q2352" s="469"/>
      <c r="R2352" s="512" t="str">
        <f>IF(M2352+O2352=0,"DELETE"," ")</f>
        <v>DELETE</v>
      </c>
    </row>
    <row r="2353" spans="2:18" ht="31.5" customHeight="1" x14ac:dyDescent="0.45">
      <c r="B2353" s="563"/>
      <c r="C2353" s="450"/>
      <c r="D2353" s="449">
        <f>TrialBalance!C369</f>
        <v>0</v>
      </c>
      <c r="M2353" s="531">
        <f>IF(TrialBalance!L369&lt;0,-TrialBalance!L369,0)</f>
        <v>0</v>
      </c>
      <c r="N2353" s="470"/>
      <c r="O2353" s="531">
        <f>IF(TrialBalance!N369&lt;0,-TrialBalance!N369,0)</f>
        <v>0</v>
      </c>
      <c r="Q2353" s="469"/>
      <c r="R2353" s="512" t="str">
        <f>IF(M2353+O2353=0,"DELETE"," ")</f>
        <v>DELETE</v>
      </c>
    </row>
    <row r="2354" spans="2:18" ht="31.5" customHeight="1" x14ac:dyDescent="0.45">
      <c r="B2354" s="563"/>
      <c r="C2354" s="450"/>
      <c r="D2354" s="449">
        <f>TrialBalance!C370</f>
        <v>0</v>
      </c>
      <c r="M2354" s="531">
        <f>IF(TrialBalance!L370&lt;0,-TrialBalance!L370,0)</f>
        <v>0</v>
      </c>
      <c r="N2354" s="470"/>
      <c r="O2354" s="531">
        <f>IF(TrialBalance!N370&lt;0,-TrialBalance!N370,0)</f>
        <v>0</v>
      </c>
      <c r="Q2354" s="469"/>
      <c r="R2354" s="512" t="str">
        <f t="shared" ref="R2354:R2355" si="133">IF(M2354+O2354=0,"DELETE"," ")</f>
        <v>DELETE</v>
      </c>
    </row>
    <row r="2355" spans="2:18" ht="31.5" customHeight="1" x14ac:dyDescent="0.45">
      <c r="B2355" s="563"/>
      <c r="C2355" s="450"/>
      <c r="D2355" s="449">
        <f>TrialBalance!C371</f>
        <v>0</v>
      </c>
      <c r="M2355" s="531">
        <f>IF(TrialBalance!L371&lt;0,-TrialBalance!L371,0)</f>
        <v>0</v>
      </c>
      <c r="N2355" s="470"/>
      <c r="O2355" s="531">
        <f>IF(TrialBalance!N371&lt;0,-TrialBalance!N371,0)</f>
        <v>0</v>
      </c>
      <c r="Q2355" s="469"/>
      <c r="R2355" s="512" t="str">
        <f t="shared" si="133"/>
        <v>DELETE</v>
      </c>
    </row>
    <row r="2356" spans="2:18" ht="9" customHeight="1" x14ac:dyDescent="0.45">
      <c r="B2356" s="563"/>
      <c r="C2356" s="450"/>
      <c r="M2356" s="535"/>
      <c r="N2356" s="473"/>
      <c r="O2356" s="535"/>
      <c r="Q2356" s="469"/>
      <c r="R2356" s="512" t="str">
        <f t="shared" ref="R2356:R2364" si="134">R$2358</f>
        <v>DELETE</v>
      </c>
    </row>
    <row r="2357" spans="2:18" ht="9" customHeight="1" x14ac:dyDescent="0.45">
      <c r="B2357" s="563"/>
      <c r="C2357" s="450"/>
      <c r="M2357" s="531"/>
      <c r="N2357" s="470"/>
      <c r="O2357" s="531"/>
      <c r="Q2357" s="469"/>
      <c r="R2357" s="512" t="str">
        <f t="shared" si="134"/>
        <v>DELETE</v>
      </c>
    </row>
    <row r="2358" spans="2:18" ht="31.5" customHeight="1" x14ac:dyDescent="0.45">
      <c r="B2358" s="563"/>
      <c r="C2358" s="450"/>
      <c r="M2358" s="531">
        <f>SUM(M2350:M2357)</f>
        <v>0</v>
      </c>
      <c r="N2358" s="470"/>
      <c r="O2358" s="531">
        <f>SUM(O2350:O2357)</f>
        <v>0</v>
      </c>
      <c r="Q2358" s="469"/>
      <c r="R2358" s="512" t="str">
        <f>IF(M2358+O2358=0,"DELETE"," ")</f>
        <v>DELETE</v>
      </c>
    </row>
    <row r="2359" spans="2:18" ht="9" customHeight="1" thickBot="1" x14ac:dyDescent="0.5">
      <c r="B2359" s="563"/>
      <c r="C2359" s="450"/>
      <c r="M2359" s="536"/>
      <c r="N2359" s="474"/>
      <c r="O2359" s="536"/>
      <c r="Q2359" s="469"/>
      <c r="R2359" s="512" t="str">
        <f t="shared" si="134"/>
        <v>DELETE</v>
      </c>
    </row>
    <row r="2360" spans="2:18" ht="9" customHeight="1" thickTop="1" x14ac:dyDescent="0.45">
      <c r="B2360" s="563"/>
      <c r="C2360" s="450"/>
      <c r="M2360" s="548"/>
      <c r="N2360" s="491"/>
      <c r="O2360" s="548"/>
      <c r="Q2360" s="469"/>
      <c r="R2360" s="512" t="str">
        <f t="shared" si="134"/>
        <v>DELETE</v>
      </c>
    </row>
    <row r="2361" spans="2:18" ht="31.5" customHeight="1" x14ac:dyDescent="0.45">
      <c r="B2361" s="563"/>
      <c r="C2361" s="450"/>
      <c r="M2361" s="531"/>
      <c r="N2361" s="470"/>
      <c r="O2361" s="531"/>
      <c r="Q2361" s="469"/>
      <c r="R2361" s="512" t="str">
        <f t="shared" si="134"/>
        <v>DELETE</v>
      </c>
    </row>
    <row r="2362" spans="2:18" ht="31.5" customHeight="1" x14ac:dyDescent="0.45">
      <c r="B2362" s="563"/>
      <c r="C2362" s="450"/>
      <c r="M2362" s="531"/>
      <c r="N2362" s="470"/>
      <c r="O2362" s="531"/>
      <c r="Q2362" s="469"/>
      <c r="R2362" s="512" t="str">
        <f t="shared" si="134"/>
        <v>DELETE</v>
      </c>
    </row>
    <row r="2363" spans="2:18" ht="31.5" customHeight="1" x14ac:dyDescent="0.45">
      <c r="B2363" s="564"/>
      <c r="C2363" s="502"/>
      <c r="D2363" s="461"/>
      <c r="E2363" s="461"/>
      <c r="F2363" s="461"/>
      <c r="G2363" s="461"/>
      <c r="H2363" s="461"/>
      <c r="I2363" s="461"/>
      <c r="J2363" s="461"/>
      <c r="K2363" s="461"/>
      <c r="L2363" s="461"/>
      <c r="M2363" s="535"/>
      <c r="N2363" s="473"/>
      <c r="O2363" s="535"/>
      <c r="P2363" s="631"/>
      <c r="Q2363" s="479"/>
      <c r="R2363" s="512" t="str">
        <f t="shared" si="134"/>
        <v>DELETE</v>
      </c>
    </row>
    <row r="2364" spans="2:18" ht="31.5" customHeight="1" x14ac:dyDescent="0.45">
      <c r="B2364" s="527"/>
      <c r="M2364" s="635"/>
      <c r="N2364" s="621"/>
      <c r="O2364" s="635"/>
      <c r="R2364" s="512" t="str">
        <f t="shared" si="134"/>
        <v>DELETE</v>
      </c>
    </row>
    <row r="2365" spans="2:18" ht="31.5" customHeight="1" x14ac:dyDescent="0.45">
      <c r="B2365" s="527"/>
      <c r="M2365" s="635"/>
      <c r="N2365" s="621"/>
      <c r="O2365" s="635"/>
      <c r="R2365" s="512" t="str">
        <f>R$2381</f>
        <v>DELETE</v>
      </c>
    </row>
    <row r="2366" spans="2:18" ht="31.5" customHeight="1" x14ac:dyDescent="0.45">
      <c r="B2366" s="527"/>
      <c r="D2366" s="450" t="str">
        <f>Criteria!E9</f>
        <v>ABC COMPANY (PROPRIETARY) LIMITED</v>
      </c>
      <c r="M2366" s="635"/>
      <c r="N2366" s="621"/>
      <c r="O2366" s="531" t="s">
        <v>121</v>
      </c>
      <c r="Q2366" s="451">
        <f>MAX($Q$114:Q2365)+1</f>
        <v>58</v>
      </c>
      <c r="R2366" s="512" t="str">
        <f t="shared" ref="R2366:R2375" si="135">R$2381</f>
        <v>DELETE</v>
      </c>
    </row>
    <row r="2367" spans="2:18" ht="31.5" customHeight="1" x14ac:dyDescent="0.45">
      <c r="B2367" s="527"/>
      <c r="D2367" s="450" t="str">
        <f>Criteria!E10</f>
        <v>T/A SEAFRONT HOTEL, SEAFRONT RESTAURANT AND RENTAL PROPERTIES</v>
      </c>
      <c r="M2367" s="635"/>
      <c r="N2367" s="621"/>
      <c r="O2367" s="635"/>
      <c r="R2367" s="512" t="str">
        <f>IF(R$2381="DELETE","DELETE",IF(D2367=0,"DELETE"," "))</f>
        <v>DELETE</v>
      </c>
    </row>
    <row r="2368" spans="2:18" ht="31.5" customHeight="1" x14ac:dyDescent="0.45">
      <c r="B2368" s="527"/>
      <c r="M2368" s="635"/>
      <c r="N2368" s="621"/>
      <c r="O2368" s="635"/>
      <c r="R2368" s="512" t="str">
        <f t="shared" si="135"/>
        <v>DELETE</v>
      </c>
    </row>
    <row r="2369" spans="2:23" ht="31.5" customHeight="1" x14ac:dyDescent="0.45">
      <c r="B2369" s="527"/>
      <c r="D2369" s="450" t="s">
        <v>451</v>
      </c>
      <c r="M2369" s="635"/>
      <c r="N2369" s="621"/>
      <c r="O2369" s="635"/>
      <c r="R2369" s="512" t="str">
        <f t="shared" si="135"/>
        <v>DELETE</v>
      </c>
    </row>
    <row r="2370" spans="2:23" ht="31.5" customHeight="1" x14ac:dyDescent="0.45">
      <c r="B2370" s="527"/>
      <c r="D2370" s="450" t="str">
        <f>Criteria!E20</f>
        <v>29 FEBRUARY 2024</v>
      </c>
      <c r="J2370" s="449" t="s">
        <v>303</v>
      </c>
      <c r="M2370" s="635"/>
      <c r="N2370" s="621"/>
      <c r="O2370" s="635"/>
      <c r="R2370" s="512" t="str">
        <f t="shared" si="135"/>
        <v>DELETE</v>
      </c>
    </row>
    <row r="2371" spans="2:23" ht="31.5" customHeight="1" x14ac:dyDescent="0.45">
      <c r="B2371" s="527"/>
      <c r="D2371" s="450"/>
      <c r="M2371" s="635"/>
      <c r="N2371" s="621"/>
      <c r="O2371" s="635"/>
      <c r="R2371" s="512" t="str">
        <f t="shared" si="135"/>
        <v>DELETE</v>
      </c>
    </row>
    <row r="2372" spans="2:23" ht="31.5" customHeight="1" x14ac:dyDescent="0.45">
      <c r="B2372" s="565"/>
      <c r="C2372" s="503"/>
      <c r="D2372" s="466"/>
      <c r="E2372" s="466"/>
      <c r="F2372" s="466"/>
      <c r="G2372" s="466"/>
      <c r="H2372" s="466"/>
      <c r="I2372" s="466"/>
      <c r="J2372" s="466"/>
      <c r="K2372" s="466"/>
      <c r="L2372" s="466"/>
      <c r="M2372" s="546"/>
      <c r="N2372" s="471"/>
      <c r="O2372" s="546"/>
      <c r="P2372" s="643"/>
      <c r="Q2372" s="467"/>
      <c r="R2372" s="512" t="str">
        <f t="shared" si="135"/>
        <v>DELETE</v>
      </c>
    </row>
    <row r="2373" spans="2:23" ht="31.5" customHeight="1" x14ac:dyDescent="0.45">
      <c r="B2373" s="563"/>
      <c r="C2373" s="450"/>
      <c r="M2373" s="525">
        <f>Criteria!E22</f>
        <v>2024</v>
      </c>
      <c r="N2373" s="458"/>
      <c r="O2373" s="525">
        <f>Criteria!E27</f>
        <v>2023</v>
      </c>
      <c r="Q2373" s="469"/>
      <c r="R2373" s="512" t="str">
        <f t="shared" si="135"/>
        <v>DELETE</v>
      </c>
    </row>
    <row r="2374" spans="2:23" ht="31.5" customHeight="1" x14ac:dyDescent="0.45">
      <c r="B2374" s="563"/>
      <c r="C2374" s="450"/>
      <c r="M2374" s="531"/>
      <c r="N2374" s="470"/>
      <c r="O2374" s="531"/>
      <c r="Q2374" s="469"/>
      <c r="R2374" s="512" t="str">
        <f t="shared" si="135"/>
        <v>DELETE</v>
      </c>
    </row>
    <row r="2375" spans="2:23" ht="31.5" customHeight="1" x14ac:dyDescent="0.45">
      <c r="B2375" s="563">
        <f>MAX(B$802:B2374)+1</f>
        <v>28</v>
      </c>
      <c r="C2375" s="450" t="str">
        <f>IF(COUNTIF(TrialBalance!N374:N376,"&lt;0")&gt;1,"SHORT TERM LOANS",IF(COUNTIF(TrialBalance!L374:L376,"&lt;0")&gt;1,"SHORT TERM LOANS","SHORT TERM LOAN"))</f>
        <v>SHORT TERM LOAN</v>
      </c>
      <c r="M2375" s="531"/>
      <c r="N2375" s="470"/>
      <c r="O2375" s="531"/>
      <c r="Q2375" s="469"/>
      <c r="R2375" s="512" t="str">
        <f t="shared" si="135"/>
        <v>DELETE</v>
      </c>
    </row>
    <row r="2376" spans="2:23" ht="31.5" customHeight="1" x14ac:dyDescent="0.45">
      <c r="B2376" s="563"/>
      <c r="C2376" s="450"/>
      <c r="D2376" s="449">
        <f>TrialBalance!C374</f>
        <v>0</v>
      </c>
      <c r="M2376" s="531">
        <f>-TrialBalance!L374</f>
        <v>0</v>
      </c>
      <c r="N2376" s="470"/>
      <c r="O2376" s="531">
        <f>-TrialBalance!N374</f>
        <v>0</v>
      </c>
      <c r="Q2376" s="469"/>
      <c r="R2376" s="512" t="str">
        <f>IF(M2376+O2376=0,"DELETE"," ")</f>
        <v>DELETE</v>
      </c>
      <c r="S2376" s="517"/>
      <c r="T2376" s="517"/>
      <c r="U2376" s="517"/>
      <c r="V2376" s="521"/>
      <c r="W2376" s="521"/>
    </row>
    <row r="2377" spans="2:23" ht="31.5" customHeight="1" x14ac:dyDescent="0.45">
      <c r="B2377" s="563"/>
      <c r="C2377" s="450"/>
      <c r="D2377" s="449">
        <f>TrialBalance!C375</f>
        <v>0</v>
      </c>
      <c r="M2377" s="531">
        <f>-TrialBalance!L375</f>
        <v>0</v>
      </c>
      <c r="N2377" s="470"/>
      <c r="O2377" s="531">
        <f>-TrialBalance!N375</f>
        <v>0</v>
      </c>
      <c r="Q2377" s="469"/>
      <c r="R2377" s="512" t="str">
        <f>IF(M2377+O2377=0,"DELETE"," ")</f>
        <v>DELETE</v>
      </c>
      <c r="S2377" s="517"/>
      <c r="T2377" s="517"/>
      <c r="U2377" s="517"/>
      <c r="V2377" s="521"/>
      <c r="W2377" s="521"/>
    </row>
    <row r="2378" spans="2:23" ht="31.5" customHeight="1" x14ac:dyDescent="0.45">
      <c r="B2378" s="563"/>
      <c r="C2378" s="450"/>
      <c r="D2378" s="449">
        <f>TrialBalance!C376</f>
        <v>0</v>
      </c>
      <c r="M2378" s="531">
        <f>-TrialBalance!L376</f>
        <v>0</v>
      </c>
      <c r="N2378" s="470"/>
      <c r="O2378" s="531">
        <f>-TrialBalance!N376</f>
        <v>0</v>
      </c>
      <c r="Q2378" s="469"/>
      <c r="R2378" s="512" t="str">
        <f>IF(M2378+O2378=0,"DELETE"," ")</f>
        <v>DELETE</v>
      </c>
      <c r="S2378" s="517"/>
      <c r="T2378" s="517"/>
      <c r="U2378" s="517"/>
      <c r="V2378" s="521"/>
      <c r="W2378" s="521"/>
    </row>
    <row r="2379" spans="2:23" ht="9" customHeight="1" x14ac:dyDescent="0.45">
      <c r="B2379" s="563"/>
      <c r="C2379" s="450"/>
      <c r="M2379" s="535"/>
      <c r="N2379" s="473"/>
      <c r="O2379" s="535"/>
      <c r="Q2379" s="469"/>
      <c r="R2379" s="512" t="str">
        <f t="shared" ref="R2379:R2387" si="136">R$2381</f>
        <v>DELETE</v>
      </c>
    </row>
    <row r="2380" spans="2:23" ht="9" customHeight="1" x14ac:dyDescent="0.45">
      <c r="B2380" s="563"/>
      <c r="C2380" s="450"/>
      <c r="M2380" s="531"/>
      <c r="N2380" s="470"/>
      <c r="O2380" s="531"/>
      <c r="Q2380" s="469"/>
      <c r="R2380" s="512" t="str">
        <f t="shared" si="136"/>
        <v>DELETE</v>
      </c>
    </row>
    <row r="2381" spans="2:23" ht="31.5" customHeight="1" x14ac:dyDescent="0.45">
      <c r="B2381" s="563"/>
      <c r="C2381" s="450"/>
      <c r="M2381" s="531">
        <f>SUM(M2376:M2380)</f>
        <v>0</v>
      </c>
      <c r="N2381" s="470"/>
      <c r="O2381" s="531">
        <f>SUM(O2376:O2380)</f>
        <v>0</v>
      </c>
      <c r="Q2381" s="469"/>
      <c r="R2381" s="512" t="str">
        <f>IF(M2381+O2381=0,"DELETE"," ")</f>
        <v>DELETE</v>
      </c>
    </row>
    <row r="2382" spans="2:23" ht="9" customHeight="1" thickBot="1" x14ac:dyDescent="0.5">
      <c r="B2382" s="563"/>
      <c r="C2382" s="450"/>
      <c r="M2382" s="536"/>
      <c r="N2382" s="474"/>
      <c r="O2382" s="536"/>
      <c r="Q2382" s="469"/>
      <c r="R2382" s="512" t="str">
        <f t="shared" si="136"/>
        <v>DELETE</v>
      </c>
    </row>
    <row r="2383" spans="2:23" ht="9" customHeight="1" thickTop="1" x14ac:dyDescent="0.45">
      <c r="B2383" s="563"/>
      <c r="C2383" s="450"/>
      <c r="M2383" s="548"/>
      <c r="N2383" s="491"/>
      <c r="O2383" s="548"/>
      <c r="Q2383" s="469"/>
      <c r="R2383" s="512" t="str">
        <f t="shared" si="136"/>
        <v>DELETE</v>
      </c>
    </row>
    <row r="2384" spans="2:23" ht="31.5" customHeight="1" x14ac:dyDescent="0.45">
      <c r="B2384" s="563"/>
      <c r="C2384" s="450"/>
      <c r="M2384" s="531"/>
      <c r="N2384" s="470"/>
      <c r="O2384" s="531"/>
      <c r="Q2384" s="469"/>
      <c r="R2384" s="512" t="str">
        <f t="shared" si="136"/>
        <v>DELETE</v>
      </c>
    </row>
    <row r="2385" spans="2:18" ht="31.5" customHeight="1" x14ac:dyDescent="0.45">
      <c r="B2385" s="563"/>
      <c r="C2385" s="450"/>
      <c r="M2385" s="531"/>
      <c r="N2385" s="470"/>
      <c r="O2385" s="531"/>
      <c r="Q2385" s="469"/>
      <c r="R2385" s="512" t="str">
        <f t="shared" si="136"/>
        <v>DELETE</v>
      </c>
    </row>
    <row r="2386" spans="2:18" ht="31.5" customHeight="1" x14ac:dyDescent="0.45">
      <c r="B2386" s="564"/>
      <c r="C2386" s="502"/>
      <c r="D2386" s="461"/>
      <c r="E2386" s="461"/>
      <c r="F2386" s="461"/>
      <c r="G2386" s="461"/>
      <c r="H2386" s="461"/>
      <c r="I2386" s="461"/>
      <c r="J2386" s="461"/>
      <c r="K2386" s="461"/>
      <c r="L2386" s="461"/>
      <c r="M2386" s="535"/>
      <c r="N2386" s="473"/>
      <c r="O2386" s="535"/>
      <c r="P2386" s="631"/>
      <c r="Q2386" s="479"/>
      <c r="R2386" s="512" t="str">
        <f t="shared" si="136"/>
        <v>DELETE</v>
      </c>
    </row>
    <row r="2387" spans="2:18" ht="31.5" customHeight="1" x14ac:dyDescent="0.45">
      <c r="B2387" s="527"/>
      <c r="M2387" s="635"/>
      <c r="N2387" s="621"/>
      <c r="O2387" s="635"/>
      <c r="R2387" s="512" t="str">
        <f t="shared" si="136"/>
        <v>DELETE</v>
      </c>
    </row>
    <row r="2388" spans="2:18" ht="31.5" customHeight="1" x14ac:dyDescent="0.45">
      <c r="B2388" s="527"/>
      <c r="M2388" s="635"/>
      <c r="N2388" s="621"/>
      <c r="O2388" s="635"/>
      <c r="R2388" s="512" t="str">
        <f>R$2406</f>
        <v>DELETE</v>
      </c>
    </row>
    <row r="2389" spans="2:18" ht="31.5" customHeight="1" x14ac:dyDescent="0.45">
      <c r="B2389" s="527"/>
      <c r="D2389" s="450" t="str">
        <f>Criteria!E9</f>
        <v>ABC COMPANY (PROPRIETARY) LIMITED</v>
      </c>
      <c r="M2389" s="635"/>
      <c r="N2389" s="621"/>
      <c r="O2389" s="531" t="s">
        <v>121</v>
      </c>
      <c r="Q2389" s="451">
        <f>MAX($Q$114:Q2388)+1</f>
        <v>59</v>
      </c>
      <c r="R2389" s="512" t="str">
        <f t="shared" ref="R2389:R2398" si="137">R$2406</f>
        <v>DELETE</v>
      </c>
    </row>
    <row r="2390" spans="2:18" ht="31.5" customHeight="1" x14ac:dyDescent="0.45">
      <c r="B2390" s="527"/>
      <c r="D2390" s="450" t="str">
        <f>Criteria!E10</f>
        <v>T/A SEAFRONT HOTEL, SEAFRONT RESTAURANT AND RENTAL PROPERTIES</v>
      </c>
      <c r="M2390" s="635"/>
      <c r="N2390" s="621"/>
      <c r="O2390" s="635"/>
      <c r="R2390" s="512" t="str">
        <f>IF(R$2406="DELETE","DELETE",IF(D2390=0,"DELETE"," "))</f>
        <v>DELETE</v>
      </c>
    </row>
    <row r="2391" spans="2:18" ht="31.5" customHeight="1" x14ac:dyDescent="0.45">
      <c r="B2391" s="527"/>
      <c r="M2391" s="635"/>
      <c r="N2391" s="621"/>
      <c r="O2391" s="635"/>
      <c r="R2391" s="512" t="str">
        <f t="shared" si="137"/>
        <v>DELETE</v>
      </c>
    </row>
    <row r="2392" spans="2:18" ht="31.5" customHeight="1" x14ac:dyDescent="0.45">
      <c r="B2392" s="527"/>
      <c r="D2392" s="450" t="s">
        <v>451</v>
      </c>
      <c r="M2392" s="635"/>
      <c r="N2392" s="621"/>
      <c r="O2392" s="635"/>
      <c r="R2392" s="512" t="str">
        <f t="shared" si="137"/>
        <v>DELETE</v>
      </c>
    </row>
    <row r="2393" spans="2:18" ht="31.5" customHeight="1" x14ac:dyDescent="0.45">
      <c r="B2393" s="527"/>
      <c r="D2393" s="450" t="str">
        <f>Criteria!E20</f>
        <v>29 FEBRUARY 2024</v>
      </c>
      <c r="J2393" s="449" t="s">
        <v>303</v>
      </c>
      <c r="M2393" s="635"/>
      <c r="N2393" s="621"/>
      <c r="O2393" s="635"/>
      <c r="R2393" s="512" t="str">
        <f t="shared" si="137"/>
        <v>DELETE</v>
      </c>
    </row>
    <row r="2394" spans="2:18" ht="31.5" customHeight="1" x14ac:dyDescent="0.45">
      <c r="B2394" s="527"/>
      <c r="D2394" s="450"/>
      <c r="M2394" s="635"/>
      <c r="N2394" s="621"/>
      <c r="O2394" s="635"/>
      <c r="R2394" s="512" t="str">
        <f t="shared" si="137"/>
        <v>DELETE</v>
      </c>
    </row>
    <row r="2395" spans="2:18" ht="31.5" customHeight="1" x14ac:dyDescent="0.45">
      <c r="B2395" s="565"/>
      <c r="C2395" s="503"/>
      <c r="D2395" s="466"/>
      <c r="E2395" s="466"/>
      <c r="F2395" s="466"/>
      <c r="G2395" s="466"/>
      <c r="H2395" s="466"/>
      <c r="I2395" s="466"/>
      <c r="J2395" s="466"/>
      <c r="K2395" s="466"/>
      <c r="L2395" s="466"/>
      <c r="M2395" s="546"/>
      <c r="N2395" s="471"/>
      <c r="O2395" s="546"/>
      <c r="P2395" s="643"/>
      <c r="Q2395" s="467"/>
      <c r="R2395" s="512" t="str">
        <f t="shared" si="137"/>
        <v>DELETE</v>
      </c>
    </row>
    <row r="2396" spans="2:18" ht="31.5" customHeight="1" x14ac:dyDescent="0.45">
      <c r="B2396" s="563"/>
      <c r="C2396" s="450"/>
      <c r="M2396" s="525">
        <f>Criteria!E22</f>
        <v>2024</v>
      </c>
      <c r="N2396" s="458"/>
      <c r="O2396" s="525">
        <f>Criteria!E27</f>
        <v>2023</v>
      </c>
      <c r="Q2396" s="469"/>
      <c r="R2396" s="512" t="str">
        <f t="shared" si="137"/>
        <v>DELETE</v>
      </c>
    </row>
    <row r="2397" spans="2:18" ht="31.5" customHeight="1" x14ac:dyDescent="0.45">
      <c r="B2397" s="563"/>
      <c r="C2397" s="450"/>
      <c r="M2397" s="531"/>
      <c r="N2397" s="470"/>
      <c r="O2397" s="531"/>
      <c r="Q2397" s="469"/>
      <c r="R2397" s="512" t="str">
        <f t="shared" si="137"/>
        <v>DELETE</v>
      </c>
    </row>
    <row r="2398" spans="2:18" ht="31.5" customHeight="1" x14ac:dyDescent="0.45">
      <c r="B2398" s="563">
        <f>MAX(B$802:B2397)+1</f>
        <v>29</v>
      </c>
      <c r="C2398" s="450" t="str">
        <f>IF(COUNTIF(TrialBalance!N392:N396,"&lt;0")&gt;1,"PROVISIONS",IF(COUNTIF(TrialBalance!L392:L396,"&lt;0")&gt;1,"PROVISIONS","PROVISION"))</f>
        <v>PROVISION</v>
      </c>
      <c r="M2398" s="531"/>
      <c r="N2398" s="470"/>
      <c r="O2398" s="531"/>
      <c r="Q2398" s="469"/>
      <c r="R2398" s="512" t="str">
        <f t="shared" si="137"/>
        <v>DELETE</v>
      </c>
    </row>
    <row r="2399" spans="2:18" ht="31.5" customHeight="1" x14ac:dyDescent="0.45">
      <c r="B2399" s="563"/>
      <c r="C2399" s="450"/>
      <c r="D2399" s="449" t="str">
        <f>TrialBalance!C392</f>
        <v>Dividends' tax provision</v>
      </c>
      <c r="M2399" s="531">
        <f>-TrialBalance!L392</f>
        <v>0</v>
      </c>
      <c r="N2399" s="470"/>
      <c r="O2399" s="531">
        <f>-TrialBalance!N392</f>
        <v>0</v>
      </c>
      <c r="Q2399" s="469"/>
      <c r="R2399" s="512" t="str">
        <f>IF(M2399+O2399=0,"DELETE"," ")</f>
        <v>DELETE</v>
      </c>
    </row>
    <row r="2400" spans="2:18" ht="31.5" customHeight="1" x14ac:dyDescent="0.45">
      <c r="B2400" s="563"/>
      <c r="C2400" s="450"/>
      <c r="D2400" s="449" t="str">
        <f>TrialBalance!C393</f>
        <v>Dividends payable</v>
      </c>
      <c r="M2400" s="531">
        <f>-TrialBalance!L393</f>
        <v>0</v>
      </c>
      <c r="N2400" s="470"/>
      <c r="O2400" s="531">
        <f>-TrialBalance!N393</f>
        <v>0</v>
      </c>
      <c r="Q2400" s="469"/>
      <c r="R2400" s="512" t="str">
        <f>IF(M2400+O2400=0,"DELETE"," ")</f>
        <v>DELETE</v>
      </c>
    </row>
    <row r="2401" spans="2:18" ht="31.5" customHeight="1" x14ac:dyDescent="0.45">
      <c r="B2401" s="563"/>
      <c r="C2401" s="450"/>
      <c r="D2401" s="449" t="str">
        <f>TrialBalance!C394</f>
        <v>Provision for future expenses</v>
      </c>
      <c r="M2401" s="531">
        <f>-TrialBalance!L394</f>
        <v>0</v>
      </c>
      <c r="N2401" s="470"/>
      <c r="O2401" s="531">
        <f>-TrialBalance!N394</f>
        <v>0</v>
      </c>
      <c r="Q2401" s="469"/>
      <c r="R2401" s="512" t="str">
        <f>IF(M2401+O2401=0,"DELETE"," ")</f>
        <v>DELETE</v>
      </c>
    </row>
    <row r="2402" spans="2:18" ht="31.5" customHeight="1" x14ac:dyDescent="0.45">
      <c r="B2402" s="563"/>
      <c r="C2402" s="450"/>
      <c r="D2402" s="449" t="str">
        <f>TrialBalance!C395</f>
        <v>Provision for insurance</v>
      </c>
      <c r="M2402" s="531">
        <f>-TrialBalance!L395</f>
        <v>0</v>
      </c>
      <c r="N2402" s="470"/>
      <c r="O2402" s="531">
        <f>-TrialBalance!N395</f>
        <v>0</v>
      </c>
      <c r="Q2402" s="469"/>
      <c r="R2402" s="512" t="str">
        <f>IF(M2402+O2402=0,"DELETE"," ")</f>
        <v>DELETE</v>
      </c>
    </row>
    <row r="2403" spans="2:18" ht="31.5" customHeight="1" x14ac:dyDescent="0.45">
      <c r="B2403" s="563"/>
      <c r="C2403" s="450"/>
      <c r="D2403" s="449" t="str">
        <f>TrialBalance!C396</f>
        <v>Provision for salary bonus</v>
      </c>
      <c r="M2403" s="531">
        <f>-TrialBalance!L396</f>
        <v>0</v>
      </c>
      <c r="N2403" s="470"/>
      <c r="O2403" s="531">
        <f>-TrialBalance!N396</f>
        <v>0</v>
      </c>
      <c r="Q2403" s="469"/>
      <c r="R2403" s="512" t="str">
        <f>IF(M2403+O2403=0,"DELETE"," ")</f>
        <v>DELETE</v>
      </c>
    </row>
    <row r="2404" spans="2:18" ht="9" customHeight="1" x14ac:dyDescent="0.45">
      <c r="B2404" s="563"/>
      <c r="C2404" s="450"/>
      <c r="M2404" s="535"/>
      <c r="N2404" s="473"/>
      <c r="O2404" s="535"/>
      <c r="Q2404" s="469"/>
      <c r="R2404" s="512" t="str">
        <f t="shared" ref="R2404:R2412" si="138">R$2406</f>
        <v>DELETE</v>
      </c>
    </row>
    <row r="2405" spans="2:18" ht="9" customHeight="1" x14ac:dyDescent="0.45">
      <c r="B2405" s="563"/>
      <c r="C2405" s="450"/>
      <c r="M2405" s="531"/>
      <c r="N2405" s="470"/>
      <c r="O2405" s="531"/>
      <c r="Q2405" s="469"/>
      <c r="R2405" s="512" t="str">
        <f t="shared" si="138"/>
        <v>DELETE</v>
      </c>
    </row>
    <row r="2406" spans="2:18" ht="31.5" customHeight="1" x14ac:dyDescent="0.45">
      <c r="B2406" s="563"/>
      <c r="C2406" s="450"/>
      <c r="M2406" s="531">
        <f>SUM(M2399:M2405)</f>
        <v>0</v>
      </c>
      <c r="N2406" s="470"/>
      <c r="O2406" s="531">
        <f>SUM(O2399:O2405)</f>
        <v>0</v>
      </c>
      <c r="Q2406" s="469"/>
      <c r="R2406" s="512" t="str">
        <f>IF(M2406+O2406=0,"DELETE"," ")</f>
        <v>DELETE</v>
      </c>
    </row>
    <row r="2407" spans="2:18" ht="9" customHeight="1" thickBot="1" x14ac:dyDescent="0.5">
      <c r="B2407" s="563"/>
      <c r="C2407" s="450"/>
      <c r="M2407" s="536"/>
      <c r="N2407" s="474"/>
      <c r="O2407" s="536"/>
      <c r="Q2407" s="469"/>
      <c r="R2407" s="512" t="str">
        <f t="shared" si="138"/>
        <v>DELETE</v>
      </c>
    </row>
    <row r="2408" spans="2:18" ht="9" customHeight="1" thickTop="1" x14ac:dyDescent="0.45">
      <c r="B2408" s="563"/>
      <c r="C2408" s="450"/>
      <c r="M2408" s="548"/>
      <c r="N2408" s="491"/>
      <c r="O2408" s="548"/>
      <c r="Q2408" s="469"/>
      <c r="R2408" s="512" t="str">
        <f t="shared" si="138"/>
        <v>DELETE</v>
      </c>
    </row>
    <row r="2409" spans="2:18" ht="31.5" customHeight="1" x14ac:dyDescent="0.45">
      <c r="B2409" s="563"/>
      <c r="C2409" s="450"/>
      <c r="M2409" s="531"/>
      <c r="N2409" s="470"/>
      <c r="O2409" s="531"/>
      <c r="Q2409" s="469"/>
      <c r="R2409" s="512" t="str">
        <f t="shared" si="138"/>
        <v>DELETE</v>
      </c>
    </row>
    <row r="2410" spans="2:18" ht="31.5" customHeight="1" x14ac:dyDescent="0.45">
      <c r="B2410" s="563"/>
      <c r="C2410" s="450"/>
      <c r="M2410" s="531"/>
      <c r="N2410" s="470"/>
      <c r="O2410" s="531"/>
      <c r="Q2410" s="469"/>
      <c r="R2410" s="512" t="str">
        <f t="shared" si="138"/>
        <v>DELETE</v>
      </c>
    </row>
    <row r="2411" spans="2:18" ht="31.5" customHeight="1" x14ac:dyDescent="0.45">
      <c r="B2411" s="564"/>
      <c r="C2411" s="502"/>
      <c r="D2411" s="461"/>
      <c r="E2411" s="461"/>
      <c r="F2411" s="461"/>
      <c r="G2411" s="461"/>
      <c r="H2411" s="461"/>
      <c r="I2411" s="461"/>
      <c r="J2411" s="461"/>
      <c r="K2411" s="461"/>
      <c r="L2411" s="461"/>
      <c r="M2411" s="535"/>
      <c r="N2411" s="473"/>
      <c r="O2411" s="535"/>
      <c r="P2411" s="631"/>
      <c r="Q2411" s="479"/>
      <c r="R2411" s="512" t="str">
        <f t="shared" si="138"/>
        <v>DELETE</v>
      </c>
    </row>
    <row r="2412" spans="2:18" ht="31.5" customHeight="1" x14ac:dyDescent="0.45">
      <c r="B2412" s="526"/>
      <c r="C2412" s="450"/>
      <c r="M2412" s="531"/>
      <c r="N2412" s="470"/>
      <c r="O2412" s="531"/>
      <c r="R2412" s="512" t="str">
        <f t="shared" si="138"/>
        <v>DELETE</v>
      </c>
    </row>
    <row r="2413" spans="2:18" ht="31.5" customHeight="1" x14ac:dyDescent="0.45">
      <c r="B2413" s="526"/>
      <c r="C2413" s="450"/>
      <c r="M2413" s="531"/>
      <c r="N2413" s="470"/>
      <c r="O2413" s="531"/>
      <c r="R2413" s="512" t="str">
        <f t="shared" ref="R2413:R2423" si="139">R$2433</f>
        <v>DELETE</v>
      </c>
    </row>
    <row r="2414" spans="2:18" ht="31.5" customHeight="1" x14ac:dyDescent="0.45">
      <c r="B2414" s="526"/>
      <c r="C2414" s="450"/>
      <c r="D2414" s="450" t="str">
        <f>Criteria!E9</f>
        <v>ABC COMPANY (PROPRIETARY) LIMITED</v>
      </c>
      <c r="M2414" s="635"/>
      <c r="N2414" s="621"/>
      <c r="O2414" s="531" t="s">
        <v>121</v>
      </c>
      <c r="Q2414" s="451">
        <f>MAX($Q$114:Q2413)+1</f>
        <v>60</v>
      </c>
      <c r="R2414" s="512" t="str">
        <f t="shared" si="139"/>
        <v>DELETE</v>
      </c>
    </row>
    <row r="2415" spans="2:18" ht="31.5" customHeight="1" x14ac:dyDescent="0.45">
      <c r="B2415" s="526"/>
      <c r="C2415" s="450"/>
      <c r="D2415" s="450" t="str">
        <f>Criteria!E10</f>
        <v>T/A SEAFRONT HOTEL, SEAFRONT RESTAURANT AND RENTAL PROPERTIES</v>
      </c>
      <c r="M2415" s="635"/>
      <c r="N2415" s="621"/>
      <c r="O2415" s="635"/>
      <c r="R2415" s="512" t="str">
        <f>IF(R$2433="DELETE","DELETE",IF(D2415=0,"DELETE"," "))</f>
        <v>DELETE</v>
      </c>
    </row>
    <row r="2416" spans="2:18" ht="31.5" customHeight="1" x14ac:dyDescent="0.45">
      <c r="B2416" s="526"/>
      <c r="C2416" s="450"/>
      <c r="M2416" s="635"/>
      <c r="N2416" s="621"/>
      <c r="O2416" s="635"/>
      <c r="R2416" s="512" t="str">
        <f t="shared" si="139"/>
        <v>DELETE</v>
      </c>
    </row>
    <row r="2417" spans="2:26" ht="31.5" customHeight="1" x14ac:dyDescent="0.45">
      <c r="B2417" s="526"/>
      <c r="C2417" s="450"/>
      <c r="D2417" s="450" t="s">
        <v>451</v>
      </c>
      <c r="M2417" s="635"/>
      <c r="N2417" s="621"/>
      <c r="O2417" s="635"/>
      <c r="R2417" s="512" t="str">
        <f t="shared" si="139"/>
        <v>DELETE</v>
      </c>
    </row>
    <row r="2418" spans="2:26" ht="31.5" customHeight="1" x14ac:dyDescent="0.45">
      <c r="B2418" s="526"/>
      <c r="C2418" s="450"/>
      <c r="D2418" s="450" t="str">
        <f>Criteria!E20</f>
        <v>29 FEBRUARY 2024</v>
      </c>
      <c r="J2418" s="449" t="s">
        <v>303</v>
      </c>
      <c r="M2418" s="635"/>
      <c r="N2418" s="621"/>
      <c r="O2418" s="635"/>
      <c r="R2418" s="512" t="str">
        <f t="shared" si="139"/>
        <v>DELETE</v>
      </c>
    </row>
    <row r="2419" spans="2:26" ht="31.5" customHeight="1" x14ac:dyDescent="0.45">
      <c r="B2419" s="526"/>
      <c r="C2419" s="450"/>
      <c r="M2419" s="531"/>
      <c r="N2419" s="470"/>
      <c r="O2419" s="531"/>
      <c r="R2419" s="512" t="str">
        <f t="shared" si="139"/>
        <v>DELETE</v>
      </c>
    </row>
    <row r="2420" spans="2:26" ht="31.5" customHeight="1" x14ac:dyDescent="0.45">
      <c r="B2420" s="565"/>
      <c r="C2420" s="503"/>
      <c r="D2420" s="466"/>
      <c r="E2420" s="466"/>
      <c r="F2420" s="466"/>
      <c r="G2420" s="466"/>
      <c r="H2420" s="466"/>
      <c r="I2420" s="466"/>
      <c r="J2420" s="466"/>
      <c r="K2420" s="466"/>
      <c r="L2420" s="466"/>
      <c r="M2420" s="546"/>
      <c r="N2420" s="471"/>
      <c r="O2420" s="546"/>
      <c r="P2420" s="643"/>
      <c r="Q2420" s="467"/>
      <c r="R2420" s="512" t="str">
        <f t="shared" si="139"/>
        <v>DELETE</v>
      </c>
    </row>
    <row r="2421" spans="2:26" ht="31.5" customHeight="1" x14ac:dyDescent="0.45">
      <c r="B2421" s="563"/>
      <c r="C2421" s="450"/>
      <c r="M2421" s="525">
        <f>Criteria!E22</f>
        <v>2024</v>
      </c>
      <c r="N2421" s="458"/>
      <c r="O2421" s="525">
        <f>Criteria!E27</f>
        <v>2023</v>
      </c>
      <c r="P2421" s="634"/>
      <c r="Q2421" s="469"/>
      <c r="R2421" s="512" t="str">
        <f t="shared" si="139"/>
        <v>DELETE</v>
      </c>
    </row>
    <row r="2422" spans="2:26" ht="31.5" customHeight="1" x14ac:dyDescent="0.45">
      <c r="B2422" s="563"/>
      <c r="C2422" s="450"/>
      <c r="M2422" s="548"/>
      <c r="N2422" s="491"/>
      <c r="O2422" s="548"/>
      <c r="P2422" s="634"/>
      <c r="Q2422" s="469"/>
      <c r="R2422" s="512" t="str">
        <f t="shared" si="139"/>
        <v>DELETE</v>
      </c>
    </row>
    <row r="2423" spans="2:26" ht="31.5" customHeight="1" x14ac:dyDescent="0.45">
      <c r="B2423" s="563">
        <f>MAX(B$802:B2422)+1</f>
        <v>30</v>
      </c>
      <c r="C2423" s="492" t="str">
        <f>IF((Y2423+Z2423)=3,"CURRENT TAX LIABILITY/(ASSET)",(IF((Y2423+Z2423=4),"CURRENT TAX LIABILITY","CURRENT TAX ASSET")))</f>
        <v>CURRENT TAX LIABILITY</v>
      </c>
      <c r="D2423" s="452"/>
      <c r="M2423" s="548"/>
      <c r="N2423" s="491"/>
      <c r="O2423" s="548"/>
      <c r="P2423" s="634"/>
      <c r="Q2423" s="469"/>
      <c r="R2423" s="512" t="str">
        <f t="shared" si="139"/>
        <v>DELETE</v>
      </c>
      <c r="Y2423" s="513">
        <f>IF(M2433&lt;0,1,IF(M2433=0,IF(O2433&lt;0,1,2),2))</f>
        <v>2</v>
      </c>
      <c r="Z2423" s="513">
        <f>IF(O2433&lt;0,1,IF(O2433=0,IF(M2433&lt;0,1,2),2))</f>
        <v>2</v>
      </c>
    </row>
    <row r="2424" spans="2:26" ht="31.5" customHeight="1" x14ac:dyDescent="0.45">
      <c r="B2424" s="563"/>
      <c r="C2424" s="450"/>
      <c r="D2424" s="463" t="str">
        <f>IF((Y2424+Z2424)=3,"Current tax liability/(asset) at the beginning of the year",(IF((Y2424+Z2424=4),"Current tax liability at the beginning of the year","Current tax asset at the beginning of the year")))</f>
        <v>Current tax liability at the beginning of the year</v>
      </c>
      <c r="M2424" s="548">
        <f>-TrialBalance!L385</f>
        <v>0</v>
      </c>
      <c r="N2424" s="491"/>
      <c r="O2424" s="548">
        <f>-TrialBalance!N385</f>
        <v>0</v>
      </c>
      <c r="P2424" s="634"/>
      <c r="Q2424" s="469"/>
      <c r="R2424" s="512" t="str">
        <f>IF(M2424=0,IF(O2424=0,"DELETE"," ")," ")</f>
        <v>DELETE</v>
      </c>
      <c r="V2424" s="513" t="b">
        <f>M2424=O2433</f>
        <v>1</v>
      </c>
      <c r="Y2424" s="513">
        <f>IF(M2424&lt;0,1,IF(M2424=0,IF(O2424&lt;0,1,2),2))</f>
        <v>2</v>
      </c>
      <c r="Z2424" s="513">
        <f>IF(O2424&lt;0,1,IF(O2424=0,IF(M2424&lt;0,1,2),2))</f>
        <v>2</v>
      </c>
    </row>
    <row r="2425" spans="2:26" ht="31.5" customHeight="1" x14ac:dyDescent="0.45">
      <c r="B2425" s="563"/>
      <c r="C2425" s="450"/>
      <c r="D2425" s="449" t="s">
        <v>1689</v>
      </c>
      <c r="M2425" s="548">
        <f>-TrialBalance!L386</f>
        <v>0</v>
      </c>
      <c r="N2425" s="491"/>
      <c r="O2425" s="548">
        <f>-TrialBalance!N386</f>
        <v>0</v>
      </c>
      <c r="P2425" s="634"/>
      <c r="Q2425" s="469"/>
      <c r="R2425" s="512" t="str">
        <f t="shared" ref="R2425:R2430" si="140">IF(M2425=0,IF(O2425=0,"DELETE"," ")," ")</f>
        <v>DELETE</v>
      </c>
      <c r="V2425" s="513" t="b">
        <f>M2425=M1356</f>
        <v>1</v>
      </c>
      <c r="X2425" s="513" t="b">
        <f>O2425=O1356</f>
        <v>1</v>
      </c>
    </row>
    <row r="2426" spans="2:26" ht="31.5" customHeight="1" x14ac:dyDescent="0.45">
      <c r="B2426" s="563"/>
      <c r="C2426" s="450"/>
      <c r="D2426" s="449" t="s">
        <v>1690</v>
      </c>
      <c r="M2426" s="548">
        <f>-TrialBalance!L387</f>
        <v>0</v>
      </c>
      <c r="N2426" s="491"/>
      <c r="O2426" s="548">
        <f>-TrialBalance!N387</f>
        <v>0</v>
      </c>
      <c r="P2426" s="634"/>
      <c r="Q2426" s="469"/>
      <c r="R2426" s="512" t="str">
        <f t="shared" si="140"/>
        <v>DELETE</v>
      </c>
      <c r="V2426" s="513" t="b">
        <f>M2426=M1357</f>
        <v>1</v>
      </c>
      <c r="X2426" s="513" t="b">
        <f>O2426=O1357</f>
        <v>1</v>
      </c>
    </row>
    <row r="2427" spans="2:26" ht="31.5" customHeight="1" x14ac:dyDescent="0.45">
      <c r="B2427" s="563"/>
      <c r="C2427" s="450"/>
      <c r="D2427" s="449" t="s">
        <v>1691</v>
      </c>
      <c r="M2427" s="548">
        <f>-TrialBalance!L388</f>
        <v>0</v>
      </c>
      <c r="N2427" s="491"/>
      <c r="O2427" s="548">
        <f>-TrialBalance!N388</f>
        <v>0</v>
      </c>
      <c r="P2427" s="634"/>
      <c r="Q2427" s="469"/>
      <c r="R2427" s="512" t="str">
        <f t="shared" si="140"/>
        <v>DELETE</v>
      </c>
    </row>
    <row r="2428" spans="2:26" ht="31.5" customHeight="1" x14ac:dyDescent="0.45">
      <c r="B2428" s="563"/>
      <c r="C2428" s="450"/>
      <c r="D2428" s="449" t="s">
        <v>1692</v>
      </c>
      <c r="M2428" s="548">
        <f>-TrialBalance!L389</f>
        <v>0</v>
      </c>
      <c r="N2428" s="491"/>
      <c r="O2428" s="548">
        <f>-TrialBalance!N389</f>
        <v>0</v>
      </c>
      <c r="P2428" s="634"/>
      <c r="Q2428" s="469"/>
      <c r="R2428" s="512" t="str">
        <f t="shared" si="140"/>
        <v>DELETE</v>
      </c>
    </row>
    <row r="2429" spans="2:26" ht="31.5" customHeight="1" x14ac:dyDescent="0.45">
      <c r="B2429" s="563"/>
      <c r="C2429" s="450"/>
      <c r="D2429" s="449" t="s">
        <v>1693</v>
      </c>
      <c r="M2429" s="548">
        <f>-TrialBalance!L390</f>
        <v>0</v>
      </c>
      <c r="N2429" s="491"/>
      <c r="O2429" s="548">
        <f>-TrialBalance!N390</f>
        <v>0</v>
      </c>
      <c r="P2429" s="634"/>
      <c r="Q2429" s="469"/>
      <c r="R2429" s="512" t="str">
        <f t="shared" si="140"/>
        <v>DELETE</v>
      </c>
    </row>
    <row r="2430" spans="2:26" ht="31.5" customHeight="1" x14ac:dyDescent="0.45">
      <c r="B2430" s="563"/>
      <c r="C2430" s="450"/>
      <c r="D2430" s="449" t="s">
        <v>1694</v>
      </c>
      <c r="M2430" s="548">
        <f>-TrialBalance!L391</f>
        <v>0</v>
      </c>
      <c r="N2430" s="491"/>
      <c r="O2430" s="548">
        <f>-TrialBalance!N391</f>
        <v>0</v>
      </c>
      <c r="P2430" s="634"/>
      <c r="Q2430" s="469"/>
      <c r="R2430" s="512" t="str">
        <f t="shared" si="140"/>
        <v>DELETE</v>
      </c>
    </row>
    <row r="2431" spans="2:26" ht="9" customHeight="1" x14ac:dyDescent="0.45">
      <c r="B2431" s="563"/>
      <c r="C2431" s="450"/>
      <c r="M2431" s="535"/>
      <c r="N2431" s="473"/>
      <c r="O2431" s="535"/>
      <c r="P2431" s="634"/>
      <c r="Q2431" s="469"/>
      <c r="R2431" s="512" t="str">
        <f>R$2433</f>
        <v>DELETE</v>
      </c>
    </row>
    <row r="2432" spans="2:26" ht="9" customHeight="1" x14ac:dyDescent="0.45">
      <c r="B2432" s="563"/>
      <c r="C2432" s="450"/>
      <c r="M2432" s="548"/>
      <c r="N2432" s="491"/>
      <c r="O2432" s="548"/>
      <c r="P2432" s="634"/>
      <c r="Q2432" s="469"/>
      <c r="R2432" s="512" t="str">
        <f>R$2433</f>
        <v>DELETE</v>
      </c>
    </row>
    <row r="2433" spans="2:26" ht="31.5" customHeight="1" x14ac:dyDescent="0.45">
      <c r="B2433" s="563"/>
      <c r="C2433" s="450"/>
      <c r="D2433" s="463" t="str">
        <f>IF((Y2433+Z2433)=3,"Current tax liability/(asset) at the end of the year",(IF((Y2433+Z2433=4),"Current tax liability at the end of the year","Current tax asset at the end of the year")))</f>
        <v>Current tax liability at the end of the year</v>
      </c>
      <c r="M2433" s="548">
        <f>SUM(M2424:M2432)</f>
        <v>0</v>
      </c>
      <c r="N2433" s="491"/>
      <c r="O2433" s="548">
        <f>SUM(O2424:O2432)</f>
        <v>0</v>
      </c>
      <c r="P2433" s="634"/>
      <c r="Q2433" s="469"/>
      <c r="R2433" s="512" t="str">
        <f>IF(M2433=0,IF(O2433=0,IF(COUNTIF(O2424:O2430,"&gt;0")&gt;0," ",IF(COUNTIF(M2424:M2430,"&gt;0")&gt;0," ","DELETE"))," ")," ")</f>
        <v>DELETE</v>
      </c>
      <c r="Y2433" s="513">
        <f>IF(M2433&lt;0,1,IF(M2433=0,IF(O2433&lt;0,1,2),2))</f>
        <v>2</v>
      </c>
      <c r="Z2433" s="513">
        <f>IF(O2433&lt;0,1,IF(O2433=0,IF(M2433&lt;0,1,2),2))</f>
        <v>2</v>
      </c>
    </row>
    <row r="2434" spans="2:26" ht="9" customHeight="1" thickBot="1" x14ac:dyDescent="0.5">
      <c r="B2434" s="563"/>
      <c r="C2434" s="450"/>
      <c r="M2434" s="536"/>
      <c r="N2434" s="474"/>
      <c r="O2434" s="536"/>
      <c r="P2434" s="634"/>
      <c r="Q2434" s="469"/>
      <c r="R2434" s="512" t="str">
        <f t="shared" ref="R2434:R2439" si="141">R$2433</f>
        <v>DELETE</v>
      </c>
    </row>
    <row r="2435" spans="2:26" ht="9" customHeight="1" thickTop="1" x14ac:dyDescent="0.45">
      <c r="B2435" s="563"/>
      <c r="C2435" s="450"/>
      <c r="M2435" s="548"/>
      <c r="N2435" s="491"/>
      <c r="O2435" s="548"/>
      <c r="P2435" s="634"/>
      <c r="Q2435" s="469"/>
      <c r="R2435" s="512" t="str">
        <f t="shared" si="141"/>
        <v>DELETE</v>
      </c>
    </row>
    <row r="2436" spans="2:26" ht="31.5" customHeight="1" x14ac:dyDescent="0.45">
      <c r="B2436" s="563"/>
      <c r="C2436" s="450"/>
      <c r="M2436" s="548"/>
      <c r="N2436" s="491"/>
      <c r="O2436" s="548"/>
      <c r="P2436" s="634"/>
      <c r="Q2436" s="469"/>
      <c r="R2436" s="512" t="str">
        <f t="shared" si="141"/>
        <v>DELETE</v>
      </c>
    </row>
    <row r="2437" spans="2:26" ht="31.5" customHeight="1" x14ac:dyDescent="0.45">
      <c r="B2437" s="563"/>
      <c r="C2437" s="450"/>
      <c r="M2437" s="548"/>
      <c r="N2437" s="491"/>
      <c r="O2437" s="548"/>
      <c r="P2437" s="634"/>
      <c r="Q2437" s="469"/>
      <c r="R2437" s="512" t="str">
        <f t="shared" si="141"/>
        <v>DELETE</v>
      </c>
    </row>
    <row r="2438" spans="2:26" ht="31.5" customHeight="1" x14ac:dyDescent="0.45">
      <c r="B2438" s="564"/>
      <c r="C2438" s="502"/>
      <c r="D2438" s="461"/>
      <c r="E2438" s="461"/>
      <c r="F2438" s="461"/>
      <c r="G2438" s="461"/>
      <c r="H2438" s="461"/>
      <c r="I2438" s="461"/>
      <c r="J2438" s="461"/>
      <c r="K2438" s="461"/>
      <c r="L2438" s="461"/>
      <c r="M2438" s="535"/>
      <c r="N2438" s="473"/>
      <c r="O2438" s="535"/>
      <c r="P2438" s="631"/>
      <c r="Q2438" s="479"/>
      <c r="R2438" s="512" t="str">
        <f t="shared" si="141"/>
        <v>DELETE</v>
      </c>
    </row>
    <row r="2439" spans="2:26" ht="31.5" customHeight="1" x14ac:dyDescent="0.45">
      <c r="B2439" s="526"/>
      <c r="C2439" s="450"/>
      <c r="M2439" s="531"/>
      <c r="N2439" s="470"/>
      <c r="O2439" s="531"/>
      <c r="R2439" s="512" t="str">
        <f t="shared" si="141"/>
        <v>DELETE</v>
      </c>
    </row>
    <row r="2440" spans="2:26" ht="31.5" customHeight="1" x14ac:dyDescent="0.45">
      <c r="B2440" s="526"/>
      <c r="C2440" s="450"/>
      <c r="M2440" s="531"/>
      <c r="N2440" s="470"/>
      <c r="O2440" s="531"/>
      <c r="R2440" s="512" t="str">
        <f t="shared" ref="R2440:R2452" si="142">R$2458</f>
        <v>DELETE</v>
      </c>
    </row>
    <row r="2441" spans="2:26" ht="31.5" customHeight="1" x14ac:dyDescent="0.45">
      <c r="B2441" s="526"/>
      <c r="C2441" s="450"/>
      <c r="D2441" s="450" t="str">
        <f>Criteria!E9</f>
        <v>ABC COMPANY (PROPRIETARY) LIMITED</v>
      </c>
      <c r="M2441" s="635"/>
      <c r="N2441" s="621"/>
      <c r="O2441" s="531" t="s">
        <v>121</v>
      </c>
      <c r="Q2441" s="451">
        <f>MAX($Q$114:Q2440)+1</f>
        <v>61</v>
      </c>
      <c r="R2441" s="512" t="str">
        <f t="shared" si="142"/>
        <v>DELETE</v>
      </c>
    </row>
    <row r="2442" spans="2:26" ht="31.5" customHeight="1" x14ac:dyDescent="0.45">
      <c r="B2442" s="526"/>
      <c r="C2442" s="450"/>
      <c r="D2442" s="450" t="str">
        <f>Criteria!E10</f>
        <v>T/A SEAFRONT HOTEL, SEAFRONT RESTAURANT AND RENTAL PROPERTIES</v>
      </c>
      <c r="M2442" s="635"/>
      <c r="N2442" s="621"/>
      <c r="O2442" s="635"/>
      <c r="R2442" s="512" t="str">
        <f>IF(R$2458="DELETE","DELETE",IF(D2442=0,"DELETE"," "))</f>
        <v>DELETE</v>
      </c>
    </row>
    <row r="2443" spans="2:26" ht="31.5" customHeight="1" x14ac:dyDescent="0.45">
      <c r="B2443" s="526"/>
      <c r="C2443" s="450"/>
      <c r="M2443" s="635"/>
      <c r="N2443" s="621"/>
      <c r="O2443" s="635"/>
      <c r="R2443" s="512" t="str">
        <f t="shared" si="142"/>
        <v>DELETE</v>
      </c>
    </row>
    <row r="2444" spans="2:26" ht="31.5" customHeight="1" x14ac:dyDescent="0.45">
      <c r="B2444" s="526"/>
      <c r="C2444" s="450"/>
      <c r="D2444" s="450" t="s">
        <v>451</v>
      </c>
      <c r="M2444" s="635"/>
      <c r="N2444" s="621"/>
      <c r="O2444" s="635"/>
      <c r="R2444" s="512" t="str">
        <f t="shared" si="142"/>
        <v>DELETE</v>
      </c>
    </row>
    <row r="2445" spans="2:26" ht="31.5" customHeight="1" x14ac:dyDescent="0.45">
      <c r="B2445" s="526"/>
      <c r="C2445" s="450"/>
      <c r="D2445" s="450" t="str">
        <f>Criteria!E20</f>
        <v>29 FEBRUARY 2024</v>
      </c>
      <c r="J2445" s="449" t="s">
        <v>303</v>
      </c>
      <c r="M2445" s="635"/>
      <c r="N2445" s="621"/>
      <c r="O2445" s="635"/>
      <c r="R2445" s="512" t="str">
        <f t="shared" si="142"/>
        <v>DELETE</v>
      </c>
    </row>
    <row r="2446" spans="2:26" ht="31.5" customHeight="1" x14ac:dyDescent="0.45">
      <c r="B2446" s="526"/>
      <c r="C2446" s="450"/>
      <c r="M2446" s="531"/>
      <c r="N2446" s="470"/>
      <c r="O2446" s="531"/>
      <c r="R2446" s="512" t="str">
        <f t="shared" si="142"/>
        <v>DELETE</v>
      </c>
    </row>
    <row r="2447" spans="2:26" ht="31.5" customHeight="1" x14ac:dyDescent="0.45">
      <c r="B2447" s="565"/>
      <c r="C2447" s="503"/>
      <c r="D2447" s="466"/>
      <c r="E2447" s="466"/>
      <c r="F2447" s="466"/>
      <c r="G2447" s="466"/>
      <c r="H2447" s="466"/>
      <c r="I2447" s="466"/>
      <c r="J2447" s="466"/>
      <c r="K2447" s="466"/>
      <c r="L2447" s="466"/>
      <c r="M2447" s="546"/>
      <c r="N2447" s="471"/>
      <c r="O2447" s="546"/>
      <c r="P2447" s="643"/>
      <c r="Q2447" s="467"/>
      <c r="R2447" s="512" t="str">
        <f t="shared" si="142"/>
        <v>DELETE</v>
      </c>
    </row>
    <row r="2448" spans="2:26" ht="31.5" customHeight="1" x14ac:dyDescent="0.45">
      <c r="B2448" s="563"/>
      <c r="C2448" s="450"/>
      <c r="M2448" s="525">
        <f>Criteria!E22</f>
        <v>2024</v>
      </c>
      <c r="N2448" s="458"/>
      <c r="O2448" s="525">
        <f>Criteria!E27</f>
        <v>2023</v>
      </c>
      <c r="P2448" s="634"/>
      <c r="Q2448" s="469"/>
      <c r="R2448" s="512" t="str">
        <f t="shared" si="142"/>
        <v>DELETE</v>
      </c>
    </row>
    <row r="2449" spans="2:18" ht="31.5" customHeight="1" x14ac:dyDescent="0.45">
      <c r="B2449" s="563"/>
      <c r="C2449" s="450"/>
      <c r="M2449" s="548"/>
      <c r="N2449" s="491"/>
      <c r="O2449" s="548"/>
      <c r="P2449" s="634"/>
      <c r="Q2449" s="469"/>
      <c r="R2449" s="512" t="str">
        <f t="shared" si="142"/>
        <v>DELETE</v>
      </c>
    </row>
    <row r="2450" spans="2:18" ht="31.5" customHeight="1" x14ac:dyDescent="0.45">
      <c r="B2450" s="563">
        <f>MAX(B$802:B2449)+1</f>
        <v>31</v>
      </c>
      <c r="C2450" s="450" t="s">
        <v>1608</v>
      </c>
      <c r="M2450" s="548"/>
      <c r="N2450" s="491"/>
      <c r="O2450" s="548"/>
      <c r="P2450" s="634"/>
      <c r="Q2450" s="469"/>
      <c r="R2450" s="512" t="str">
        <f t="shared" si="142"/>
        <v>DELETE</v>
      </c>
    </row>
    <row r="2451" spans="2:18" ht="31.5" customHeight="1" x14ac:dyDescent="0.45">
      <c r="B2451" s="563"/>
      <c r="C2451" s="450"/>
      <c r="D2451" s="449" t="s">
        <v>1609</v>
      </c>
      <c r="M2451" s="548"/>
      <c r="N2451" s="491"/>
      <c r="O2451" s="548"/>
      <c r="P2451" s="634"/>
      <c r="Q2451" s="469"/>
      <c r="R2451" s="512" t="str">
        <f t="shared" si="142"/>
        <v>DELETE</v>
      </c>
    </row>
    <row r="2452" spans="2:18" ht="31.5" customHeight="1" x14ac:dyDescent="0.45">
      <c r="B2452" s="563"/>
      <c r="C2452" s="450"/>
      <c r="M2452" s="548"/>
      <c r="N2452" s="491"/>
      <c r="O2452" s="548"/>
      <c r="P2452" s="634"/>
      <c r="Q2452" s="469"/>
      <c r="R2452" s="512" t="str">
        <f t="shared" si="142"/>
        <v>DELETE</v>
      </c>
    </row>
    <row r="2453" spans="2:18" ht="31.5" customHeight="1" x14ac:dyDescent="0.45">
      <c r="B2453" s="563"/>
      <c r="C2453" s="450"/>
      <c r="E2453" s="449" t="s">
        <v>1610</v>
      </c>
      <c r="M2453" s="548">
        <f>Criteria!F385</f>
        <v>0</v>
      </c>
      <c r="N2453" s="491"/>
      <c r="O2453" s="548">
        <f>Criteria!G385</f>
        <v>0</v>
      </c>
      <c r="P2453" s="634"/>
      <c r="Q2453" s="469"/>
      <c r="R2453" s="512" t="str">
        <f>IF(M2453+O2453=0,"DELETE"," ")</f>
        <v>DELETE</v>
      </c>
    </row>
    <row r="2454" spans="2:18" ht="31.5" customHeight="1" x14ac:dyDescent="0.45">
      <c r="B2454" s="563"/>
      <c r="C2454" s="450"/>
      <c r="E2454" s="449" t="s">
        <v>1611</v>
      </c>
      <c r="M2454" s="548">
        <f>Criteria!F386</f>
        <v>0</v>
      </c>
      <c r="N2454" s="491"/>
      <c r="O2454" s="548">
        <f>Criteria!G386</f>
        <v>0</v>
      </c>
      <c r="P2454" s="634"/>
      <c r="Q2454" s="469"/>
      <c r="R2454" s="512" t="str">
        <f>IF(M2454+O2454=0,"DELETE"," ")</f>
        <v>DELETE</v>
      </c>
    </row>
    <row r="2455" spans="2:18" ht="31.5" customHeight="1" x14ac:dyDescent="0.45">
      <c r="B2455" s="563"/>
      <c r="C2455" s="450"/>
      <c r="E2455" s="449" t="s">
        <v>1612</v>
      </c>
      <c r="M2455" s="548">
        <f>Criteria!F387</f>
        <v>0</v>
      </c>
      <c r="N2455" s="491"/>
      <c r="O2455" s="548">
        <f>Criteria!G387</f>
        <v>0</v>
      </c>
      <c r="P2455" s="634"/>
      <c r="Q2455" s="469"/>
      <c r="R2455" s="512" t="str">
        <f>IF(M2455+O2455=0,"DELETE"," ")</f>
        <v>DELETE</v>
      </c>
    </row>
    <row r="2456" spans="2:18" ht="9" customHeight="1" x14ac:dyDescent="0.45">
      <c r="B2456" s="563"/>
      <c r="C2456" s="450"/>
      <c r="M2456" s="535"/>
      <c r="N2456" s="473"/>
      <c r="O2456" s="535"/>
      <c r="P2456" s="634"/>
      <c r="Q2456" s="469"/>
      <c r="R2456" s="512" t="str">
        <f>R$2458</f>
        <v>DELETE</v>
      </c>
    </row>
    <row r="2457" spans="2:18" ht="9" customHeight="1" x14ac:dyDescent="0.45">
      <c r="B2457" s="563"/>
      <c r="C2457" s="450"/>
      <c r="M2457" s="548"/>
      <c r="N2457" s="491"/>
      <c r="O2457" s="548"/>
      <c r="P2457" s="634"/>
      <c r="Q2457" s="469"/>
      <c r="R2457" s="512" t="str">
        <f>R$2458</f>
        <v>DELETE</v>
      </c>
    </row>
    <row r="2458" spans="2:18" ht="31.5" customHeight="1" x14ac:dyDescent="0.45">
      <c r="B2458" s="563"/>
      <c r="C2458" s="450"/>
      <c r="M2458" s="548">
        <f>SUM(M2453:M2457)</f>
        <v>0</v>
      </c>
      <c r="N2458" s="491"/>
      <c r="O2458" s="548">
        <f>SUM(O2453:O2457)</f>
        <v>0</v>
      </c>
      <c r="P2458" s="634"/>
      <c r="Q2458" s="469"/>
      <c r="R2458" s="512" t="str">
        <f>IF(M2458+O2458=0,"DELETE"," ")</f>
        <v>DELETE</v>
      </c>
    </row>
    <row r="2459" spans="2:18" ht="9" customHeight="1" thickBot="1" x14ac:dyDescent="0.5">
      <c r="B2459" s="563"/>
      <c r="C2459" s="450"/>
      <c r="M2459" s="536"/>
      <c r="N2459" s="474"/>
      <c r="O2459" s="536"/>
      <c r="P2459" s="634"/>
      <c r="Q2459" s="469"/>
      <c r="R2459" s="512" t="str">
        <f t="shared" ref="R2459:R2464" si="143">R$2458</f>
        <v>DELETE</v>
      </c>
    </row>
    <row r="2460" spans="2:18" ht="9" customHeight="1" thickTop="1" x14ac:dyDescent="0.45">
      <c r="B2460" s="563"/>
      <c r="C2460" s="450"/>
      <c r="M2460" s="548"/>
      <c r="N2460" s="491"/>
      <c r="O2460" s="548"/>
      <c r="P2460" s="634"/>
      <c r="Q2460" s="469"/>
      <c r="R2460" s="512" t="str">
        <f t="shared" si="143"/>
        <v>DELETE</v>
      </c>
    </row>
    <row r="2461" spans="2:18" ht="31.5" customHeight="1" x14ac:dyDescent="0.45">
      <c r="B2461" s="563"/>
      <c r="C2461" s="450"/>
      <c r="M2461" s="548"/>
      <c r="N2461" s="491"/>
      <c r="O2461" s="548"/>
      <c r="P2461" s="634"/>
      <c r="Q2461" s="469"/>
      <c r="R2461" s="512" t="str">
        <f t="shared" si="143"/>
        <v>DELETE</v>
      </c>
    </row>
    <row r="2462" spans="2:18" ht="31.5" customHeight="1" x14ac:dyDescent="0.45">
      <c r="B2462" s="563"/>
      <c r="C2462" s="450"/>
      <c r="M2462" s="548"/>
      <c r="N2462" s="491"/>
      <c r="O2462" s="548"/>
      <c r="P2462" s="634"/>
      <c r="Q2462" s="469"/>
      <c r="R2462" s="512" t="str">
        <f t="shared" si="143"/>
        <v>DELETE</v>
      </c>
    </row>
    <row r="2463" spans="2:18" ht="31.5" customHeight="1" x14ac:dyDescent="0.45">
      <c r="B2463" s="564"/>
      <c r="C2463" s="502"/>
      <c r="D2463" s="461"/>
      <c r="E2463" s="461"/>
      <c r="F2463" s="461"/>
      <c r="G2463" s="461"/>
      <c r="H2463" s="461"/>
      <c r="I2463" s="461"/>
      <c r="J2463" s="461"/>
      <c r="K2463" s="461"/>
      <c r="L2463" s="461"/>
      <c r="M2463" s="535"/>
      <c r="N2463" s="473"/>
      <c r="O2463" s="535"/>
      <c r="P2463" s="631"/>
      <c r="Q2463" s="479"/>
      <c r="R2463" s="512" t="str">
        <f t="shared" si="143"/>
        <v>DELETE</v>
      </c>
    </row>
    <row r="2464" spans="2:18" ht="31.5" customHeight="1" x14ac:dyDescent="0.45">
      <c r="B2464" s="526"/>
      <c r="C2464" s="450"/>
      <c r="M2464" s="531"/>
      <c r="N2464" s="470"/>
      <c r="O2464" s="531"/>
      <c r="R2464" s="512" t="str">
        <f t="shared" si="143"/>
        <v>DELETE</v>
      </c>
    </row>
    <row r="2465" spans="2:18" ht="31.5" customHeight="1" x14ac:dyDescent="0.45">
      <c r="B2465" s="526"/>
      <c r="C2465" s="450"/>
      <c r="M2465" s="531"/>
      <c r="N2465" s="470"/>
      <c r="O2465" s="531"/>
      <c r="R2465" s="512" t="str">
        <f t="shared" ref="R2465:R2478" si="144">R$2484</f>
        <v>DELETE</v>
      </c>
    </row>
    <row r="2466" spans="2:18" ht="31.5" customHeight="1" x14ac:dyDescent="0.45">
      <c r="B2466" s="526"/>
      <c r="C2466" s="450"/>
      <c r="D2466" s="450" t="str">
        <f>Criteria!E9</f>
        <v>ABC COMPANY (PROPRIETARY) LIMITED</v>
      </c>
      <c r="M2466" s="635"/>
      <c r="N2466" s="621"/>
      <c r="O2466" s="531" t="s">
        <v>121</v>
      </c>
      <c r="Q2466" s="451">
        <f>MAX($Q$114:Q2465)+1</f>
        <v>62</v>
      </c>
      <c r="R2466" s="512" t="str">
        <f t="shared" si="144"/>
        <v>DELETE</v>
      </c>
    </row>
    <row r="2467" spans="2:18" ht="31.5" customHeight="1" x14ac:dyDescent="0.45">
      <c r="B2467" s="526"/>
      <c r="C2467" s="450"/>
      <c r="D2467" s="450" t="str">
        <f>Criteria!E10</f>
        <v>T/A SEAFRONT HOTEL, SEAFRONT RESTAURANT AND RENTAL PROPERTIES</v>
      </c>
      <c r="M2467" s="635"/>
      <c r="N2467" s="621"/>
      <c r="O2467" s="635"/>
      <c r="R2467" s="512" t="str">
        <f>IF(R$2484="DELETE","DELETE",IF(D2467=0,"DELETE"," "))</f>
        <v>DELETE</v>
      </c>
    </row>
    <row r="2468" spans="2:18" ht="31.5" customHeight="1" x14ac:dyDescent="0.45">
      <c r="B2468" s="526"/>
      <c r="C2468" s="450"/>
      <c r="M2468" s="635"/>
      <c r="N2468" s="621"/>
      <c r="O2468" s="635"/>
      <c r="R2468" s="512" t="str">
        <f t="shared" si="144"/>
        <v>DELETE</v>
      </c>
    </row>
    <row r="2469" spans="2:18" ht="31.5" customHeight="1" x14ac:dyDescent="0.45">
      <c r="B2469" s="526"/>
      <c r="C2469" s="450"/>
      <c r="D2469" s="450" t="s">
        <v>451</v>
      </c>
      <c r="M2469" s="635"/>
      <c r="N2469" s="621"/>
      <c r="O2469" s="635"/>
      <c r="R2469" s="512" t="str">
        <f t="shared" si="144"/>
        <v>DELETE</v>
      </c>
    </row>
    <row r="2470" spans="2:18" ht="31.5" customHeight="1" x14ac:dyDescent="0.45">
      <c r="B2470" s="526"/>
      <c r="C2470" s="450"/>
      <c r="D2470" s="450" t="str">
        <f>Criteria!E20</f>
        <v>29 FEBRUARY 2024</v>
      </c>
      <c r="J2470" s="449" t="s">
        <v>303</v>
      </c>
      <c r="M2470" s="635"/>
      <c r="N2470" s="621"/>
      <c r="O2470" s="635"/>
      <c r="R2470" s="512" t="str">
        <f t="shared" si="144"/>
        <v>DELETE</v>
      </c>
    </row>
    <row r="2471" spans="2:18" ht="31.5" customHeight="1" x14ac:dyDescent="0.45">
      <c r="B2471" s="526"/>
      <c r="C2471" s="450"/>
      <c r="M2471" s="531"/>
      <c r="N2471" s="470"/>
      <c r="O2471" s="531"/>
      <c r="R2471" s="512" t="str">
        <f t="shared" si="144"/>
        <v>DELETE</v>
      </c>
    </row>
    <row r="2472" spans="2:18" ht="31.5" customHeight="1" x14ac:dyDescent="0.45">
      <c r="B2472" s="565"/>
      <c r="C2472" s="503"/>
      <c r="D2472" s="466"/>
      <c r="E2472" s="466"/>
      <c r="F2472" s="466"/>
      <c r="G2472" s="466"/>
      <c r="H2472" s="466"/>
      <c r="I2472" s="466"/>
      <c r="J2472" s="466"/>
      <c r="K2472" s="466"/>
      <c r="L2472" s="466"/>
      <c r="M2472" s="546"/>
      <c r="N2472" s="471"/>
      <c r="O2472" s="546"/>
      <c r="P2472" s="643"/>
      <c r="Q2472" s="467"/>
      <c r="R2472" s="512" t="str">
        <f t="shared" si="144"/>
        <v>DELETE</v>
      </c>
    </row>
    <row r="2473" spans="2:18" ht="31.5" customHeight="1" x14ac:dyDescent="0.45">
      <c r="B2473" s="563"/>
      <c r="C2473" s="450"/>
      <c r="M2473" s="525">
        <f>Criteria!E22</f>
        <v>2024</v>
      </c>
      <c r="N2473" s="458"/>
      <c r="O2473" s="525">
        <f>Criteria!E27</f>
        <v>2023</v>
      </c>
      <c r="P2473" s="634"/>
      <c r="Q2473" s="469"/>
      <c r="R2473" s="512" t="str">
        <f t="shared" si="144"/>
        <v>DELETE</v>
      </c>
    </row>
    <row r="2474" spans="2:18" ht="31.5" customHeight="1" x14ac:dyDescent="0.45">
      <c r="B2474" s="563"/>
      <c r="C2474" s="450"/>
      <c r="M2474" s="548"/>
      <c r="N2474" s="491"/>
      <c r="O2474" s="548"/>
      <c r="P2474" s="634"/>
      <c r="Q2474" s="469"/>
      <c r="R2474" s="512" t="str">
        <f t="shared" si="144"/>
        <v>DELETE</v>
      </c>
    </row>
    <row r="2475" spans="2:18" ht="31.5" customHeight="1" x14ac:dyDescent="0.45">
      <c r="B2475" s="563">
        <f>MAX(B$802:B2474)+1</f>
        <v>32</v>
      </c>
      <c r="C2475" s="450" t="s">
        <v>1617</v>
      </c>
      <c r="M2475" s="548"/>
      <c r="N2475" s="491"/>
      <c r="O2475" s="548"/>
      <c r="P2475" s="634"/>
      <c r="Q2475" s="469"/>
      <c r="R2475" s="512" t="str">
        <f t="shared" si="144"/>
        <v>DELETE</v>
      </c>
    </row>
    <row r="2476" spans="2:18" ht="31.5" customHeight="1" x14ac:dyDescent="0.45">
      <c r="B2476" s="563"/>
      <c r="C2476" s="450"/>
      <c r="D2476" s="449" t="s">
        <v>1657</v>
      </c>
      <c r="M2476" s="548"/>
      <c r="N2476" s="491"/>
      <c r="O2476" s="548"/>
      <c r="P2476" s="634"/>
      <c r="Q2476" s="469"/>
      <c r="R2476" s="512" t="str">
        <f t="shared" si="144"/>
        <v>DELETE</v>
      </c>
    </row>
    <row r="2477" spans="2:18" ht="31.5" customHeight="1" x14ac:dyDescent="0.45">
      <c r="B2477" s="563"/>
      <c r="C2477" s="450"/>
      <c r="D2477" s="449" t="s">
        <v>1618</v>
      </c>
      <c r="M2477" s="548"/>
      <c r="N2477" s="491"/>
      <c r="O2477" s="548"/>
      <c r="P2477" s="634"/>
      <c r="Q2477" s="469"/>
      <c r="R2477" s="512" t="str">
        <f t="shared" si="144"/>
        <v>DELETE</v>
      </c>
    </row>
    <row r="2478" spans="2:18" ht="31.5" customHeight="1" x14ac:dyDescent="0.45">
      <c r="B2478" s="563"/>
      <c r="C2478" s="450"/>
      <c r="M2478" s="548"/>
      <c r="N2478" s="491"/>
      <c r="O2478" s="548"/>
      <c r="P2478" s="634"/>
      <c r="Q2478" s="469"/>
      <c r="R2478" s="512" t="str">
        <f t="shared" si="144"/>
        <v>DELETE</v>
      </c>
    </row>
    <row r="2479" spans="2:18" ht="31.5" customHeight="1" x14ac:dyDescent="0.45">
      <c r="B2479" s="563"/>
      <c r="C2479" s="450"/>
      <c r="E2479" s="449" t="s">
        <v>1610</v>
      </c>
      <c r="M2479" s="548">
        <f>Criteria!F392</f>
        <v>0</v>
      </c>
      <c r="N2479" s="491"/>
      <c r="O2479" s="548">
        <f>Criteria!G392</f>
        <v>0</v>
      </c>
      <c r="P2479" s="634"/>
      <c r="Q2479" s="469"/>
      <c r="R2479" s="512" t="str">
        <f t="shared" ref="R2479:R2480" si="145">IF(M2479+O2479=0,"DELETE"," ")</f>
        <v>DELETE</v>
      </c>
    </row>
    <row r="2480" spans="2:18" ht="31.5" customHeight="1" x14ac:dyDescent="0.45">
      <c r="B2480" s="563"/>
      <c r="C2480" s="450"/>
      <c r="E2480" s="449" t="s">
        <v>1611</v>
      </c>
      <c r="M2480" s="548">
        <f>Criteria!F393</f>
        <v>0</v>
      </c>
      <c r="N2480" s="491"/>
      <c r="O2480" s="548">
        <f>Criteria!G393</f>
        <v>0</v>
      </c>
      <c r="P2480" s="634"/>
      <c r="Q2480" s="469"/>
      <c r="R2480" s="512" t="str">
        <f t="shared" si="145"/>
        <v>DELETE</v>
      </c>
    </row>
    <row r="2481" spans="2:18" ht="31.5" customHeight="1" x14ac:dyDescent="0.45">
      <c r="B2481" s="563"/>
      <c r="C2481" s="450"/>
      <c r="E2481" s="449" t="s">
        <v>1612</v>
      </c>
      <c r="M2481" s="548">
        <f>Criteria!F394</f>
        <v>0</v>
      </c>
      <c r="N2481" s="491"/>
      <c r="O2481" s="548">
        <f>Criteria!G394</f>
        <v>0</v>
      </c>
      <c r="P2481" s="634"/>
      <c r="Q2481" s="469"/>
      <c r="R2481" s="512" t="str">
        <f>IF(M2481+O2481=0,"DELETE"," ")</f>
        <v>DELETE</v>
      </c>
    </row>
    <row r="2482" spans="2:18" ht="9" customHeight="1" x14ac:dyDescent="0.45">
      <c r="B2482" s="563"/>
      <c r="C2482" s="450"/>
      <c r="M2482" s="535"/>
      <c r="N2482" s="473"/>
      <c r="O2482" s="535"/>
      <c r="P2482" s="634"/>
      <c r="Q2482" s="469"/>
      <c r="R2482" s="512" t="str">
        <f>R$2484</f>
        <v>DELETE</v>
      </c>
    </row>
    <row r="2483" spans="2:18" ht="9" customHeight="1" x14ac:dyDescent="0.45">
      <c r="B2483" s="563"/>
      <c r="C2483" s="450"/>
      <c r="M2483" s="548"/>
      <c r="N2483" s="491"/>
      <c r="O2483" s="548"/>
      <c r="P2483" s="634"/>
      <c r="Q2483" s="469"/>
      <c r="R2483" s="512" t="str">
        <f>R$2484</f>
        <v>DELETE</v>
      </c>
    </row>
    <row r="2484" spans="2:18" ht="31.5" customHeight="1" x14ac:dyDescent="0.45">
      <c r="B2484" s="563"/>
      <c r="C2484" s="450"/>
      <c r="M2484" s="548">
        <f>SUM(M2479:M2483)</f>
        <v>0</v>
      </c>
      <c r="N2484" s="491"/>
      <c r="O2484" s="548">
        <f>SUM(O2479:O2483)</f>
        <v>0</v>
      </c>
      <c r="P2484" s="634"/>
      <c r="Q2484" s="469"/>
      <c r="R2484" s="512" t="str">
        <f>IF(M2484+O2484=0,"DELETE"," ")</f>
        <v>DELETE</v>
      </c>
    </row>
    <row r="2485" spans="2:18" ht="9" customHeight="1" thickBot="1" x14ac:dyDescent="0.5">
      <c r="B2485" s="563"/>
      <c r="C2485" s="450"/>
      <c r="M2485" s="536"/>
      <c r="N2485" s="474"/>
      <c r="O2485" s="536"/>
      <c r="P2485" s="634"/>
      <c r="Q2485" s="469"/>
      <c r="R2485" s="512" t="str">
        <f t="shared" ref="R2485:R2490" si="146">R$2484</f>
        <v>DELETE</v>
      </c>
    </row>
    <row r="2486" spans="2:18" ht="9" customHeight="1" thickTop="1" x14ac:dyDescent="0.45">
      <c r="B2486" s="563"/>
      <c r="C2486" s="450"/>
      <c r="M2486" s="548"/>
      <c r="N2486" s="491"/>
      <c r="O2486" s="548"/>
      <c r="P2486" s="634"/>
      <c r="Q2486" s="469"/>
      <c r="R2486" s="512" t="str">
        <f t="shared" si="146"/>
        <v>DELETE</v>
      </c>
    </row>
    <row r="2487" spans="2:18" ht="31.5" customHeight="1" x14ac:dyDescent="0.45">
      <c r="B2487" s="563"/>
      <c r="C2487" s="450"/>
      <c r="M2487" s="548"/>
      <c r="N2487" s="491"/>
      <c r="O2487" s="548"/>
      <c r="P2487" s="634"/>
      <c r="Q2487" s="469"/>
      <c r="R2487" s="512" t="str">
        <f t="shared" si="146"/>
        <v>DELETE</v>
      </c>
    </row>
    <row r="2488" spans="2:18" ht="31.5" customHeight="1" x14ac:dyDescent="0.45">
      <c r="B2488" s="563"/>
      <c r="C2488" s="450"/>
      <c r="M2488" s="548"/>
      <c r="N2488" s="491"/>
      <c r="O2488" s="548"/>
      <c r="P2488" s="634"/>
      <c r="Q2488" s="469"/>
      <c r="R2488" s="512" t="str">
        <f t="shared" si="146"/>
        <v>DELETE</v>
      </c>
    </row>
    <row r="2489" spans="2:18" ht="31.5" customHeight="1" x14ac:dyDescent="0.45">
      <c r="B2489" s="564"/>
      <c r="C2489" s="502"/>
      <c r="D2489" s="461"/>
      <c r="E2489" s="461"/>
      <c r="F2489" s="461"/>
      <c r="G2489" s="461"/>
      <c r="H2489" s="461"/>
      <c r="I2489" s="461"/>
      <c r="J2489" s="461"/>
      <c r="K2489" s="461"/>
      <c r="L2489" s="461"/>
      <c r="M2489" s="535"/>
      <c r="N2489" s="473"/>
      <c r="O2489" s="535"/>
      <c r="P2489" s="631"/>
      <c r="Q2489" s="479"/>
      <c r="R2489" s="512" t="str">
        <f t="shared" si="146"/>
        <v>DELETE</v>
      </c>
    </row>
    <row r="2490" spans="2:18" ht="31.5" customHeight="1" x14ac:dyDescent="0.45">
      <c r="B2490" s="526"/>
      <c r="C2490" s="450"/>
      <c r="M2490" s="531"/>
      <c r="N2490" s="470"/>
      <c r="O2490" s="531"/>
      <c r="R2490" s="512" t="str">
        <f t="shared" si="146"/>
        <v>DELETE</v>
      </c>
    </row>
    <row r="2491" spans="2:18" ht="31.5" customHeight="1" x14ac:dyDescent="0.45">
      <c r="B2491" s="526"/>
      <c r="C2491" s="450"/>
      <c r="M2491" s="531"/>
      <c r="N2491" s="470"/>
      <c r="O2491" s="531"/>
    </row>
    <row r="2492" spans="2:18" ht="31.5" customHeight="1" x14ac:dyDescent="0.45">
      <c r="B2492" s="527"/>
      <c r="D2492" s="450" t="str">
        <f>Criteria!E9</f>
        <v>ABC COMPANY (PROPRIETARY) LIMITED</v>
      </c>
      <c r="M2492" s="635"/>
      <c r="N2492" s="621"/>
      <c r="O2492" s="531" t="s">
        <v>121</v>
      </c>
      <c r="Q2492" s="451">
        <f>MAX($Q$114:Q2491)+1</f>
        <v>63</v>
      </c>
    </row>
    <row r="2493" spans="2:18" ht="31.5" customHeight="1" x14ac:dyDescent="0.45">
      <c r="B2493" s="527"/>
      <c r="D2493" s="450" t="str">
        <f>Criteria!E10</f>
        <v>T/A SEAFRONT HOTEL, SEAFRONT RESTAURANT AND RENTAL PROPERTIES</v>
      </c>
      <c r="M2493" s="635"/>
      <c r="N2493" s="621"/>
      <c r="O2493" s="635"/>
      <c r="R2493" s="512" t="str">
        <f>IF(D2493=0,"DELETE"," ")</f>
        <v xml:space="preserve"> </v>
      </c>
    </row>
    <row r="2494" spans="2:18" ht="31.5" customHeight="1" x14ac:dyDescent="0.45">
      <c r="B2494" s="527"/>
      <c r="M2494" s="635"/>
      <c r="N2494" s="621"/>
      <c r="O2494" s="635"/>
    </row>
    <row r="2495" spans="2:18" ht="31.5" customHeight="1" x14ac:dyDescent="0.45">
      <c r="B2495" s="527"/>
      <c r="D2495" s="450" t="s">
        <v>451</v>
      </c>
      <c r="M2495" s="635"/>
      <c r="N2495" s="621"/>
      <c r="O2495" s="635"/>
    </row>
    <row r="2496" spans="2:18" ht="31.5" customHeight="1" x14ac:dyDescent="0.45">
      <c r="B2496" s="527"/>
      <c r="D2496" s="450" t="str">
        <f>Criteria!E20</f>
        <v>29 FEBRUARY 2024</v>
      </c>
      <c r="J2496" s="449" t="s">
        <v>303</v>
      </c>
      <c r="M2496" s="635"/>
      <c r="N2496" s="621"/>
      <c r="O2496" s="635"/>
    </row>
    <row r="2497" spans="2:26" ht="31.5" customHeight="1" x14ac:dyDescent="0.45">
      <c r="B2497" s="527"/>
      <c r="D2497" s="450"/>
      <c r="M2497" s="635"/>
      <c r="N2497" s="621"/>
      <c r="O2497" s="635"/>
    </row>
    <row r="2498" spans="2:26" ht="31.5" customHeight="1" x14ac:dyDescent="0.45">
      <c r="B2498" s="565"/>
      <c r="C2498" s="503"/>
      <c r="D2498" s="466"/>
      <c r="E2498" s="466"/>
      <c r="F2498" s="466"/>
      <c r="G2498" s="466"/>
      <c r="H2498" s="466"/>
      <c r="I2498" s="466"/>
      <c r="J2498" s="466"/>
      <c r="K2498" s="466"/>
      <c r="L2498" s="466"/>
      <c r="M2498" s="546"/>
      <c r="N2498" s="471"/>
      <c r="O2498" s="546"/>
      <c r="P2498" s="643"/>
      <c r="Q2498" s="467"/>
    </row>
    <row r="2499" spans="2:26" ht="31.5" customHeight="1" x14ac:dyDescent="0.45">
      <c r="B2499" s="563"/>
      <c r="C2499" s="450"/>
      <c r="M2499" s="525">
        <f>Criteria!E22</f>
        <v>2024</v>
      </c>
      <c r="N2499" s="458"/>
      <c r="O2499" s="525">
        <f>Criteria!E27</f>
        <v>2023</v>
      </c>
      <c r="Q2499" s="469"/>
    </row>
    <row r="2500" spans="2:26" ht="31.5" customHeight="1" x14ac:dyDescent="0.45">
      <c r="B2500" s="563"/>
      <c r="C2500" s="450"/>
      <c r="M2500" s="531"/>
      <c r="N2500" s="470"/>
      <c r="O2500" s="531"/>
      <c r="Q2500" s="469"/>
    </row>
    <row r="2501" spans="2:26" ht="31.5" customHeight="1" x14ac:dyDescent="0.45">
      <c r="B2501" s="563">
        <f>MAX(B$802:B2500)+1</f>
        <v>33</v>
      </c>
      <c r="C2501" s="492" t="str">
        <f>IF((Y2501+Z2501)=3,"RECONCILIATION OF OPERATING PROFIT / (LOSS) BEFORE TAXATION",(IF((Y2501+Z2501=4),"RECONCILIATION OF OPERATING  PROFIT BEFORE TAXATION","RECONCILIATION OF OPERATING LOSS BEFORE TAXATION")))</f>
        <v>RECONCILIATION OF OPERATING  PROFIT BEFORE TAXATION</v>
      </c>
      <c r="M2501" s="531"/>
      <c r="N2501" s="470"/>
      <c r="O2501" s="531"/>
      <c r="Q2501" s="469"/>
      <c r="Y2501" s="513">
        <f>IF(SUM(S525:S540)&lt;0,1,IF(SUM(S525:S540)=0,IF(SUM(U525:U540)&lt;0,1,2),2))</f>
        <v>2</v>
      </c>
      <c r="Z2501" s="513">
        <f>IF(SUM(U525:U540)&lt;0,1,IF(SUM(U525:U540)=0,IF(SUM(S525:S540)&lt;0,1,2),2))</f>
        <v>2</v>
      </c>
    </row>
    <row r="2502" spans="2:26" ht="31.5" customHeight="1" x14ac:dyDescent="0.45">
      <c r="B2502" s="563"/>
      <c r="C2502" s="450" t="s">
        <v>327</v>
      </c>
      <c r="M2502" s="531"/>
      <c r="N2502" s="470"/>
      <c r="O2502" s="531"/>
      <c r="Q2502" s="469"/>
    </row>
    <row r="2503" spans="2:26" ht="31.5" customHeight="1" x14ac:dyDescent="0.45">
      <c r="B2503" s="563"/>
      <c r="C2503" s="450"/>
      <c r="M2503" s="531"/>
      <c r="N2503" s="470"/>
      <c r="O2503" s="531"/>
      <c r="Q2503" s="469"/>
    </row>
    <row r="2504" spans="2:26" ht="31.5" customHeight="1" x14ac:dyDescent="0.45">
      <c r="B2504" s="563"/>
      <c r="D2504" s="463" t="str">
        <f>IF((Y2504+Z2504)=3,"Operating profit / (loss)",(IF((Y2504+Z2504=4),"Operating profit","Operating loss")))</f>
        <v>Operating profit</v>
      </c>
      <c r="M2504" s="531">
        <f>SUM(S525:S539)</f>
        <v>0</v>
      </c>
      <c r="N2504" s="470"/>
      <c r="O2504" s="531">
        <f>SUM(U525:U539)</f>
        <v>0</v>
      </c>
      <c r="Q2504" s="469"/>
      <c r="S2504" s="518">
        <f>M2504</f>
        <v>0</v>
      </c>
      <c r="T2504" s="518"/>
      <c r="U2504" s="518">
        <f>O2504</f>
        <v>0</v>
      </c>
      <c r="V2504" s="518"/>
      <c r="W2504" s="518"/>
      <c r="X2504" s="518"/>
      <c r="Y2504" s="513">
        <f>IF(SUM(S525:S540)&lt;0,1,IF(SUM(S525:S540)=0,IF(SUM(U525:U540)&lt;0,1,2),2))</f>
        <v>2</v>
      </c>
      <c r="Z2504" s="513">
        <f>IF(SUM(U525:U540)&lt;0,1,IF(SUM(U525:U540)=0,IF(SUM(S525:S540)&lt;0,1,2),2))</f>
        <v>2</v>
      </c>
    </row>
    <row r="2505" spans="2:26" ht="31.5" customHeight="1" x14ac:dyDescent="0.45">
      <c r="B2505" s="563"/>
      <c r="C2505" s="450"/>
      <c r="D2505" s="449" t="s">
        <v>269</v>
      </c>
      <c r="M2505" s="531">
        <f>SUM(M2507:M2515)</f>
        <v>0</v>
      </c>
      <c r="N2505" s="470"/>
      <c r="O2505" s="531">
        <f>SUM(O2507:O2515)</f>
        <v>0</v>
      </c>
      <c r="Q2505" s="469"/>
      <c r="R2505" s="512" t="str">
        <f>IF(COUNTIF(O2508:O2514,"&gt;0")+COUNTIF(M2508:M2514,"&gt;0")+COUNTIF(O2508:O2514,"&lt;0")+COUNTIF(M2508:M2514,"&lt;0")&gt;0," ","DELETE")</f>
        <v>DELETE</v>
      </c>
      <c r="S2505" s="518">
        <f>M2505</f>
        <v>0</v>
      </c>
      <c r="T2505" s="518"/>
      <c r="U2505" s="518">
        <f>O2505</f>
        <v>0</v>
      </c>
      <c r="V2505" s="518"/>
      <c r="W2505" s="518"/>
      <c r="X2505" s="518"/>
    </row>
    <row r="2506" spans="2:26" ht="9" customHeight="1" x14ac:dyDescent="0.45">
      <c r="B2506" s="563"/>
      <c r="C2506" s="450"/>
      <c r="M2506" s="531"/>
      <c r="N2506" s="470"/>
      <c r="O2506" s="531"/>
      <c r="Q2506" s="469"/>
      <c r="R2506" s="512" t="str">
        <f>R2505</f>
        <v>DELETE</v>
      </c>
    </row>
    <row r="2507" spans="2:26" ht="9" customHeight="1" x14ac:dyDescent="0.45">
      <c r="B2507" s="563"/>
      <c r="C2507" s="450"/>
      <c r="M2507" s="532"/>
      <c r="N2507" s="471"/>
      <c r="O2507" s="552"/>
      <c r="Q2507" s="469"/>
      <c r="R2507" s="512" t="str">
        <f>R2505</f>
        <v>DELETE</v>
      </c>
    </row>
    <row r="2508" spans="2:26" ht="31.5" customHeight="1" x14ac:dyDescent="0.45">
      <c r="B2508" s="563"/>
      <c r="C2508" s="450"/>
      <c r="D2508" s="449" t="s">
        <v>1533</v>
      </c>
      <c r="M2508" s="533">
        <f>TrialBalance!L139+TrialBalanceA!I139+TrialBalanceB!I139+TrialBalanceC!I139</f>
        <v>0</v>
      </c>
      <c r="N2508" s="491"/>
      <c r="O2508" s="553">
        <f>TrialBalance!N139+TrialBalanceA!K139+TrialBalanceB!K139+TrialBalanceC!K139</f>
        <v>0</v>
      </c>
      <c r="Q2508" s="469"/>
      <c r="R2508" s="512" t="str">
        <f t="shared" ref="R2508:R2514" si="147">IF(M2508=0,IF(O2508=0,"DELETE"," ")," ")</f>
        <v>DELETE</v>
      </c>
    </row>
    <row r="2509" spans="2:26" ht="31.5" customHeight="1" x14ac:dyDescent="0.45">
      <c r="B2509" s="563"/>
      <c r="C2509" s="450"/>
      <c r="D2509" s="449" t="s">
        <v>1485</v>
      </c>
      <c r="M2509" s="533">
        <f>TrialBalance!L138+TrialBalanceA!I138+TrialBalanceB!I138+TrialBalanceC!I138</f>
        <v>0</v>
      </c>
      <c r="N2509" s="491"/>
      <c r="O2509" s="553">
        <f>TrialBalance!N138+TrialBalanceA!K138+TrialBalanceB!K138+TrialBalanceC!K138</f>
        <v>0</v>
      </c>
      <c r="Q2509" s="469"/>
      <c r="R2509" s="512" t="str">
        <f t="shared" si="147"/>
        <v>DELETE</v>
      </c>
    </row>
    <row r="2510" spans="2:26" ht="31.5" customHeight="1" x14ac:dyDescent="0.45">
      <c r="B2510" s="563"/>
      <c r="C2510" s="450"/>
      <c r="D2510" s="449" t="s">
        <v>113</v>
      </c>
      <c r="M2510" s="533">
        <f>SUM(TrialBalance!L44:L46)+SUM(TrialBalance!L108:L109)+SUM(TrialBalanceA!I44:I46)+SUM(TrialBalanceA!I108:I109)+SUM(TrialBalanceB!I44:I46)+SUM(TrialBalanceB!I108:I109)+SUM(TrialBalanceC!I44:I46)+SUM(TrialBalanceC!I108:I109)</f>
        <v>0</v>
      </c>
      <c r="N2510" s="491"/>
      <c r="O2510" s="553">
        <f>SUM(TrialBalance!N44:N46)+SUM(TrialBalance!N108:N109)+SUM(TrialBalanceA!K44:K46)+SUM(TrialBalanceA!K108:K109)+SUM(TrialBalanceB!K44:K46)+SUM(TrialBalanceB!K108:K109)+SUM(TrialBalanceC!K44:K46)+SUM(TrialBalanceC!K108:K109)</f>
        <v>0</v>
      </c>
      <c r="Q2510" s="469"/>
      <c r="R2510" s="512" t="str">
        <f t="shared" si="147"/>
        <v>DELETE</v>
      </c>
    </row>
    <row r="2511" spans="2:26" ht="31.5" customHeight="1" x14ac:dyDescent="0.45">
      <c r="B2511" s="563"/>
      <c r="C2511" s="450"/>
      <c r="D2511" s="449" t="s">
        <v>1534</v>
      </c>
      <c r="M2511" s="533">
        <f>TrialBalance!L154+TrialBalanceA!I154+TrialBalanceB!I154+TrialBalanceC!I154</f>
        <v>0</v>
      </c>
      <c r="N2511" s="491"/>
      <c r="O2511" s="553">
        <f>TrialBalance!N154+TrialBalanceA!K154+TrialBalanceB!K154+TrialBalanceC!K154</f>
        <v>0</v>
      </c>
      <c r="Q2511" s="469"/>
      <c r="R2511" s="512" t="str">
        <f t="shared" si="147"/>
        <v>DELETE</v>
      </c>
    </row>
    <row r="2512" spans="2:26" ht="31.5" customHeight="1" x14ac:dyDescent="0.45">
      <c r="B2512" s="563"/>
      <c r="C2512" s="450"/>
      <c r="D2512" s="449" t="s">
        <v>670</v>
      </c>
      <c r="M2512" s="533">
        <f>IF(TrialBalance!L93&gt;0,TrialBalance!L93,0)+IF(TrialBalanceA!I93&gt;0,TrialBalanceA!I93,0)+IF(TrialBalanceB!I93&gt;0,TrialBalanceB!I93,0)+IF(TrialBalanceC!I93&gt;0,TrialBalanceC!I93,0)</f>
        <v>0</v>
      </c>
      <c r="N2512" s="491"/>
      <c r="O2512" s="553">
        <f>IF(TrialBalance!N93&gt;0,TrialBalance!N93,0)+IF(TrialBalanceA!K93&gt;0,TrialBalanceA!K93,0)+IF(TrialBalanceB!K93&gt;0,TrialBalanceB!K93,0)+IF(TrialBalanceC!K93&gt;0,TrialBalanceC!K93,0)</f>
        <v>0</v>
      </c>
      <c r="Q2512" s="469"/>
      <c r="R2512" s="512" t="str">
        <f t="shared" si="147"/>
        <v>DELETE</v>
      </c>
    </row>
    <row r="2513" spans="2:26" ht="31.5" customHeight="1" x14ac:dyDescent="0.45">
      <c r="B2513" s="563"/>
      <c r="C2513" s="450"/>
      <c r="D2513" s="449" t="s">
        <v>1549</v>
      </c>
      <c r="M2513" s="533">
        <f>TrialBalance!L33+TrialBalanceA!I33+TrialBalanceB!I33+TrialBalanceC!I33</f>
        <v>0</v>
      </c>
      <c r="N2513" s="491"/>
      <c r="O2513" s="553">
        <f>TrialBalance!N33+TrialBalanceA!K33+TrialBalanceB!K33+TrialBalanceC!K33</f>
        <v>0</v>
      </c>
      <c r="Q2513" s="469"/>
      <c r="R2513" s="512" t="str">
        <f t="shared" si="147"/>
        <v>DELETE</v>
      </c>
    </row>
    <row r="2514" spans="2:26" ht="31.5" customHeight="1" x14ac:dyDescent="0.45">
      <c r="B2514" s="563"/>
      <c r="C2514" s="450"/>
      <c r="D2514" s="449" t="s">
        <v>1560</v>
      </c>
      <c r="M2514" s="533">
        <f>TrialBalance!L155+TrialBalanceA!I155+TrialBalanceB!I155+TrialBalanceC!I155</f>
        <v>0</v>
      </c>
      <c r="N2514" s="491"/>
      <c r="O2514" s="553">
        <f>TrialBalance!N155+TrialBalanceA!K155+TrialBalanceB!K155+TrialBalanceC!K155</f>
        <v>0</v>
      </c>
      <c r="Q2514" s="469"/>
      <c r="R2514" s="512" t="str">
        <f t="shared" si="147"/>
        <v>DELETE</v>
      </c>
    </row>
    <row r="2515" spans="2:26" ht="9" customHeight="1" x14ac:dyDescent="0.45">
      <c r="B2515" s="563"/>
      <c r="C2515" s="450"/>
      <c r="M2515" s="534"/>
      <c r="N2515" s="473"/>
      <c r="O2515" s="554"/>
      <c r="Q2515" s="469"/>
      <c r="R2515" s="512" t="str">
        <f>R2505</f>
        <v>DELETE</v>
      </c>
    </row>
    <row r="2516" spans="2:26" ht="10.5" customHeight="1" x14ac:dyDescent="0.45">
      <c r="B2516" s="563"/>
      <c r="C2516" s="450"/>
      <c r="M2516" s="535"/>
      <c r="N2516" s="473"/>
      <c r="O2516" s="535"/>
      <c r="Q2516" s="469"/>
      <c r="R2516" s="512" t="str">
        <f>R2505</f>
        <v>DELETE</v>
      </c>
    </row>
    <row r="2517" spans="2:26" ht="9" customHeight="1" x14ac:dyDescent="0.45">
      <c r="B2517" s="563"/>
      <c r="C2517" s="450"/>
      <c r="M2517" s="531"/>
      <c r="N2517" s="470"/>
      <c r="O2517" s="531"/>
      <c r="Q2517" s="469"/>
      <c r="R2517" s="512" t="str">
        <f>R2505</f>
        <v>DELETE</v>
      </c>
    </row>
    <row r="2518" spans="2:26" ht="31.5" customHeight="1" x14ac:dyDescent="0.45">
      <c r="B2518" s="563"/>
      <c r="C2518" s="450"/>
      <c r="M2518" s="531">
        <f>M2504+M2505</f>
        <v>0</v>
      </c>
      <c r="N2518" s="470"/>
      <c r="O2518" s="531">
        <f>O2504+O2505</f>
        <v>0</v>
      </c>
      <c r="Q2518" s="469"/>
      <c r="R2518" s="512" t="str">
        <f>R2505</f>
        <v>DELETE</v>
      </c>
    </row>
    <row r="2519" spans="2:26" ht="31.5" customHeight="1" x14ac:dyDescent="0.45">
      <c r="B2519" s="563"/>
      <c r="C2519" s="450"/>
      <c r="D2519" s="449" t="s">
        <v>114</v>
      </c>
      <c r="M2519" s="531">
        <f>SUM(M2522:M2524)</f>
        <v>0</v>
      </c>
      <c r="N2519" s="470"/>
      <c r="O2519" s="531">
        <f>SUM(O2522:O2524)</f>
        <v>0</v>
      </c>
      <c r="Q2519" s="469"/>
      <c r="S2519" s="518">
        <f>M2519</f>
        <v>0</v>
      </c>
      <c r="T2519" s="518"/>
      <c r="U2519" s="518">
        <f>O2519</f>
        <v>0</v>
      </c>
      <c r="V2519" s="518"/>
      <c r="W2519" s="518"/>
      <c r="X2519" s="518"/>
    </row>
    <row r="2520" spans="2:26" ht="9" customHeight="1" x14ac:dyDescent="0.45">
      <c r="B2520" s="563"/>
      <c r="C2520" s="450"/>
      <c r="M2520" s="531"/>
      <c r="N2520" s="470"/>
      <c r="O2520" s="531"/>
      <c r="Q2520" s="469"/>
    </row>
    <row r="2521" spans="2:26" ht="9" customHeight="1" x14ac:dyDescent="0.45">
      <c r="B2521" s="563"/>
      <c r="C2521" s="450"/>
      <c r="M2521" s="532"/>
      <c r="N2521" s="471"/>
      <c r="O2521" s="552"/>
      <c r="Q2521" s="469"/>
    </row>
    <row r="2522" spans="2:26" ht="31.5" customHeight="1" x14ac:dyDescent="0.45">
      <c r="B2522" s="563"/>
      <c r="C2522" s="450"/>
      <c r="D2522" s="463" t="str">
        <f>IF((Y2522+Z2522)=3,"(Increase) / Decrease in inventories",(IF((Y2522+Z2522=4),"Decrease in inventories","Increase in inventories")))</f>
        <v>Decrease in inventories</v>
      </c>
      <c r="M2522" s="533">
        <f>SUM(TrialBalance!N353:N357)-SUM(TrialBalance!L353:L357)</f>
        <v>0</v>
      </c>
      <c r="N2522" s="470"/>
      <c r="O2522" s="553">
        <f>Criteria!F401</f>
        <v>0</v>
      </c>
      <c r="Q2522" s="469"/>
      <c r="Y2522" s="513">
        <f>IF(M2522&lt;0,1,IF(M2522=0,IF(O2522&lt;0,1,2),2))</f>
        <v>2</v>
      </c>
      <c r="Z2522" s="513">
        <f>IF(O2522&lt;0,1,IF(O2522=0,IF(M2522&lt;0,1,2),2))</f>
        <v>2</v>
      </c>
    </row>
    <row r="2523" spans="2:26" ht="31.5" customHeight="1" x14ac:dyDescent="0.45">
      <c r="B2523" s="563"/>
      <c r="C2523" s="450"/>
      <c r="D2523" s="463" t="str">
        <f>IF((Y2523+Z2523)=3,"(Increase) / Decrease in accounts receivable",(IF((Y2523+Z2523=4),"Decrease in accounts receivable","Increase in accounts receivable")))</f>
        <v>Decrease in accounts receivable</v>
      </c>
      <c r="M2523" s="533">
        <f>SUM(TrialBalance!N358:N364)-SUM(TrialBalance!L358:L364)</f>
        <v>0</v>
      </c>
      <c r="N2523" s="470"/>
      <c r="O2523" s="553">
        <f>Criteria!F402</f>
        <v>0</v>
      </c>
      <c r="Q2523" s="469"/>
      <c r="Y2523" s="513">
        <f>IF(M2523&lt;0,1,IF(M2523=0,IF(O2523&lt;0,1,2),2))</f>
        <v>2</v>
      </c>
      <c r="Z2523" s="513">
        <f>IF(O2523&lt;0,1,IF(O2523=0,IF(M2523&lt;0,1,2),2))</f>
        <v>2</v>
      </c>
    </row>
    <row r="2524" spans="2:26" ht="31.5" customHeight="1" x14ac:dyDescent="0.45">
      <c r="B2524" s="563"/>
      <c r="C2524" s="450"/>
      <c r="D2524" s="463" t="str">
        <f>IF((Y2524+Z2524)=3,"Increase / (Decrease) in accounts payable",(IF((Y2524+Z2524=4),"Increase in accounts payable","Decrease in accounts payable")))</f>
        <v>Increase in accounts payable</v>
      </c>
      <c r="M2524" s="533">
        <f>SUM(TrialBalance!N378:N383)+SUM(TrialBalance!N394:N398)-SUM(TrialBalance!L378:L383)-SUM(TrialBalance!L394:L398)</f>
        <v>0</v>
      </c>
      <c r="N2524" s="470"/>
      <c r="O2524" s="553">
        <f>Criteria!F403</f>
        <v>0</v>
      </c>
      <c r="Q2524" s="469"/>
      <c r="Y2524" s="513">
        <f>IF(M2524&lt;0,1,IF(M2524=0,IF(O2524&lt;0,1,2),2))</f>
        <v>2</v>
      </c>
      <c r="Z2524" s="513">
        <f>IF(O2524&lt;0,1,IF(O2524=0,IF(M2524&lt;0,1,2),2))</f>
        <v>2</v>
      </c>
    </row>
    <row r="2525" spans="2:26" ht="9" customHeight="1" x14ac:dyDescent="0.45">
      <c r="B2525" s="563"/>
      <c r="C2525" s="450"/>
      <c r="M2525" s="534"/>
      <c r="N2525" s="473"/>
      <c r="O2525" s="554"/>
      <c r="Q2525" s="469"/>
    </row>
    <row r="2526" spans="2:26" ht="9" customHeight="1" x14ac:dyDescent="0.45">
      <c r="B2526" s="563"/>
      <c r="C2526" s="450"/>
      <c r="M2526" s="531"/>
      <c r="N2526" s="470"/>
      <c r="O2526" s="531"/>
      <c r="Q2526" s="469"/>
    </row>
    <row r="2527" spans="2:26" ht="9" customHeight="1" x14ac:dyDescent="0.45">
      <c r="B2527" s="563"/>
      <c r="C2527" s="450"/>
      <c r="M2527" s="535"/>
      <c r="N2527" s="473"/>
      <c r="O2527" s="535"/>
      <c r="Q2527" s="469"/>
    </row>
    <row r="2528" spans="2:26" ht="9" customHeight="1" x14ac:dyDescent="0.45">
      <c r="B2528" s="563"/>
      <c r="C2528" s="450"/>
      <c r="M2528" s="531"/>
      <c r="N2528" s="470"/>
      <c r="O2528" s="531"/>
      <c r="Q2528" s="469"/>
    </row>
    <row r="2529" spans="2:23" ht="31.5" customHeight="1" x14ac:dyDescent="0.45">
      <c r="B2529" s="563"/>
      <c r="C2529" s="450"/>
      <c r="D2529" s="449" t="s">
        <v>268</v>
      </c>
      <c r="M2529" s="531">
        <f>SUM(S2504:S2526)</f>
        <v>0</v>
      </c>
      <c r="N2529" s="470"/>
      <c r="O2529" s="531">
        <f>SUM(U2504:U2526)</f>
        <v>0</v>
      </c>
      <c r="Q2529" s="469"/>
      <c r="V2529" s="517"/>
      <c r="W2529" s="517"/>
    </row>
    <row r="2530" spans="2:23" ht="9" customHeight="1" thickBot="1" x14ac:dyDescent="0.5">
      <c r="B2530" s="563"/>
      <c r="C2530" s="450"/>
      <c r="M2530" s="536"/>
      <c r="N2530" s="474"/>
      <c r="O2530" s="536"/>
      <c r="Q2530" s="469"/>
    </row>
    <row r="2531" spans="2:23" ht="9" customHeight="1" thickTop="1" x14ac:dyDescent="0.45">
      <c r="B2531" s="563"/>
      <c r="C2531" s="450"/>
      <c r="M2531" s="548"/>
      <c r="N2531" s="491"/>
      <c r="O2531" s="548"/>
      <c r="Q2531" s="469"/>
    </row>
    <row r="2532" spans="2:23" ht="31.5" customHeight="1" x14ac:dyDescent="0.45">
      <c r="B2532" s="582"/>
      <c r="M2532" s="531"/>
      <c r="N2532" s="470"/>
      <c r="O2532" s="531"/>
      <c r="Q2532" s="469"/>
    </row>
    <row r="2533" spans="2:23" ht="31.5" customHeight="1" x14ac:dyDescent="0.45">
      <c r="B2533" s="582"/>
      <c r="M2533" s="531"/>
      <c r="N2533" s="470"/>
      <c r="O2533" s="531"/>
      <c r="Q2533" s="469"/>
    </row>
    <row r="2534" spans="2:23" ht="31.5" customHeight="1" x14ac:dyDescent="0.45">
      <c r="B2534" s="567"/>
      <c r="C2534" s="461"/>
      <c r="D2534" s="461"/>
      <c r="E2534" s="461"/>
      <c r="F2534" s="461"/>
      <c r="G2534" s="461"/>
      <c r="H2534" s="461"/>
      <c r="I2534" s="461"/>
      <c r="J2534" s="461"/>
      <c r="K2534" s="461"/>
      <c r="L2534" s="461"/>
      <c r="M2534" s="535"/>
      <c r="N2534" s="473"/>
      <c r="O2534" s="535"/>
      <c r="P2534" s="631"/>
      <c r="Q2534" s="479"/>
    </row>
    <row r="2535" spans="2:23" ht="31.5" customHeight="1" x14ac:dyDescent="0.45">
      <c r="B2535" s="527"/>
      <c r="M2535" s="635"/>
      <c r="N2535" s="621"/>
      <c r="O2535" s="635"/>
    </row>
    <row r="2536" spans="2:23" ht="31.5" customHeight="1" x14ac:dyDescent="0.45">
      <c r="B2536" s="527"/>
      <c r="M2536" s="635"/>
      <c r="N2536" s="621"/>
      <c r="O2536" s="635"/>
    </row>
    <row r="2537" spans="2:23" ht="31.5" customHeight="1" x14ac:dyDescent="0.45">
      <c r="B2537" s="527"/>
      <c r="D2537" s="450" t="str">
        <f>Criteria!E9</f>
        <v>ABC COMPANY (PROPRIETARY) LIMITED</v>
      </c>
      <c r="M2537" s="635"/>
      <c r="N2537" s="621"/>
      <c r="O2537" s="531" t="s">
        <v>121</v>
      </c>
      <c r="Q2537" s="451">
        <f>MAX($Q$114:Q2536)+1</f>
        <v>64</v>
      </c>
    </row>
    <row r="2538" spans="2:23" ht="31.5" customHeight="1" x14ac:dyDescent="0.45">
      <c r="B2538" s="527"/>
      <c r="D2538" s="450" t="str">
        <f>Criteria!E10</f>
        <v>T/A SEAFRONT HOTEL, SEAFRONT RESTAURANT AND RENTAL PROPERTIES</v>
      </c>
      <c r="M2538" s="635"/>
      <c r="N2538" s="621"/>
      <c r="O2538" s="635"/>
      <c r="R2538" s="512" t="str">
        <f>IF(D2538=0,"DELETE"," ")</f>
        <v xml:space="preserve"> </v>
      </c>
    </row>
    <row r="2539" spans="2:23" ht="31.5" customHeight="1" x14ac:dyDescent="0.45">
      <c r="B2539" s="527"/>
      <c r="M2539" s="635"/>
      <c r="N2539" s="621"/>
      <c r="O2539" s="635"/>
    </row>
    <row r="2540" spans="2:23" ht="31.5" customHeight="1" x14ac:dyDescent="0.45">
      <c r="B2540" s="527"/>
      <c r="D2540" s="450" t="s">
        <v>451</v>
      </c>
      <c r="M2540" s="635"/>
      <c r="N2540" s="621"/>
      <c r="O2540" s="635"/>
    </row>
    <row r="2541" spans="2:23" ht="31.5" customHeight="1" x14ac:dyDescent="0.45">
      <c r="B2541" s="527"/>
      <c r="D2541" s="450" t="str">
        <f>Criteria!E20</f>
        <v>29 FEBRUARY 2024</v>
      </c>
      <c r="J2541" s="449" t="s">
        <v>303</v>
      </c>
      <c r="M2541" s="635"/>
      <c r="N2541" s="621"/>
      <c r="O2541" s="635"/>
    </row>
    <row r="2542" spans="2:23" ht="31.5" customHeight="1" x14ac:dyDescent="0.45">
      <c r="B2542" s="527"/>
      <c r="M2542" s="635"/>
      <c r="N2542" s="621"/>
      <c r="O2542" s="635"/>
    </row>
    <row r="2543" spans="2:23" ht="31.5" customHeight="1" x14ac:dyDescent="0.45">
      <c r="B2543" s="566"/>
      <c r="C2543" s="466"/>
      <c r="D2543" s="466"/>
      <c r="E2543" s="466"/>
      <c r="F2543" s="466"/>
      <c r="G2543" s="466"/>
      <c r="H2543" s="466"/>
      <c r="I2543" s="466"/>
      <c r="J2543" s="466"/>
      <c r="K2543" s="466"/>
      <c r="L2543" s="466"/>
      <c r="M2543" s="648"/>
      <c r="N2543" s="649"/>
      <c r="O2543" s="648"/>
      <c r="P2543" s="643"/>
      <c r="Q2543" s="467"/>
    </row>
    <row r="2544" spans="2:23" ht="31.5" customHeight="1" x14ac:dyDescent="0.45">
      <c r="B2544" s="563">
        <f>MAX(B$802:B2543)+1</f>
        <v>34</v>
      </c>
      <c r="C2544" s="492" t="s">
        <v>1064</v>
      </c>
      <c r="M2544" s="639"/>
      <c r="N2544" s="647"/>
      <c r="O2544" s="639"/>
      <c r="P2544" s="634"/>
      <c r="Q2544" s="469"/>
    </row>
    <row r="2545" spans="2:18" ht="31.5" customHeight="1" x14ac:dyDescent="0.45">
      <c r="B2545" s="582"/>
      <c r="M2545" s="639"/>
      <c r="N2545" s="647"/>
      <c r="O2545" s="639"/>
      <c r="P2545" s="634"/>
      <c r="Q2545" s="469"/>
    </row>
    <row r="2546" spans="2:18" ht="31.5" customHeight="1" x14ac:dyDescent="0.45">
      <c r="B2546" s="582"/>
      <c r="C2546" s="449" t="str">
        <f>IF(Criteria!E24="Yes","The company entered into transactions with related parties in the ordinary course of business.","The company entered into transactions with related parties in the ordinary course of business, the")</f>
        <v>The company entered into transactions with related parties in the ordinary course of business, the</v>
      </c>
      <c r="M2546" s="639"/>
      <c r="N2546" s="647"/>
      <c r="O2546" s="639"/>
      <c r="P2546" s="634"/>
      <c r="Q2546" s="469"/>
    </row>
    <row r="2547" spans="2:18" ht="31.5" customHeight="1" x14ac:dyDescent="0.45">
      <c r="B2547" s="582"/>
      <c r="C2547" s="449" t="str">
        <f>IF(Criteria!E24="Yes"," ","nature of which was consistent with those previously reported.")</f>
        <v>nature of which was consistent with those previously reported.</v>
      </c>
      <c r="M2547" s="639"/>
      <c r="N2547" s="647"/>
      <c r="O2547" s="639"/>
      <c r="P2547" s="634"/>
      <c r="Q2547" s="469"/>
      <c r="R2547" s="512" t="str">
        <f>IF(C2547=" ","DELETE"," ")</f>
        <v xml:space="preserve"> </v>
      </c>
    </row>
    <row r="2548" spans="2:18" ht="31.5" customHeight="1" x14ac:dyDescent="0.45">
      <c r="B2548" s="582"/>
      <c r="M2548" s="639"/>
      <c r="N2548" s="647"/>
      <c r="O2548" s="639"/>
      <c r="P2548" s="634"/>
      <c r="Q2548" s="469"/>
    </row>
    <row r="2549" spans="2:18" ht="31.5" customHeight="1" x14ac:dyDescent="0.45">
      <c r="B2549" s="582"/>
      <c r="C2549" s="462" t="s">
        <v>1075</v>
      </c>
      <c r="J2549" s="462" t="s">
        <v>1065</v>
      </c>
      <c r="M2549" s="639"/>
      <c r="N2549" s="647"/>
      <c r="O2549" s="639"/>
      <c r="P2549" s="634"/>
      <c r="Q2549" s="469"/>
    </row>
    <row r="2550" spans="2:18" ht="31.5" customHeight="1" x14ac:dyDescent="0.45">
      <c r="B2550" s="582"/>
      <c r="D2550" s="449" t="str">
        <f>Criteria!E41</f>
        <v>A Director</v>
      </c>
      <c r="J2550" s="449" t="s">
        <v>1066</v>
      </c>
      <c r="M2550" s="639"/>
      <c r="N2550" s="647"/>
      <c r="O2550" s="639"/>
      <c r="P2550" s="634"/>
      <c r="Q2550" s="469"/>
      <c r="R2550" s="512" t="str">
        <f>IF(D2550=0,"DELETE"," ")</f>
        <v xml:space="preserve"> </v>
      </c>
    </row>
    <row r="2551" spans="2:18" ht="31.5" customHeight="1" x14ac:dyDescent="0.45">
      <c r="B2551" s="582"/>
      <c r="D2551" s="449" t="str">
        <f>Criteria!E42</f>
        <v>C Director</v>
      </c>
      <c r="J2551" s="449" t="s">
        <v>1066</v>
      </c>
      <c r="M2551" s="639"/>
      <c r="N2551" s="647"/>
      <c r="O2551" s="639"/>
      <c r="P2551" s="634"/>
      <c r="Q2551" s="469"/>
      <c r="R2551" s="512" t="str">
        <f t="shared" ref="R2551:R2554" si="148">IF(D2551=0,"DELETE"," ")</f>
        <v xml:space="preserve"> </v>
      </c>
    </row>
    <row r="2552" spans="2:18" ht="31.5" customHeight="1" x14ac:dyDescent="0.45">
      <c r="B2552" s="582"/>
      <c r="D2552" s="449">
        <f>Criteria!E43</f>
        <v>0</v>
      </c>
      <c r="J2552" s="449" t="s">
        <v>1066</v>
      </c>
      <c r="M2552" s="639"/>
      <c r="N2552" s="647"/>
      <c r="O2552" s="639"/>
      <c r="P2552" s="634"/>
      <c r="Q2552" s="469"/>
      <c r="R2552" s="512" t="str">
        <f t="shared" si="148"/>
        <v>DELETE</v>
      </c>
    </row>
    <row r="2553" spans="2:18" ht="31.5" customHeight="1" x14ac:dyDescent="0.45">
      <c r="B2553" s="582"/>
      <c r="D2553" s="449">
        <f>Criteria!E44</f>
        <v>0</v>
      </c>
      <c r="J2553" s="449" t="s">
        <v>1066</v>
      </c>
      <c r="M2553" s="639"/>
      <c r="N2553" s="647"/>
      <c r="O2553" s="639"/>
      <c r="P2553" s="634"/>
      <c r="Q2553" s="469"/>
      <c r="R2553" s="512" t="str">
        <f t="shared" si="148"/>
        <v>DELETE</v>
      </c>
    </row>
    <row r="2554" spans="2:18" ht="31.5" customHeight="1" x14ac:dyDescent="0.45">
      <c r="B2554" s="582"/>
      <c r="D2554" s="449">
        <f>Criteria!E45</f>
        <v>0</v>
      </c>
      <c r="J2554" s="449" t="s">
        <v>1066</v>
      </c>
      <c r="M2554" s="639"/>
      <c r="N2554" s="647"/>
      <c r="O2554" s="639"/>
      <c r="P2554" s="634"/>
      <c r="Q2554" s="469"/>
      <c r="R2554" s="512" t="str">
        <f t="shared" si="148"/>
        <v>DELETE</v>
      </c>
    </row>
    <row r="2555" spans="2:18" ht="31.5" customHeight="1" x14ac:dyDescent="0.45">
      <c r="B2555" s="582"/>
      <c r="M2555" s="639"/>
      <c r="N2555" s="647"/>
      <c r="O2555" s="639"/>
      <c r="P2555" s="634"/>
      <c r="Q2555" s="469"/>
    </row>
    <row r="2556" spans="2:18" ht="31.5" customHeight="1" x14ac:dyDescent="0.45">
      <c r="B2556" s="582"/>
      <c r="C2556" s="449" t="str">
        <f>CONCATENATE("The detail of ",IF(MAX(Criteria!I41:I45)&gt;1,"directors' remuneration","the director's remuneration")," are comprehensively disclosed in Note ",FS!C1144," of the Notes to the")</f>
        <v>The detail of directors' remuneration are comprehensively disclosed in Note 5.1 of the Notes to the</v>
      </c>
      <c r="M2556" s="639"/>
      <c r="N2556" s="647"/>
      <c r="O2556" s="639"/>
      <c r="P2556" s="634"/>
      <c r="Q2556" s="469"/>
    </row>
    <row r="2557" spans="2:18" ht="31.5" customHeight="1" x14ac:dyDescent="0.45">
      <c r="B2557" s="582"/>
      <c r="C2557" s="449" t="s">
        <v>1148</v>
      </c>
      <c r="M2557" s="639"/>
      <c r="N2557" s="647"/>
      <c r="O2557" s="639"/>
      <c r="P2557" s="634"/>
      <c r="Q2557" s="469"/>
    </row>
    <row r="2558" spans="2:18" ht="31.5" customHeight="1" x14ac:dyDescent="0.45">
      <c r="B2558" s="582"/>
      <c r="M2558" s="639"/>
      <c r="N2558" s="647"/>
      <c r="O2558" s="639"/>
      <c r="P2558" s="634"/>
      <c r="Q2558" s="469"/>
    </row>
    <row r="2559" spans="2:18" ht="31.5" customHeight="1" x14ac:dyDescent="0.45">
      <c r="B2559" s="582"/>
      <c r="C2559" s="449" t="str">
        <f>IF(SUM(Criteria!G521:H521)&gt;0,"Related party balances and transactions with entities with control, joint control or significant influence","There were no related party balances outstanding at year end and no further transactions with entities")</f>
        <v>There were no related party balances outstanding at year end and no further transactions with entities</v>
      </c>
      <c r="M2559" s="639"/>
      <c r="N2559" s="647"/>
      <c r="O2559" s="639"/>
      <c r="P2559" s="634"/>
      <c r="Q2559" s="469"/>
    </row>
    <row r="2560" spans="2:18" ht="31.5" customHeight="1" x14ac:dyDescent="0.45">
      <c r="B2560" s="582"/>
      <c r="C2560" s="449" t="str">
        <f>IF(SUM(Criteria!G521:H521)&gt;0,"over the company are as follows:","with control, joint control or significant influence over the company.")</f>
        <v>with control, joint control or significant influence over the company.</v>
      </c>
      <c r="M2560" s="639"/>
      <c r="N2560" s="647"/>
      <c r="O2560" s="639"/>
      <c r="P2560" s="634"/>
      <c r="Q2560" s="469"/>
    </row>
    <row r="2561" spans="2:18" ht="31.5" customHeight="1" x14ac:dyDescent="0.45">
      <c r="B2561" s="582"/>
      <c r="L2561" s="695" t="s">
        <v>824</v>
      </c>
      <c r="M2561" s="695"/>
      <c r="N2561" s="695"/>
      <c r="O2561" s="695" t="s">
        <v>111</v>
      </c>
      <c r="P2561" s="695"/>
      <c r="Q2561" s="469"/>
      <c r="R2561" s="512" t="str">
        <f>IF(SUM(Criteria!G521:H521)&gt;0," ","DELETE")</f>
        <v>DELETE</v>
      </c>
    </row>
    <row r="2562" spans="2:18" ht="31.5" customHeight="1" x14ac:dyDescent="0.45">
      <c r="B2562" s="582"/>
      <c r="C2562" s="462" t="s">
        <v>1067</v>
      </c>
      <c r="L2562" s="694" t="s">
        <v>1071</v>
      </c>
      <c r="M2562" s="694"/>
      <c r="N2562" s="694"/>
      <c r="O2562" s="694" t="s">
        <v>1068</v>
      </c>
      <c r="P2562" s="694"/>
      <c r="Q2562" s="469"/>
      <c r="R2562" s="512" t="str">
        <f>R2561</f>
        <v>DELETE</v>
      </c>
    </row>
    <row r="2563" spans="2:18" ht="31.5" customHeight="1" x14ac:dyDescent="0.45">
      <c r="B2563" s="582"/>
      <c r="M2563" s="639"/>
      <c r="N2563" s="647"/>
      <c r="O2563" s="639"/>
      <c r="P2563" s="634"/>
      <c r="Q2563" s="469"/>
    </row>
    <row r="2564" spans="2:18" ht="31.5" customHeight="1" x14ac:dyDescent="0.45">
      <c r="B2564" s="582"/>
      <c r="C2564" s="449">
        <f>Criteria!C521</f>
        <v>0</v>
      </c>
      <c r="M2564" s="639">
        <f>-Criteria!F521</f>
        <v>0</v>
      </c>
      <c r="N2564" s="647"/>
      <c r="O2564" s="639">
        <f>Criteria!E521</f>
        <v>0</v>
      </c>
      <c r="P2564" s="634"/>
      <c r="Q2564" s="469"/>
      <c r="R2564" s="512" t="str">
        <f>IF(M2564=0,IF(O2564=0,"DELETE"," ")," ")</f>
        <v>DELETE</v>
      </c>
    </row>
    <row r="2565" spans="2:18" ht="31.5" customHeight="1" x14ac:dyDescent="0.45">
      <c r="B2565" s="582"/>
      <c r="C2565" s="449">
        <f>Criteria!C522</f>
        <v>0</v>
      </c>
      <c r="M2565" s="639">
        <f>-Criteria!F522</f>
        <v>0</v>
      </c>
      <c r="N2565" s="647"/>
      <c r="O2565" s="639">
        <f>Criteria!E522</f>
        <v>0</v>
      </c>
      <c r="P2565" s="634"/>
      <c r="Q2565" s="469"/>
      <c r="R2565" s="512" t="str">
        <f t="shared" ref="R2565:R2573" si="149">IF(M2565=0,IF(O2565=0,"DELETE"," ")," ")</f>
        <v>DELETE</v>
      </c>
    </row>
    <row r="2566" spans="2:18" ht="31.5" customHeight="1" x14ac:dyDescent="0.45">
      <c r="B2566" s="582"/>
      <c r="C2566" s="449">
        <f>Criteria!C523</f>
        <v>0</v>
      </c>
      <c r="M2566" s="639">
        <f>-Criteria!F523</f>
        <v>0</v>
      </c>
      <c r="N2566" s="647"/>
      <c r="O2566" s="639">
        <f>Criteria!E523</f>
        <v>0</v>
      </c>
      <c r="P2566" s="634"/>
      <c r="Q2566" s="469"/>
      <c r="R2566" s="512" t="str">
        <f t="shared" si="149"/>
        <v>DELETE</v>
      </c>
    </row>
    <row r="2567" spans="2:18" ht="31.5" customHeight="1" x14ac:dyDescent="0.45">
      <c r="B2567" s="582"/>
      <c r="C2567" s="449">
        <f>Criteria!C524</f>
        <v>0</v>
      </c>
      <c r="M2567" s="639">
        <f>-Criteria!F524</f>
        <v>0</v>
      </c>
      <c r="N2567" s="647"/>
      <c r="O2567" s="639">
        <f>Criteria!E524</f>
        <v>0</v>
      </c>
      <c r="P2567" s="634"/>
      <c r="Q2567" s="469"/>
      <c r="R2567" s="512" t="str">
        <f t="shared" si="149"/>
        <v>DELETE</v>
      </c>
    </row>
    <row r="2568" spans="2:18" ht="31.5" customHeight="1" x14ac:dyDescent="0.45">
      <c r="B2568" s="582"/>
      <c r="C2568" s="449">
        <f>Criteria!C525</f>
        <v>0</v>
      </c>
      <c r="M2568" s="639">
        <f>-Criteria!F525</f>
        <v>0</v>
      </c>
      <c r="N2568" s="647"/>
      <c r="O2568" s="639">
        <f>Criteria!E525</f>
        <v>0</v>
      </c>
      <c r="P2568" s="634"/>
      <c r="Q2568" s="469"/>
      <c r="R2568" s="512" t="str">
        <f t="shared" si="149"/>
        <v>DELETE</v>
      </c>
    </row>
    <row r="2569" spans="2:18" ht="31.5" customHeight="1" x14ac:dyDescent="0.45">
      <c r="B2569" s="582"/>
      <c r="C2569" s="449">
        <f>Criteria!C526</f>
        <v>0</v>
      </c>
      <c r="M2569" s="639">
        <f>-Criteria!F526</f>
        <v>0</v>
      </c>
      <c r="N2569" s="647"/>
      <c r="O2569" s="639">
        <f>Criteria!E526</f>
        <v>0</v>
      </c>
      <c r="P2569" s="634"/>
      <c r="Q2569" s="469"/>
      <c r="R2569" s="512" t="str">
        <f t="shared" si="149"/>
        <v>DELETE</v>
      </c>
    </row>
    <row r="2570" spans="2:18" ht="31.5" customHeight="1" x14ac:dyDescent="0.45">
      <c r="B2570" s="582"/>
      <c r="C2570" s="449">
        <f>Criteria!C527</f>
        <v>0</v>
      </c>
      <c r="M2570" s="639">
        <f>-Criteria!F527</f>
        <v>0</v>
      </c>
      <c r="N2570" s="647"/>
      <c r="O2570" s="639">
        <f>Criteria!E527</f>
        <v>0</v>
      </c>
      <c r="P2570" s="634"/>
      <c r="Q2570" s="469"/>
      <c r="R2570" s="512" t="str">
        <f t="shared" si="149"/>
        <v>DELETE</v>
      </c>
    </row>
    <row r="2571" spans="2:18" ht="31.5" customHeight="1" x14ac:dyDescent="0.45">
      <c r="B2571" s="582"/>
      <c r="C2571" s="449">
        <f>Criteria!C528</f>
        <v>0</v>
      </c>
      <c r="M2571" s="639">
        <f>-Criteria!F528</f>
        <v>0</v>
      </c>
      <c r="N2571" s="647"/>
      <c r="O2571" s="639">
        <f>Criteria!E528</f>
        <v>0</v>
      </c>
      <c r="P2571" s="634"/>
      <c r="Q2571" s="469"/>
      <c r="R2571" s="512" t="str">
        <f t="shared" si="149"/>
        <v>DELETE</v>
      </c>
    </row>
    <row r="2572" spans="2:18" ht="31.5" customHeight="1" x14ac:dyDescent="0.45">
      <c r="B2572" s="582"/>
      <c r="C2572" s="449">
        <f>Criteria!C529</f>
        <v>0</v>
      </c>
      <c r="M2572" s="639">
        <f>-Criteria!F529</f>
        <v>0</v>
      </c>
      <c r="N2572" s="647"/>
      <c r="O2572" s="639">
        <f>Criteria!E529</f>
        <v>0</v>
      </c>
      <c r="P2572" s="634"/>
      <c r="Q2572" s="469"/>
      <c r="R2572" s="512" t="str">
        <f t="shared" si="149"/>
        <v>DELETE</v>
      </c>
    </row>
    <row r="2573" spans="2:18" ht="31.5" customHeight="1" x14ac:dyDescent="0.45">
      <c r="B2573" s="582"/>
      <c r="C2573" s="449">
        <f>Criteria!C530</f>
        <v>0</v>
      </c>
      <c r="M2573" s="639">
        <f>-Criteria!F530</f>
        <v>0</v>
      </c>
      <c r="N2573" s="647"/>
      <c r="O2573" s="639">
        <f>Criteria!E530</f>
        <v>0</v>
      </c>
      <c r="P2573" s="634"/>
      <c r="Q2573" s="469"/>
      <c r="R2573" s="512" t="str">
        <f t="shared" si="149"/>
        <v>DELETE</v>
      </c>
    </row>
    <row r="2574" spans="2:18" ht="31.5" customHeight="1" x14ac:dyDescent="0.45">
      <c r="B2574" s="582"/>
      <c r="M2574" s="639"/>
      <c r="N2574" s="647"/>
      <c r="O2574" s="639"/>
      <c r="P2574" s="634"/>
      <c r="Q2574" s="469"/>
    </row>
    <row r="2575" spans="2:18" ht="31.5" customHeight="1" x14ac:dyDescent="0.45">
      <c r="B2575" s="582"/>
      <c r="M2575" s="639"/>
      <c r="N2575" s="647"/>
      <c r="O2575" s="639"/>
      <c r="P2575" s="634"/>
      <c r="Q2575" s="469"/>
    </row>
    <row r="2576" spans="2:18" ht="31.5" customHeight="1" x14ac:dyDescent="0.45">
      <c r="B2576" s="567"/>
      <c r="C2576" s="461"/>
      <c r="D2576" s="461"/>
      <c r="E2576" s="461"/>
      <c r="F2576" s="461"/>
      <c r="G2576" s="461"/>
      <c r="H2576" s="461"/>
      <c r="I2576" s="461"/>
      <c r="J2576" s="461"/>
      <c r="K2576" s="461"/>
      <c r="L2576" s="461"/>
      <c r="M2576" s="640"/>
      <c r="N2576" s="646"/>
      <c r="O2576" s="640"/>
      <c r="P2576" s="631"/>
      <c r="Q2576" s="479"/>
    </row>
    <row r="2577" spans="2:24" ht="31.5" customHeight="1" x14ac:dyDescent="0.45">
      <c r="M2577" s="635"/>
      <c r="N2577" s="621"/>
      <c r="O2577" s="635"/>
    </row>
    <row r="2578" spans="2:24" ht="31.5" customHeight="1" x14ac:dyDescent="0.45">
      <c r="M2578" s="635"/>
      <c r="N2578" s="621"/>
      <c r="O2578" s="635"/>
    </row>
    <row r="2579" spans="2:24" ht="31.5" customHeight="1" x14ac:dyDescent="0.45">
      <c r="D2579" s="450" t="str">
        <f>Criteria!E9</f>
        <v>ABC COMPANY (PROPRIETARY) LIMITED</v>
      </c>
      <c r="M2579" s="635"/>
      <c r="N2579" s="621"/>
      <c r="O2579" s="531" t="s">
        <v>121</v>
      </c>
      <c r="Q2579" s="451">
        <f>MAX($Q$114:Q2578)+1</f>
        <v>65</v>
      </c>
    </row>
    <row r="2580" spans="2:24" ht="31.5" customHeight="1" x14ac:dyDescent="0.45">
      <c r="D2580" s="450" t="str">
        <f>IF(Criteria!E13=0," ",CONCATENATE("T/A ",Criteria!E13))</f>
        <v>T/A SEAFRONT HOTEL</v>
      </c>
      <c r="M2580" s="635"/>
      <c r="N2580" s="621"/>
      <c r="O2580" s="635"/>
      <c r="R2580" s="512" t="str">
        <f>IF(Criteria!E13=0,"DELETE"," ")</f>
        <v xml:space="preserve"> </v>
      </c>
    </row>
    <row r="2581" spans="2:24" ht="31.5" customHeight="1" x14ac:dyDescent="0.45">
      <c r="M2581" s="635"/>
      <c r="N2581" s="621"/>
      <c r="O2581" s="635"/>
    </row>
    <row r="2582" spans="2:24" ht="31.5" customHeight="1" x14ac:dyDescent="0.45">
      <c r="D2582" s="450" t="s">
        <v>115</v>
      </c>
      <c r="M2582" s="635"/>
      <c r="N2582" s="621"/>
      <c r="O2582" s="635"/>
    </row>
    <row r="2583" spans="2:24" ht="31.5" customHeight="1" x14ac:dyDescent="0.45">
      <c r="D2583" s="450" t="str">
        <f>Criteria!E20</f>
        <v>29 FEBRUARY 2024</v>
      </c>
      <c r="M2583" s="635"/>
      <c r="N2583" s="621"/>
      <c r="O2583" s="635"/>
    </row>
    <row r="2584" spans="2:24" ht="31.5" customHeight="1" x14ac:dyDescent="0.45">
      <c r="M2584" s="635"/>
      <c r="N2584" s="621"/>
      <c r="O2584" s="635"/>
    </row>
    <row r="2585" spans="2:24" ht="31.5" customHeight="1" x14ac:dyDescent="0.45">
      <c r="B2585" s="465"/>
      <c r="C2585" s="466"/>
      <c r="D2585" s="466"/>
      <c r="E2585" s="466"/>
      <c r="F2585" s="466"/>
      <c r="G2585" s="466"/>
      <c r="H2585" s="466"/>
      <c r="I2585" s="466"/>
      <c r="J2585" s="466"/>
      <c r="K2585" s="466"/>
      <c r="L2585" s="466"/>
      <c r="M2585" s="648"/>
      <c r="N2585" s="649"/>
      <c r="O2585" s="648"/>
      <c r="P2585" s="643"/>
      <c r="Q2585" s="467"/>
    </row>
    <row r="2586" spans="2:24" ht="31.5" customHeight="1" x14ac:dyDescent="0.45">
      <c r="B2586" s="468"/>
      <c r="J2586" s="451"/>
      <c r="K2586" s="451" t="s">
        <v>129</v>
      </c>
      <c r="L2586" s="451"/>
      <c r="M2586" s="525">
        <f>Criteria!E22</f>
        <v>2024</v>
      </c>
      <c r="N2586" s="458"/>
      <c r="O2586" s="525">
        <f>Criteria!E27</f>
        <v>2023</v>
      </c>
      <c r="P2586" s="459"/>
      <c r="Q2586" s="469"/>
    </row>
    <row r="2587" spans="2:24" ht="31.5" customHeight="1" x14ac:dyDescent="0.45">
      <c r="B2587" s="468"/>
      <c r="J2587" s="451"/>
      <c r="K2587" s="451"/>
      <c r="L2587" s="451"/>
      <c r="M2587" s="531"/>
      <c r="N2587" s="470"/>
      <c r="O2587" s="531"/>
      <c r="P2587" s="459"/>
      <c r="Q2587" s="469"/>
    </row>
    <row r="2588" spans="2:24" ht="31.5" customHeight="1" x14ac:dyDescent="0.45">
      <c r="B2588" s="468"/>
      <c r="C2588" s="450" t="s">
        <v>137</v>
      </c>
      <c r="J2588" s="451"/>
      <c r="K2588" s="451"/>
      <c r="L2588" s="451"/>
      <c r="M2588" s="531">
        <f>-SUM(TrialBalance!L5:L10)</f>
        <v>0</v>
      </c>
      <c r="N2588" s="470"/>
      <c r="O2588" s="531">
        <f>-SUM(TrialBalance!N5:N10)</f>
        <v>0</v>
      </c>
      <c r="P2588" s="459"/>
      <c r="Q2588" s="469"/>
      <c r="R2588" s="512" t="str">
        <f>IF(M2588+O2588=0,IF(M2590+O2590=0," ","DELETE")," ")</f>
        <v xml:space="preserve"> </v>
      </c>
      <c r="S2588" s="517">
        <f>M2588</f>
        <v>0</v>
      </c>
      <c r="T2588" s="517"/>
      <c r="U2588" s="517">
        <f>O2588</f>
        <v>0</v>
      </c>
      <c r="V2588" s="517"/>
      <c r="W2588" s="517"/>
      <c r="X2588" s="517"/>
    </row>
    <row r="2589" spans="2:24" ht="31.5" customHeight="1" x14ac:dyDescent="0.45">
      <c r="B2589" s="468"/>
      <c r="C2589" s="450"/>
      <c r="J2589" s="451"/>
      <c r="K2589" s="451"/>
      <c r="L2589" s="451"/>
      <c r="M2589" s="531"/>
      <c r="N2589" s="470"/>
      <c r="O2589" s="531"/>
      <c r="P2589" s="459"/>
      <c r="Q2589" s="469"/>
      <c r="R2589" s="512" t="str">
        <f>R2588</f>
        <v xml:space="preserve"> </v>
      </c>
      <c r="S2589" s="517"/>
      <c r="T2589" s="517"/>
      <c r="U2589" s="517"/>
      <c r="V2589" s="517"/>
      <c r="W2589" s="517"/>
      <c r="X2589" s="517"/>
    </row>
    <row r="2590" spans="2:24" ht="31.5" customHeight="1" x14ac:dyDescent="0.45">
      <c r="B2590" s="468"/>
      <c r="C2590" s="450" t="s">
        <v>606</v>
      </c>
      <c r="J2590" s="451"/>
      <c r="K2590" s="451"/>
      <c r="L2590" s="451"/>
      <c r="M2590" s="531">
        <f>-TrialBalance!L11</f>
        <v>0</v>
      </c>
      <c r="N2590" s="470"/>
      <c r="O2590" s="531">
        <f>-TrialBalance!N11</f>
        <v>0</v>
      </c>
      <c r="P2590" s="459"/>
      <c r="Q2590" s="469"/>
      <c r="R2590" s="512" t="str">
        <f>IF(M2590+O2590=0,"DELETE"," ")</f>
        <v>DELETE</v>
      </c>
      <c r="S2590" s="517">
        <f>M2590</f>
        <v>0</v>
      </c>
      <c r="T2590" s="517"/>
      <c r="U2590" s="517">
        <f>O2590</f>
        <v>0</v>
      </c>
      <c r="V2590" s="517"/>
      <c r="W2590" s="517"/>
      <c r="X2590" s="517"/>
    </row>
    <row r="2591" spans="2:24" ht="31.5" customHeight="1" x14ac:dyDescent="0.45">
      <c r="B2591" s="468"/>
      <c r="C2591" s="450"/>
      <c r="J2591" s="451"/>
      <c r="K2591" s="451"/>
      <c r="L2591" s="451"/>
      <c r="M2591" s="531"/>
      <c r="N2591" s="470"/>
      <c r="O2591" s="531"/>
      <c r="P2591" s="459"/>
      <c r="Q2591" s="469"/>
      <c r="R2591" s="512" t="str">
        <f>R2590</f>
        <v>DELETE</v>
      </c>
    </row>
    <row r="2592" spans="2:24" ht="31.5" customHeight="1" x14ac:dyDescent="0.45">
      <c r="B2592" s="468"/>
      <c r="C2592" s="450" t="s">
        <v>333</v>
      </c>
      <c r="J2592" s="451"/>
      <c r="K2592" s="451"/>
      <c r="L2592" s="451"/>
      <c r="M2592" s="531">
        <f>SUM(M2595:M2602)</f>
        <v>0</v>
      </c>
      <c r="N2592" s="470"/>
      <c r="O2592" s="531">
        <f>SUM(O2595:O2602)</f>
        <v>0</v>
      </c>
      <c r="P2592" s="459"/>
      <c r="Q2592" s="469"/>
      <c r="R2592" s="512" t="str">
        <f>IF(M2592=0,IF(O2592=0,"DELETE"," ")," ")</f>
        <v>DELETE</v>
      </c>
      <c r="S2592" s="517">
        <f>-M2592</f>
        <v>0</v>
      </c>
      <c r="T2592" s="517"/>
      <c r="U2592" s="517">
        <f>-O2592</f>
        <v>0</v>
      </c>
      <c r="V2592" s="517"/>
      <c r="W2592" s="517"/>
      <c r="X2592" s="517"/>
    </row>
    <row r="2593" spans="2:26" ht="9" customHeight="1" x14ac:dyDescent="0.45">
      <c r="B2593" s="468"/>
      <c r="C2593" s="450"/>
      <c r="J2593" s="451"/>
      <c r="K2593" s="451"/>
      <c r="L2593" s="451"/>
      <c r="M2593" s="531"/>
      <c r="N2593" s="470"/>
      <c r="O2593" s="531"/>
      <c r="P2593" s="459"/>
      <c r="Q2593" s="469"/>
      <c r="R2593" s="512" t="str">
        <f>R2592</f>
        <v>DELETE</v>
      </c>
    </row>
    <row r="2594" spans="2:26" ht="9" customHeight="1" x14ac:dyDescent="0.45">
      <c r="B2594" s="468"/>
      <c r="C2594" s="450"/>
      <c r="J2594" s="451"/>
      <c r="K2594" s="451"/>
      <c r="L2594" s="451"/>
      <c r="M2594" s="532"/>
      <c r="N2594" s="471"/>
      <c r="O2594" s="552"/>
      <c r="P2594" s="459"/>
      <c r="Q2594" s="469"/>
      <c r="R2594" s="512" t="str">
        <f>R2593</f>
        <v>DELETE</v>
      </c>
    </row>
    <row r="2595" spans="2:26" ht="31.5" customHeight="1" x14ac:dyDescent="0.45">
      <c r="B2595" s="468"/>
      <c r="C2595" s="450"/>
      <c r="D2595" s="449" t="s">
        <v>608</v>
      </c>
      <c r="J2595" s="451"/>
      <c r="K2595" s="451"/>
      <c r="L2595" s="451"/>
      <c r="M2595" s="533">
        <f>SUM(TrialBalance!L13:L16)</f>
        <v>0</v>
      </c>
      <c r="N2595" s="470"/>
      <c r="O2595" s="553">
        <f>SUM(TrialBalance!N13:N16)</f>
        <v>0</v>
      </c>
      <c r="P2595" s="459"/>
      <c r="Q2595" s="469"/>
      <c r="R2595" s="512" t="str">
        <f t="shared" ref="R2595:R2602" si="150">IF(M2595+O2595=0,"DELETE"," ")</f>
        <v>DELETE</v>
      </c>
    </row>
    <row r="2596" spans="2:26" ht="31.5" customHeight="1" x14ac:dyDescent="0.45">
      <c r="B2596" s="468"/>
      <c r="C2596" s="450"/>
      <c r="D2596" s="449" t="s">
        <v>334</v>
      </c>
      <c r="J2596" s="451"/>
      <c r="K2596" s="451"/>
      <c r="L2596" s="451"/>
      <c r="M2596" s="533">
        <f>TrialBalance!L17</f>
        <v>0</v>
      </c>
      <c r="N2596" s="470"/>
      <c r="O2596" s="553">
        <f>TrialBalance!N17</f>
        <v>0</v>
      </c>
      <c r="P2596" s="459"/>
      <c r="Q2596" s="469"/>
      <c r="R2596" s="512" t="str">
        <f t="shared" si="150"/>
        <v>DELETE</v>
      </c>
    </row>
    <row r="2597" spans="2:26" ht="31.5" customHeight="1" x14ac:dyDescent="0.45">
      <c r="B2597" s="468"/>
      <c r="C2597" s="450"/>
      <c r="D2597" s="449">
        <f>TrialBalance!C18</f>
        <v>0</v>
      </c>
      <c r="J2597" s="451"/>
      <c r="K2597" s="451"/>
      <c r="L2597" s="451"/>
      <c r="M2597" s="533">
        <f>TrialBalance!L18</f>
        <v>0</v>
      </c>
      <c r="N2597" s="470"/>
      <c r="O2597" s="553">
        <f>TrialBalance!N18</f>
        <v>0</v>
      </c>
      <c r="P2597" s="459"/>
      <c r="Q2597" s="469"/>
      <c r="R2597" s="512" t="str">
        <f t="shared" si="150"/>
        <v>DELETE</v>
      </c>
    </row>
    <row r="2598" spans="2:26" ht="31.5" customHeight="1" x14ac:dyDescent="0.45">
      <c r="B2598" s="468"/>
      <c r="C2598" s="450"/>
      <c r="D2598" s="449">
        <f>TrialBalance!C19</f>
        <v>0</v>
      </c>
      <c r="J2598" s="451"/>
      <c r="K2598" s="451"/>
      <c r="L2598" s="451"/>
      <c r="M2598" s="533">
        <f>TrialBalance!L19</f>
        <v>0</v>
      </c>
      <c r="N2598" s="470"/>
      <c r="O2598" s="553">
        <f>TrialBalance!N19</f>
        <v>0</v>
      </c>
      <c r="P2598" s="459"/>
      <c r="Q2598" s="469"/>
      <c r="R2598" s="512" t="str">
        <f t="shared" si="150"/>
        <v>DELETE</v>
      </c>
    </row>
    <row r="2599" spans="2:26" ht="31.5" customHeight="1" x14ac:dyDescent="0.45">
      <c r="B2599" s="468"/>
      <c r="C2599" s="450"/>
      <c r="D2599" s="449">
        <f>TrialBalance!C20</f>
        <v>0</v>
      </c>
      <c r="J2599" s="451"/>
      <c r="K2599" s="451"/>
      <c r="L2599" s="451"/>
      <c r="M2599" s="533">
        <f>TrialBalance!L20</f>
        <v>0</v>
      </c>
      <c r="N2599" s="470"/>
      <c r="O2599" s="553">
        <f>TrialBalance!N20</f>
        <v>0</v>
      </c>
      <c r="P2599" s="459"/>
      <c r="Q2599" s="469"/>
      <c r="R2599" s="512" t="str">
        <f t="shared" si="150"/>
        <v>DELETE</v>
      </c>
    </row>
    <row r="2600" spans="2:26" ht="31.5" customHeight="1" x14ac:dyDescent="0.45">
      <c r="B2600" s="468"/>
      <c r="C2600" s="450"/>
      <c r="D2600" s="449">
        <f>TrialBalance!C21</f>
        <v>0</v>
      </c>
      <c r="J2600" s="451"/>
      <c r="K2600" s="451"/>
      <c r="L2600" s="451"/>
      <c r="M2600" s="533">
        <f>TrialBalance!L21</f>
        <v>0</v>
      </c>
      <c r="N2600" s="470"/>
      <c r="O2600" s="553">
        <f>TrialBalance!N21</f>
        <v>0</v>
      </c>
      <c r="P2600" s="459"/>
      <c r="Q2600" s="469"/>
      <c r="R2600" s="512" t="str">
        <f t="shared" si="150"/>
        <v>DELETE</v>
      </c>
    </row>
    <row r="2601" spans="2:26" ht="31.5" customHeight="1" x14ac:dyDescent="0.45">
      <c r="B2601" s="468"/>
      <c r="C2601" s="450"/>
      <c r="D2601" s="449">
        <f>TrialBalance!C22</f>
        <v>0</v>
      </c>
      <c r="J2601" s="451"/>
      <c r="K2601" s="451"/>
      <c r="L2601" s="451"/>
      <c r="M2601" s="533">
        <f>TrialBalance!L22</f>
        <v>0</v>
      </c>
      <c r="N2601" s="470"/>
      <c r="O2601" s="553">
        <f>TrialBalance!N22</f>
        <v>0</v>
      </c>
      <c r="P2601" s="459"/>
      <c r="Q2601" s="469"/>
      <c r="R2601" s="512" t="str">
        <f t="shared" si="150"/>
        <v>DELETE</v>
      </c>
    </row>
    <row r="2602" spans="2:26" ht="31.5" customHeight="1" x14ac:dyDescent="0.45">
      <c r="B2602" s="468"/>
      <c r="C2602" s="450"/>
      <c r="D2602" s="449" t="s">
        <v>609</v>
      </c>
      <c r="J2602" s="451"/>
      <c r="K2602" s="451"/>
      <c r="L2602" s="451"/>
      <c r="M2602" s="533">
        <f>SUM(TrialBalance!L23:L26)</f>
        <v>0</v>
      </c>
      <c r="N2602" s="470"/>
      <c r="O2602" s="553">
        <f>SUM(TrialBalance!N23:N26)</f>
        <v>0</v>
      </c>
      <c r="P2602" s="459"/>
      <c r="Q2602" s="469"/>
      <c r="R2602" s="512" t="str">
        <f t="shared" si="150"/>
        <v>DELETE</v>
      </c>
    </row>
    <row r="2603" spans="2:26" ht="9" customHeight="1" x14ac:dyDescent="0.45">
      <c r="B2603" s="468"/>
      <c r="C2603" s="450"/>
      <c r="J2603" s="451"/>
      <c r="K2603" s="451"/>
      <c r="L2603" s="451"/>
      <c r="M2603" s="534"/>
      <c r="N2603" s="473"/>
      <c r="O2603" s="554"/>
      <c r="P2603" s="459"/>
      <c r="Q2603" s="469"/>
      <c r="R2603" s="512" t="str">
        <f>R2592</f>
        <v>DELETE</v>
      </c>
    </row>
    <row r="2604" spans="2:26" ht="9" customHeight="1" x14ac:dyDescent="0.45">
      <c r="B2604" s="468"/>
      <c r="C2604" s="450"/>
      <c r="J2604" s="451"/>
      <c r="K2604" s="451"/>
      <c r="L2604" s="451"/>
      <c r="M2604" s="535"/>
      <c r="N2604" s="473"/>
      <c r="O2604" s="535"/>
      <c r="P2604" s="459"/>
      <c r="Q2604" s="469"/>
      <c r="R2604" s="512" t="str">
        <f>R2592</f>
        <v>DELETE</v>
      </c>
    </row>
    <row r="2605" spans="2:26" ht="9" customHeight="1" x14ac:dyDescent="0.45">
      <c r="B2605" s="468"/>
      <c r="C2605" s="450"/>
      <c r="J2605" s="451"/>
      <c r="K2605" s="451"/>
      <c r="L2605" s="451"/>
      <c r="M2605" s="531"/>
      <c r="N2605" s="470"/>
      <c r="O2605" s="531"/>
      <c r="P2605" s="459"/>
      <c r="Q2605" s="469"/>
      <c r="R2605" s="512" t="str">
        <f>R2604</f>
        <v>DELETE</v>
      </c>
    </row>
    <row r="2606" spans="2:26" ht="31.5" customHeight="1" x14ac:dyDescent="0.45">
      <c r="B2606" s="468"/>
      <c r="C2606" s="492" t="str">
        <f>IF((Y2606+Z2606)=3,"GROSS PROFIT/(LOSS)",(IF((Y2606+Z2606=4),"GROSS PROFIT","GROSS LOSS")))</f>
        <v>GROSS PROFIT</v>
      </c>
      <c r="J2606" s="451"/>
      <c r="K2606" s="451"/>
      <c r="L2606" s="451"/>
      <c r="M2606" s="531">
        <f>SUM(S2588:S2603)</f>
        <v>0</v>
      </c>
      <c r="N2606" s="470"/>
      <c r="O2606" s="531">
        <f>SUM(U2588:U2603)</f>
        <v>0</v>
      </c>
      <c r="P2606" s="459"/>
      <c r="Q2606" s="469"/>
      <c r="R2606" s="512" t="str">
        <f>R2605</f>
        <v>DELETE</v>
      </c>
      <c r="Y2606" s="513">
        <f>IF(M2606&lt;0,1,IF(M2606=0,IF(O2606&lt;0,1,2),2))</f>
        <v>2</v>
      </c>
      <c r="Z2606" s="513">
        <f>IF(O2606&lt;0,1,IF(O2606=0,IF(M2606&lt;0,1,2),2))</f>
        <v>2</v>
      </c>
    </row>
    <row r="2607" spans="2:26" ht="31.5" customHeight="1" x14ac:dyDescent="0.45">
      <c r="B2607" s="468"/>
      <c r="C2607" s="450"/>
      <c r="J2607" s="451"/>
      <c r="K2607" s="451"/>
      <c r="L2607" s="451"/>
      <c r="M2607" s="531"/>
      <c r="N2607" s="470"/>
      <c r="O2607" s="531"/>
      <c r="P2607" s="459"/>
      <c r="Q2607" s="469"/>
      <c r="R2607" s="512" t="str">
        <f>R2606</f>
        <v>DELETE</v>
      </c>
    </row>
    <row r="2608" spans="2:26" ht="31.5" customHeight="1" x14ac:dyDescent="0.45">
      <c r="B2608" s="468"/>
      <c r="C2608" s="450" t="s">
        <v>385</v>
      </c>
      <c r="J2608" s="451"/>
      <c r="K2608" s="451"/>
      <c r="L2608" s="451"/>
      <c r="M2608" s="531">
        <f>SUM(M2610:M2617)</f>
        <v>0</v>
      </c>
      <c r="N2608" s="470"/>
      <c r="O2608" s="531">
        <f>SUM(O2610:O2617)</f>
        <v>0</v>
      </c>
      <c r="P2608" s="459"/>
      <c r="Q2608" s="469"/>
      <c r="R2608" s="512" t="str">
        <f>IF(M2608+O2608=0,"DELETE"," ")</f>
        <v>DELETE</v>
      </c>
      <c r="S2608" s="517">
        <f>M2608</f>
        <v>0</v>
      </c>
      <c r="T2608" s="517"/>
      <c r="U2608" s="517">
        <f>O2608</f>
        <v>0</v>
      </c>
    </row>
    <row r="2609" spans="2:24" ht="9" customHeight="1" x14ac:dyDescent="0.45">
      <c r="B2609" s="468"/>
      <c r="C2609" s="450"/>
      <c r="J2609" s="451"/>
      <c r="K2609" s="451"/>
      <c r="L2609" s="451"/>
      <c r="M2609" s="531"/>
      <c r="N2609" s="470"/>
      <c r="O2609" s="531"/>
      <c r="P2609" s="459"/>
      <c r="Q2609" s="469"/>
      <c r="R2609" s="512" t="str">
        <f>R2608</f>
        <v>DELETE</v>
      </c>
    </row>
    <row r="2610" spans="2:24" ht="9" customHeight="1" x14ac:dyDescent="0.45">
      <c r="B2610" s="468"/>
      <c r="C2610" s="450"/>
      <c r="J2610" s="451"/>
      <c r="K2610" s="451"/>
      <c r="L2610" s="451"/>
      <c r="M2610" s="532"/>
      <c r="N2610" s="471"/>
      <c r="O2610" s="552"/>
      <c r="P2610" s="459"/>
      <c r="Q2610" s="469"/>
      <c r="R2610" s="512" t="str">
        <f>R2608</f>
        <v>DELETE</v>
      </c>
    </row>
    <row r="2611" spans="2:24" ht="31.5" customHeight="1" x14ac:dyDescent="0.45">
      <c r="B2611" s="468"/>
      <c r="C2611" s="450"/>
      <c r="D2611" s="449" t="str">
        <f>TrialBalance!C28</f>
        <v>Insurance claims - Seafront Hotel</v>
      </c>
      <c r="J2611" s="451"/>
      <c r="K2611" s="451"/>
      <c r="L2611" s="451"/>
      <c r="M2611" s="533">
        <f>-TrialBalance!L28</f>
        <v>0</v>
      </c>
      <c r="N2611" s="470"/>
      <c r="O2611" s="553">
        <f>-TrialBalance!N28</f>
        <v>0</v>
      </c>
      <c r="P2611" s="459"/>
      <c r="Q2611" s="469"/>
      <c r="R2611" s="512" t="str">
        <f t="shared" ref="R2611:R2616" si="151">IF(M2611+O2611=0,"DELETE"," ")</f>
        <v>DELETE</v>
      </c>
    </row>
    <row r="2612" spans="2:24" ht="31.5" customHeight="1" x14ac:dyDescent="0.45">
      <c r="B2612" s="468"/>
      <c r="C2612" s="450"/>
      <c r="D2612" s="449" t="str">
        <f>TrialBalance!C29</f>
        <v>Government grants received</v>
      </c>
      <c r="J2612" s="451"/>
      <c r="K2612" s="451"/>
      <c r="L2612" s="451"/>
      <c r="M2612" s="533">
        <f>-TrialBalance!L29</f>
        <v>0</v>
      </c>
      <c r="N2612" s="470"/>
      <c r="O2612" s="553">
        <f>-TrialBalance!N29</f>
        <v>0</v>
      </c>
      <c r="P2612" s="459"/>
      <c r="Q2612" s="469"/>
      <c r="R2612" s="512" t="str">
        <f t="shared" si="151"/>
        <v>DELETE</v>
      </c>
    </row>
    <row r="2613" spans="2:24" ht="31.5" customHeight="1" x14ac:dyDescent="0.45">
      <c r="B2613" s="468"/>
      <c r="C2613" s="450"/>
      <c r="D2613" s="449">
        <f>TrialBalance!C30</f>
        <v>0</v>
      </c>
      <c r="J2613" s="451"/>
      <c r="K2613" s="451"/>
      <c r="L2613" s="451"/>
      <c r="M2613" s="533">
        <f>-TrialBalance!L30</f>
        <v>0</v>
      </c>
      <c r="N2613" s="470"/>
      <c r="O2613" s="553">
        <f>-TrialBalance!N30</f>
        <v>0</v>
      </c>
      <c r="P2613" s="459"/>
      <c r="Q2613" s="469"/>
      <c r="R2613" s="512" t="str">
        <f t="shared" si="151"/>
        <v>DELETE</v>
      </c>
    </row>
    <row r="2614" spans="2:24" ht="31.5" customHeight="1" x14ac:dyDescent="0.45">
      <c r="B2614" s="468"/>
      <c r="C2614" s="450"/>
      <c r="D2614" s="449">
        <f>TrialBalance!C31</f>
        <v>0</v>
      </c>
      <c r="J2614" s="451"/>
      <c r="K2614" s="451"/>
      <c r="L2614" s="451"/>
      <c r="M2614" s="533">
        <f>-TrialBalance!L31</f>
        <v>0</v>
      </c>
      <c r="N2614" s="470"/>
      <c r="O2614" s="553">
        <f>-TrialBalance!N31</f>
        <v>0</v>
      </c>
      <c r="P2614" s="459"/>
      <c r="Q2614" s="469"/>
      <c r="R2614" s="512" t="str">
        <f t="shared" si="151"/>
        <v>DELETE</v>
      </c>
    </row>
    <row r="2615" spans="2:24" ht="31.5" customHeight="1" x14ac:dyDescent="0.45">
      <c r="B2615" s="468"/>
      <c r="C2615" s="450"/>
      <c r="D2615" s="449">
        <f>TrialBalance!C32</f>
        <v>0</v>
      </c>
      <c r="J2615" s="451"/>
      <c r="K2615" s="451"/>
      <c r="L2615" s="451"/>
      <c r="M2615" s="533">
        <f>-TrialBalance!L32</f>
        <v>0</v>
      </c>
      <c r="N2615" s="470"/>
      <c r="O2615" s="553">
        <f>-TrialBalance!N32</f>
        <v>0</v>
      </c>
      <c r="P2615" s="459"/>
      <c r="Q2615" s="469"/>
      <c r="R2615" s="512" t="str">
        <f t="shared" si="151"/>
        <v>DELETE</v>
      </c>
    </row>
    <row r="2616" spans="2:24" ht="31.5" customHeight="1" x14ac:dyDescent="0.45">
      <c r="B2616" s="468"/>
      <c r="C2616" s="450"/>
      <c r="D2616" s="449" t="str">
        <f>TrialBalance!C33</f>
        <v>Recoupment of depreciation</v>
      </c>
      <c r="J2616" s="451"/>
      <c r="K2616" s="451"/>
      <c r="L2616" s="451"/>
      <c r="M2616" s="533">
        <f>-TrialBalance!L33</f>
        <v>0</v>
      </c>
      <c r="N2616" s="470"/>
      <c r="O2616" s="553">
        <f>-TrialBalance!N33</f>
        <v>0</v>
      </c>
      <c r="P2616" s="459"/>
      <c r="Q2616" s="469"/>
      <c r="R2616" s="512" t="str">
        <f t="shared" si="151"/>
        <v>DELETE</v>
      </c>
    </row>
    <row r="2617" spans="2:24" ht="9" customHeight="1" x14ac:dyDescent="0.45">
      <c r="B2617" s="468"/>
      <c r="C2617" s="450"/>
      <c r="J2617" s="451"/>
      <c r="K2617" s="451"/>
      <c r="L2617" s="451"/>
      <c r="M2617" s="534"/>
      <c r="N2617" s="473"/>
      <c r="O2617" s="554"/>
      <c r="P2617" s="459"/>
      <c r="Q2617" s="469"/>
      <c r="R2617" s="512" t="str">
        <f>R2608</f>
        <v>DELETE</v>
      </c>
    </row>
    <row r="2618" spans="2:24" ht="9" customHeight="1" x14ac:dyDescent="0.45">
      <c r="B2618" s="468"/>
      <c r="C2618" s="450"/>
      <c r="J2618" s="451"/>
      <c r="K2618" s="451"/>
      <c r="L2618" s="451"/>
      <c r="M2618" s="547"/>
      <c r="N2618" s="496"/>
      <c r="O2618" s="547"/>
      <c r="P2618" s="459"/>
      <c r="Q2618" s="469"/>
      <c r="R2618" s="512" t="str">
        <f>R2617</f>
        <v>DELETE</v>
      </c>
    </row>
    <row r="2619" spans="2:24" ht="9" customHeight="1" x14ac:dyDescent="0.45">
      <c r="B2619" s="468"/>
      <c r="C2619" s="450"/>
      <c r="J2619" s="451"/>
      <c r="K2619" s="451"/>
      <c r="L2619" s="451"/>
      <c r="M2619" s="531"/>
      <c r="N2619" s="470"/>
      <c r="O2619" s="531"/>
      <c r="P2619" s="459"/>
      <c r="Q2619" s="469"/>
      <c r="R2619" s="512" t="str">
        <f>R2618</f>
        <v>DELETE</v>
      </c>
    </row>
    <row r="2620" spans="2:24" ht="31.5" customHeight="1" x14ac:dyDescent="0.45">
      <c r="B2620" s="468"/>
      <c r="C2620" s="450"/>
      <c r="J2620" s="451"/>
      <c r="K2620" s="451"/>
      <c r="L2620" s="451"/>
      <c r="M2620" s="531">
        <f>SUM(S2588:S2608)</f>
        <v>0</v>
      </c>
      <c r="N2620" s="470"/>
      <c r="O2620" s="531">
        <f>SUM(U2588:U2608)</f>
        <v>0</v>
      </c>
      <c r="P2620" s="459"/>
      <c r="Q2620" s="469"/>
      <c r="R2620" s="512" t="str">
        <f>R2608</f>
        <v>DELETE</v>
      </c>
    </row>
    <row r="2621" spans="2:24" ht="31.5" customHeight="1" x14ac:dyDescent="0.45">
      <c r="B2621" s="468"/>
      <c r="C2621" s="450"/>
      <c r="J2621" s="451"/>
      <c r="K2621" s="451"/>
      <c r="L2621" s="451"/>
      <c r="M2621" s="531"/>
      <c r="N2621" s="470"/>
      <c r="O2621" s="531"/>
      <c r="P2621" s="459"/>
      <c r="Q2621" s="469"/>
      <c r="R2621" s="512" t="str">
        <f>R2620</f>
        <v>DELETE</v>
      </c>
    </row>
    <row r="2622" spans="2:24" ht="31.5" customHeight="1" x14ac:dyDescent="0.45">
      <c r="B2622" s="468"/>
      <c r="C2622" s="450" t="s">
        <v>1416</v>
      </c>
      <c r="J2622" s="451"/>
      <c r="K2622" s="451"/>
      <c r="L2622" s="451"/>
      <c r="M2622" s="531">
        <f>SUM(M2624:M2652)</f>
        <v>0</v>
      </c>
      <c r="N2622" s="470"/>
      <c r="O2622" s="531">
        <f>SUM(O2624:O2652)</f>
        <v>0</v>
      </c>
      <c r="P2622" s="459"/>
      <c r="Q2622" s="469"/>
      <c r="R2622" s="512" t="str">
        <f>IF(M2622+O2622=0,"DELETE"," ")</f>
        <v>DELETE</v>
      </c>
      <c r="S2622" s="517">
        <f>-M2622</f>
        <v>0</v>
      </c>
      <c r="T2622" s="517"/>
      <c r="U2622" s="517">
        <f>-O2622</f>
        <v>0</v>
      </c>
      <c r="V2622" s="517"/>
      <c r="W2622" s="517"/>
      <c r="X2622" s="517"/>
    </row>
    <row r="2623" spans="2:24" ht="9" customHeight="1" x14ac:dyDescent="0.45">
      <c r="B2623" s="468"/>
      <c r="C2623" s="450"/>
      <c r="J2623" s="451"/>
      <c r="K2623" s="451"/>
      <c r="L2623" s="451"/>
      <c r="M2623" s="531"/>
      <c r="N2623" s="470"/>
      <c r="O2623" s="531"/>
      <c r="P2623" s="459"/>
      <c r="Q2623" s="469"/>
      <c r="R2623" s="512" t="str">
        <f>R2622</f>
        <v>DELETE</v>
      </c>
    </row>
    <row r="2624" spans="2:24" ht="9" customHeight="1" x14ac:dyDescent="0.45">
      <c r="B2624" s="468"/>
      <c r="C2624" s="450"/>
      <c r="J2624" s="451"/>
      <c r="K2624" s="451"/>
      <c r="L2624" s="451"/>
      <c r="M2624" s="532"/>
      <c r="N2624" s="471"/>
      <c r="O2624" s="552"/>
      <c r="P2624" s="459"/>
      <c r="Q2624" s="469"/>
      <c r="R2624" s="512" t="str">
        <f>R2623</f>
        <v>DELETE</v>
      </c>
    </row>
    <row r="2625" spans="2:24" ht="31.5" customHeight="1" x14ac:dyDescent="0.45">
      <c r="B2625" s="468"/>
      <c r="C2625" s="450"/>
      <c r="D2625" s="449" t="s">
        <v>335</v>
      </c>
      <c r="J2625" s="451"/>
      <c r="K2625" s="451"/>
      <c r="L2625" s="451"/>
      <c r="M2625" s="533">
        <f>TrialBalance!L40</f>
        <v>0</v>
      </c>
      <c r="N2625" s="470"/>
      <c r="O2625" s="553">
        <f>TrialBalance!N40</f>
        <v>0</v>
      </c>
      <c r="P2625" s="459"/>
      <c r="Q2625" s="469"/>
      <c r="R2625" s="512" t="str">
        <f t="shared" ref="R2625:R2642" si="152">IF(M2625+O2625=0,"DELETE"," ")</f>
        <v>DELETE</v>
      </c>
    </row>
    <row r="2626" spans="2:24" ht="31.5" customHeight="1" x14ac:dyDescent="0.45">
      <c r="B2626" s="468"/>
      <c r="C2626" s="450"/>
      <c r="D2626" s="449" t="s">
        <v>888</v>
      </c>
      <c r="J2626" s="451"/>
      <c r="K2626" s="451"/>
      <c r="L2626" s="451"/>
      <c r="M2626" s="533">
        <f>TrialBalance!L41</f>
        <v>0</v>
      </c>
      <c r="N2626" s="470"/>
      <c r="O2626" s="553">
        <f>TrialBalance!N41</f>
        <v>0</v>
      </c>
      <c r="P2626" s="459"/>
      <c r="Q2626" s="469"/>
      <c r="R2626" s="512" t="str">
        <f t="shared" si="152"/>
        <v>DELETE</v>
      </c>
    </row>
    <row r="2627" spans="2:24" ht="31.5" customHeight="1" x14ac:dyDescent="0.45">
      <c r="B2627" s="468"/>
      <c r="C2627" s="450"/>
      <c r="D2627" s="449" t="s">
        <v>336</v>
      </c>
      <c r="J2627" s="451"/>
      <c r="K2627" s="451"/>
      <c r="L2627" s="451"/>
      <c r="M2627" s="533">
        <f>TrialBalance!L42</f>
        <v>0</v>
      </c>
      <c r="N2627" s="470"/>
      <c r="O2627" s="553">
        <f>TrialBalance!N42</f>
        <v>0</v>
      </c>
      <c r="P2627" s="459"/>
      <c r="Q2627" s="469"/>
      <c r="R2627" s="512" t="str">
        <f t="shared" si="152"/>
        <v>DELETE</v>
      </c>
    </row>
    <row r="2628" spans="2:24" ht="31.5" customHeight="1" x14ac:dyDescent="0.45">
      <c r="B2628" s="468"/>
      <c r="C2628" s="450"/>
      <c r="D2628" s="449" t="s">
        <v>337</v>
      </c>
      <c r="J2628" s="451"/>
      <c r="K2628" s="451">
        <f>C$1203</f>
        <v>5.2999999999999989</v>
      </c>
      <c r="L2628" s="451"/>
      <c r="M2628" s="533">
        <f>SUM(TrialBalance!L44:L46)</f>
        <v>0</v>
      </c>
      <c r="N2628" s="470"/>
      <c r="O2628" s="553">
        <f>SUM(TrialBalance!N44:N46)</f>
        <v>0</v>
      </c>
      <c r="P2628" s="459"/>
      <c r="Q2628" s="469"/>
      <c r="R2628" s="512" t="str">
        <f t="shared" si="152"/>
        <v>DELETE</v>
      </c>
    </row>
    <row r="2629" spans="2:24" ht="31.5" customHeight="1" x14ac:dyDescent="0.45">
      <c r="B2629" s="468"/>
      <c r="C2629" s="450"/>
      <c r="D2629" s="449" t="s">
        <v>610</v>
      </c>
      <c r="J2629" s="451"/>
      <c r="K2629" s="451"/>
      <c r="L2629" s="451"/>
      <c r="M2629" s="533">
        <f>TrialBalance!L47</f>
        <v>0</v>
      </c>
      <c r="N2629" s="470"/>
      <c r="O2629" s="553">
        <f>TrialBalance!N47</f>
        <v>0</v>
      </c>
      <c r="P2629" s="459"/>
      <c r="Q2629" s="469"/>
      <c r="R2629" s="512" t="str">
        <f t="shared" si="152"/>
        <v>DELETE</v>
      </c>
      <c r="S2629" s="518"/>
      <c r="T2629" s="518"/>
      <c r="U2629" s="518"/>
      <c r="V2629" s="518"/>
      <c r="W2629" s="518"/>
      <c r="X2629" s="518"/>
    </row>
    <row r="2630" spans="2:24" ht="31.5" customHeight="1" x14ac:dyDescent="0.45">
      <c r="B2630" s="468"/>
      <c r="C2630" s="450"/>
      <c r="D2630" s="449" t="s">
        <v>933</v>
      </c>
      <c r="J2630" s="451"/>
      <c r="K2630" s="451"/>
      <c r="L2630" s="451"/>
      <c r="M2630" s="533">
        <f>TrialBalance!L48</f>
        <v>0</v>
      </c>
      <c r="N2630" s="470"/>
      <c r="O2630" s="553">
        <f>TrialBalance!N48</f>
        <v>0</v>
      </c>
      <c r="P2630" s="459"/>
      <c r="Q2630" s="469"/>
      <c r="R2630" s="512" t="str">
        <f t="shared" si="152"/>
        <v>DELETE</v>
      </c>
    </row>
    <row r="2631" spans="2:24" ht="31.5" customHeight="1" x14ac:dyDescent="0.45">
      <c r="B2631" s="468"/>
      <c r="C2631" s="450"/>
      <c r="D2631" s="449" t="s">
        <v>74</v>
      </c>
      <c r="J2631" s="451"/>
      <c r="K2631" s="451"/>
      <c r="L2631" s="451"/>
      <c r="M2631" s="533">
        <f>TrialBalance!L49</f>
        <v>0</v>
      </c>
      <c r="N2631" s="470"/>
      <c r="O2631" s="553">
        <f>TrialBalance!N49</f>
        <v>0</v>
      </c>
      <c r="P2631" s="459"/>
      <c r="Q2631" s="469"/>
      <c r="R2631" s="512" t="str">
        <f t="shared" si="152"/>
        <v>DELETE</v>
      </c>
    </row>
    <row r="2632" spans="2:24" ht="31.5" customHeight="1" x14ac:dyDescent="0.45">
      <c r="B2632" s="468"/>
      <c r="C2632" s="450"/>
      <c r="D2632" s="449" t="s">
        <v>338</v>
      </c>
      <c r="J2632" s="451"/>
      <c r="K2632" s="451"/>
      <c r="L2632" s="451"/>
      <c r="M2632" s="533">
        <f>TrialBalance!L50</f>
        <v>0</v>
      </c>
      <c r="N2632" s="470"/>
      <c r="O2632" s="553">
        <f>TrialBalance!N50</f>
        <v>0</v>
      </c>
      <c r="P2632" s="459"/>
      <c r="Q2632" s="469"/>
      <c r="R2632" s="512" t="str">
        <f t="shared" si="152"/>
        <v>DELETE</v>
      </c>
    </row>
    <row r="2633" spans="2:24" ht="31.5" customHeight="1" x14ac:dyDescent="0.45">
      <c r="B2633" s="468"/>
      <c r="C2633" s="450"/>
      <c r="D2633" s="449" t="s">
        <v>632</v>
      </c>
      <c r="J2633" s="451"/>
      <c r="K2633" s="451"/>
      <c r="L2633" s="451"/>
      <c r="M2633" s="533">
        <f>SUM(TrialBalance!L51:L52)</f>
        <v>0</v>
      </c>
      <c r="N2633" s="470"/>
      <c r="O2633" s="553">
        <f>SUM(TrialBalance!N51:N52)</f>
        <v>0</v>
      </c>
      <c r="P2633" s="459"/>
      <c r="Q2633" s="469"/>
      <c r="R2633" s="512" t="str">
        <f t="shared" si="152"/>
        <v>DELETE</v>
      </c>
    </row>
    <row r="2634" spans="2:24" ht="31.5" customHeight="1" x14ac:dyDescent="0.45">
      <c r="B2634" s="468"/>
      <c r="C2634" s="450"/>
      <c r="D2634" s="449" t="s">
        <v>630</v>
      </c>
      <c r="J2634" s="451"/>
      <c r="K2634" s="451"/>
      <c r="L2634" s="451"/>
      <c r="M2634" s="533">
        <f>TrialBalance!L53</f>
        <v>0</v>
      </c>
      <c r="N2634" s="470"/>
      <c r="O2634" s="553">
        <f>TrialBalance!N53</f>
        <v>0</v>
      </c>
      <c r="P2634" s="459"/>
      <c r="Q2634" s="469"/>
      <c r="R2634" s="512" t="str">
        <f t="shared" si="152"/>
        <v>DELETE</v>
      </c>
    </row>
    <row r="2635" spans="2:24" ht="31.5" customHeight="1" x14ac:dyDescent="0.45">
      <c r="B2635" s="468"/>
      <c r="C2635" s="450"/>
      <c r="D2635" s="449" t="s">
        <v>611</v>
      </c>
      <c r="J2635" s="451"/>
      <c r="K2635" s="451"/>
      <c r="L2635" s="451"/>
      <c r="M2635" s="533">
        <f>SUM(TrialBalance!L55:L59)</f>
        <v>0</v>
      </c>
      <c r="N2635" s="470"/>
      <c r="O2635" s="553">
        <f>SUM(TrialBalance!N55:N59)</f>
        <v>0</v>
      </c>
      <c r="P2635" s="459"/>
      <c r="Q2635" s="469"/>
      <c r="R2635" s="512" t="str">
        <f t="shared" si="152"/>
        <v>DELETE</v>
      </c>
    </row>
    <row r="2636" spans="2:24" ht="31.5" customHeight="1" x14ac:dyDescent="0.45">
      <c r="B2636" s="468"/>
      <c r="C2636" s="450"/>
      <c r="D2636" s="449" t="s">
        <v>590</v>
      </c>
      <c r="J2636" s="451"/>
      <c r="K2636" s="451">
        <f>C$1171</f>
        <v>5.1999999999999993</v>
      </c>
      <c r="L2636" s="451"/>
      <c r="M2636" s="533">
        <f>SUM(TrialBalance!L61:L63)</f>
        <v>0</v>
      </c>
      <c r="N2636" s="470"/>
      <c r="O2636" s="553">
        <f>SUM(TrialBalance!N61:N63)</f>
        <v>0</v>
      </c>
      <c r="P2636" s="459"/>
      <c r="Q2636" s="469"/>
      <c r="R2636" s="512" t="str">
        <f t="shared" si="152"/>
        <v>DELETE</v>
      </c>
      <c r="X2636" s="517"/>
    </row>
    <row r="2637" spans="2:24" ht="31.5" customHeight="1" x14ac:dyDescent="0.45">
      <c r="B2637" s="468"/>
      <c r="C2637" s="450"/>
      <c r="D2637" s="449" t="s">
        <v>82</v>
      </c>
      <c r="J2637" s="451"/>
      <c r="K2637" s="451"/>
      <c r="L2637" s="451"/>
      <c r="M2637" s="533">
        <f>TrialBalance!L64</f>
        <v>0</v>
      </c>
      <c r="N2637" s="470"/>
      <c r="O2637" s="553">
        <f>TrialBalance!N64</f>
        <v>0</v>
      </c>
      <c r="P2637" s="459"/>
      <c r="Q2637" s="469"/>
      <c r="R2637" s="512" t="str">
        <f t="shared" si="152"/>
        <v>DELETE</v>
      </c>
    </row>
    <row r="2638" spans="2:24" ht="31.5" customHeight="1" x14ac:dyDescent="0.45">
      <c r="B2638" s="468"/>
      <c r="C2638" s="450"/>
      <c r="D2638" s="449" t="s">
        <v>309</v>
      </c>
      <c r="J2638" s="451"/>
      <c r="K2638" s="451"/>
      <c r="L2638" s="451"/>
      <c r="M2638" s="533">
        <f>SUM(TrialBalance!L65:L67)</f>
        <v>0</v>
      </c>
      <c r="N2638" s="470"/>
      <c r="O2638" s="553">
        <f>SUM(TrialBalance!N65:N67)</f>
        <v>0</v>
      </c>
      <c r="P2638" s="459"/>
      <c r="Q2638" s="469"/>
      <c r="R2638" s="512" t="str">
        <f t="shared" si="152"/>
        <v>DELETE</v>
      </c>
    </row>
    <row r="2639" spans="2:24" ht="31.5" customHeight="1" x14ac:dyDescent="0.45">
      <c r="B2639" s="468"/>
      <c r="C2639" s="450"/>
      <c r="D2639" s="449" t="s">
        <v>934</v>
      </c>
      <c r="J2639" s="451"/>
      <c r="K2639" s="451"/>
      <c r="L2639" s="451"/>
      <c r="M2639" s="533">
        <f>SUM(TrialBalance!L68:L69)</f>
        <v>0</v>
      </c>
      <c r="N2639" s="470"/>
      <c r="O2639" s="553">
        <f>SUM(TrialBalance!N68:N69)</f>
        <v>0</v>
      </c>
      <c r="P2639" s="459"/>
      <c r="Q2639" s="469"/>
      <c r="R2639" s="512" t="str">
        <f t="shared" si="152"/>
        <v>DELETE</v>
      </c>
    </row>
    <row r="2640" spans="2:24" ht="31.5" customHeight="1" x14ac:dyDescent="0.45">
      <c r="B2640" s="468"/>
      <c r="C2640" s="450"/>
      <c r="D2640" s="449" t="s">
        <v>310</v>
      </c>
      <c r="J2640" s="451"/>
      <c r="K2640" s="451"/>
      <c r="L2640" s="451"/>
      <c r="M2640" s="533">
        <f>TrialBalance!L70</f>
        <v>0</v>
      </c>
      <c r="N2640" s="470"/>
      <c r="O2640" s="553">
        <f>TrialBalance!N70</f>
        <v>0</v>
      </c>
      <c r="P2640" s="459"/>
      <c r="Q2640" s="469"/>
      <c r="R2640" s="512" t="str">
        <f t="shared" si="152"/>
        <v>DELETE</v>
      </c>
    </row>
    <row r="2641" spans="2:26" ht="31.5" customHeight="1" x14ac:dyDescent="0.45">
      <c r="B2641" s="468"/>
      <c r="C2641" s="450"/>
      <c r="D2641" s="449" t="s">
        <v>461</v>
      </c>
      <c r="J2641" s="451"/>
      <c r="K2641" s="451"/>
      <c r="L2641" s="451"/>
      <c r="M2641" s="533">
        <f>TrialBalance!L71</f>
        <v>0</v>
      </c>
      <c r="N2641" s="470"/>
      <c r="O2641" s="553">
        <f>TrialBalance!N71</f>
        <v>0</v>
      </c>
      <c r="P2641" s="459"/>
      <c r="Q2641" s="469"/>
      <c r="R2641" s="512" t="str">
        <f t="shared" si="152"/>
        <v>DELETE</v>
      </c>
    </row>
    <row r="2642" spans="2:26" ht="31.5" customHeight="1" x14ac:dyDescent="0.45">
      <c r="B2642" s="468"/>
      <c r="C2642" s="450"/>
      <c r="D2642" s="449">
        <f>TrialBalance!C72</f>
        <v>0</v>
      </c>
      <c r="J2642" s="451"/>
      <c r="K2642" s="451"/>
      <c r="L2642" s="451"/>
      <c r="M2642" s="533">
        <f>TrialBalance!L72</f>
        <v>0</v>
      </c>
      <c r="N2642" s="470"/>
      <c r="O2642" s="553">
        <f>TrialBalance!N72</f>
        <v>0</v>
      </c>
      <c r="P2642" s="459"/>
      <c r="Q2642" s="469"/>
      <c r="R2642" s="512" t="str">
        <f t="shared" si="152"/>
        <v>DELETE</v>
      </c>
    </row>
    <row r="2643" spans="2:26" ht="31.5" customHeight="1" x14ac:dyDescent="0.45">
      <c r="B2643" s="468"/>
      <c r="C2643" s="450"/>
      <c r="D2643" s="449">
        <f>TrialBalance!C73</f>
        <v>0</v>
      </c>
      <c r="J2643" s="451"/>
      <c r="K2643" s="451"/>
      <c r="L2643" s="451"/>
      <c r="M2643" s="533">
        <f>TrialBalance!L73</f>
        <v>0</v>
      </c>
      <c r="N2643" s="470"/>
      <c r="O2643" s="553">
        <f>TrialBalance!N73</f>
        <v>0</v>
      </c>
      <c r="P2643" s="459"/>
      <c r="Q2643" s="469"/>
      <c r="R2643" s="512" t="str">
        <f t="shared" ref="R2643:R2651" si="153">IF(M2643+O2643=0,"DELETE"," ")</f>
        <v>DELETE</v>
      </c>
    </row>
    <row r="2644" spans="2:26" ht="31.5" customHeight="1" x14ac:dyDescent="0.45">
      <c r="B2644" s="468"/>
      <c r="C2644" s="450"/>
      <c r="D2644" s="449">
        <f>TrialBalance!C74</f>
        <v>0</v>
      </c>
      <c r="J2644" s="451"/>
      <c r="K2644" s="451"/>
      <c r="L2644" s="451"/>
      <c r="M2644" s="533">
        <f>TrialBalance!L74</f>
        <v>0</v>
      </c>
      <c r="N2644" s="470"/>
      <c r="O2644" s="553">
        <f>TrialBalance!N74</f>
        <v>0</v>
      </c>
      <c r="P2644" s="459"/>
      <c r="Q2644" s="469"/>
      <c r="R2644" s="512" t="str">
        <f t="shared" si="153"/>
        <v>DELETE</v>
      </c>
    </row>
    <row r="2645" spans="2:26" ht="31.5" customHeight="1" x14ac:dyDescent="0.45">
      <c r="B2645" s="468"/>
      <c r="C2645" s="450"/>
      <c r="D2645" s="449">
        <f>TrialBalance!C75</f>
        <v>0</v>
      </c>
      <c r="J2645" s="451"/>
      <c r="K2645" s="451"/>
      <c r="L2645" s="451"/>
      <c r="M2645" s="533">
        <f>TrialBalance!L75</f>
        <v>0</v>
      </c>
      <c r="N2645" s="470"/>
      <c r="O2645" s="553">
        <f>TrialBalance!N75</f>
        <v>0</v>
      </c>
      <c r="P2645" s="459"/>
      <c r="Q2645" s="469"/>
      <c r="R2645" s="512" t="str">
        <f t="shared" si="153"/>
        <v>DELETE</v>
      </c>
    </row>
    <row r="2646" spans="2:26" ht="31.5" customHeight="1" x14ac:dyDescent="0.45">
      <c r="B2646" s="468"/>
      <c r="C2646" s="450"/>
      <c r="D2646" s="449">
        <f>TrialBalance!C76</f>
        <v>0</v>
      </c>
      <c r="J2646" s="451"/>
      <c r="K2646" s="451"/>
      <c r="L2646" s="451"/>
      <c r="M2646" s="533">
        <f>TrialBalance!L76</f>
        <v>0</v>
      </c>
      <c r="N2646" s="470"/>
      <c r="O2646" s="553">
        <f>TrialBalance!N76</f>
        <v>0</v>
      </c>
      <c r="P2646" s="459"/>
      <c r="Q2646" s="469"/>
      <c r="R2646" s="512" t="str">
        <f t="shared" si="153"/>
        <v>DELETE</v>
      </c>
    </row>
    <row r="2647" spans="2:26" ht="31.5" customHeight="1" x14ac:dyDescent="0.45">
      <c r="B2647" s="468"/>
      <c r="C2647" s="450"/>
      <c r="D2647" s="449">
        <f>TrialBalance!C77</f>
        <v>0</v>
      </c>
      <c r="J2647" s="451"/>
      <c r="K2647" s="451"/>
      <c r="L2647" s="451"/>
      <c r="M2647" s="533">
        <f>TrialBalance!L77</f>
        <v>0</v>
      </c>
      <c r="N2647" s="470"/>
      <c r="O2647" s="553">
        <f>TrialBalance!N77</f>
        <v>0</v>
      </c>
      <c r="P2647" s="459"/>
      <c r="Q2647" s="469"/>
      <c r="R2647" s="512" t="str">
        <f t="shared" si="153"/>
        <v>DELETE</v>
      </c>
    </row>
    <row r="2648" spans="2:26" ht="31.5" customHeight="1" x14ac:dyDescent="0.45">
      <c r="B2648" s="468"/>
      <c r="C2648" s="450"/>
      <c r="D2648" s="449">
        <f>TrialBalance!C78</f>
        <v>0</v>
      </c>
      <c r="J2648" s="451"/>
      <c r="K2648" s="451"/>
      <c r="L2648" s="451"/>
      <c r="M2648" s="533">
        <f>TrialBalance!L78</f>
        <v>0</v>
      </c>
      <c r="N2648" s="470"/>
      <c r="O2648" s="553">
        <f>TrialBalance!N78</f>
        <v>0</v>
      </c>
      <c r="P2648" s="459"/>
      <c r="Q2648" s="469"/>
      <c r="R2648" s="512" t="str">
        <f t="shared" si="153"/>
        <v>DELETE</v>
      </c>
    </row>
    <row r="2649" spans="2:26" ht="31.5" customHeight="1" x14ac:dyDescent="0.45">
      <c r="B2649" s="468"/>
      <c r="C2649" s="450"/>
      <c r="D2649" s="449">
        <f>TrialBalance!C79</f>
        <v>0</v>
      </c>
      <c r="J2649" s="451"/>
      <c r="K2649" s="451"/>
      <c r="L2649" s="451"/>
      <c r="M2649" s="533">
        <f>TrialBalance!L79</f>
        <v>0</v>
      </c>
      <c r="N2649" s="470"/>
      <c r="O2649" s="553">
        <f>TrialBalance!N79</f>
        <v>0</v>
      </c>
      <c r="P2649" s="459"/>
      <c r="Q2649" s="469"/>
      <c r="R2649" s="512" t="str">
        <f t="shared" si="153"/>
        <v>DELETE</v>
      </c>
    </row>
    <row r="2650" spans="2:26" ht="31.5" customHeight="1" x14ac:dyDescent="0.45">
      <c r="B2650" s="468"/>
      <c r="C2650" s="450"/>
      <c r="D2650" s="449">
        <f>TrialBalance!C80</f>
        <v>0</v>
      </c>
      <c r="J2650" s="451"/>
      <c r="K2650" s="451"/>
      <c r="L2650" s="451"/>
      <c r="M2650" s="533">
        <f>TrialBalance!L80</f>
        <v>0</v>
      </c>
      <c r="N2650" s="470"/>
      <c r="O2650" s="553">
        <f>TrialBalance!N80</f>
        <v>0</v>
      </c>
      <c r="P2650" s="459"/>
      <c r="Q2650" s="469"/>
      <c r="R2650" s="512" t="str">
        <f t="shared" si="153"/>
        <v>DELETE</v>
      </c>
    </row>
    <row r="2651" spans="2:26" ht="31.5" customHeight="1" x14ac:dyDescent="0.45">
      <c r="B2651" s="468"/>
      <c r="C2651" s="450"/>
      <c r="D2651" s="449">
        <f>TrialBalance!C81</f>
        <v>0</v>
      </c>
      <c r="J2651" s="451"/>
      <c r="K2651" s="451"/>
      <c r="L2651" s="451"/>
      <c r="M2651" s="533">
        <f>TrialBalance!L81</f>
        <v>0</v>
      </c>
      <c r="N2651" s="470"/>
      <c r="O2651" s="553">
        <f>TrialBalance!N81</f>
        <v>0</v>
      </c>
      <c r="P2651" s="459"/>
      <c r="Q2651" s="469"/>
      <c r="R2651" s="512" t="str">
        <f t="shared" si="153"/>
        <v>DELETE</v>
      </c>
    </row>
    <row r="2652" spans="2:26" ht="9" customHeight="1" x14ac:dyDescent="0.45">
      <c r="B2652" s="468"/>
      <c r="C2652" s="450"/>
      <c r="J2652" s="451"/>
      <c r="K2652" s="451"/>
      <c r="L2652" s="451"/>
      <c r="M2652" s="534"/>
      <c r="N2652" s="473"/>
      <c r="O2652" s="554"/>
      <c r="P2652" s="459"/>
      <c r="Q2652" s="469"/>
      <c r="R2652" s="512" t="str">
        <f>R2622</f>
        <v>DELETE</v>
      </c>
    </row>
    <row r="2653" spans="2:26" ht="9" customHeight="1" x14ac:dyDescent="0.45">
      <c r="B2653" s="468"/>
      <c r="C2653" s="450"/>
      <c r="J2653" s="451"/>
      <c r="K2653" s="451"/>
      <c r="L2653" s="451"/>
      <c r="M2653" s="535"/>
      <c r="N2653" s="473"/>
      <c r="O2653" s="535"/>
      <c r="P2653" s="459"/>
      <c r="Q2653" s="469"/>
    </row>
    <row r="2654" spans="2:26" ht="9" customHeight="1" x14ac:dyDescent="0.45">
      <c r="B2654" s="468"/>
      <c r="C2654" s="450"/>
      <c r="J2654" s="451"/>
      <c r="K2654" s="451"/>
      <c r="L2654" s="451"/>
      <c r="M2654" s="531"/>
      <c r="N2654" s="470"/>
      <c r="O2654" s="531"/>
      <c r="P2654" s="459"/>
      <c r="Q2654" s="469"/>
    </row>
    <row r="2655" spans="2:26" ht="27.75" customHeight="1" x14ac:dyDescent="0.45">
      <c r="B2655" s="468"/>
      <c r="C2655" s="492" t="str">
        <f>IF((Y2655+Z2655)=3,"OPERATING PROFIT/(LOSS)",(IF((Y2655+Z2655=4),"OPERATING PROFIT","OPERATING LOSS")))</f>
        <v>OPERATING PROFIT</v>
      </c>
      <c r="J2655" s="451"/>
      <c r="K2655" s="451"/>
      <c r="L2655" s="451"/>
      <c r="M2655" s="531">
        <f>SUM(S2588:S2653)</f>
        <v>0</v>
      </c>
      <c r="N2655" s="470"/>
      <c r="O2655" s="531">
        <f>SUM(U2588:U2653)</f>
        <v>0</v>
      </c>
      <c r="P2655" s="459"/>
      <c r="Q2655" s="469"/>
      <c r="Y2655" s="513">
        <f>IF(M2655&lt;0,1,IF(M2655=0,IF(O2655&lt;0,1,2),2))</f>
        <v>2</v>
      </c>
      <c r="Z2655" s="513">
        <f>IF(O2655&lt;0,1,IF(O2655=0,IF(M2655&lt;0,1,2),2))</f>
        <v>2</v>
      </c>
    </row>
    <row r="2656" spans="2:26" ht="31.5" customHeight="1" x14ac:dyDescent="0.45">
      <c r="B2656" s="468"/>
      <c r="C2656" s="450"/>
      <c r="D2656" s="449" t="s">
        <v>312</v>
      </c>
      <c r="J2656" s="451"/>
      <c r="K2656" s="451"/>
      <c r="L2656" s="451"/>
      <c r="M2656" s="531"/>
      <c r="N2656" s="470"/>
      <c r="O2656" s="531"/>
      <c r="P2656" s="459"/>
      <c r="Q2656" s="469"/>
    </row>
    <row r="2657" spans="2:26" ht="31.5" customHeight="1" x14ac:dyDescent="0.45">
      <c r="B2657" s="468"/>
      <c r="C2657" s="450"/>
      <c r="J2657" s="451"/>
      <c r="K2657" s="451"/>
      <c r="L2657" s="451"/>
      <c r="M2657" s="531"/>
      <c r="N2657" s="470"/>
      <c r="O2657" s="531"/>
      <c r="P2657" s="459"/>
      <c r="Q2657" s="469"/>
    </row>
    <row r="2658" spans="2:26" ht="31.5" customHeight="1" x14ac:dyDescent="0.45">
      <c r="B2658" s="468"/>
      <c r="C2658" s="450"/>
      <c r="J2658" s="451"/>
      <c r="K2658" s="451"/>
      <c r="L2658" s="451"/>
      <c r="M2658" s="531"/>
      <c r="N2658" s="470"/>
      <c r="O2658" s="531"/>
      <c r="P2658" s="459"/>
      <c r="Q2658" s="469"/>
    </row>
    <row r="2659" spans="2:26" ht="31.5" customHeight="1" x14ac:dyDescent="0.45">
      <c r="B2659" s="477"/>
      <c r="C2659" s="502"/>
      <c r="D2659" s="461"/>
      <c r="E2659" s="461"/>
      <c r="F2659" s="461"/>
      <c r="G2659" s="461"/>
      <c r="H2659" s="461"/>
      <c r="I2659" s="461"/>
      <c r="J2659" s="483"/>
      <c r="K2659" s="483"/>
      <c r="L2659" s="483"/>
      <c r="M2659" s="535"/>
      <c r="N2659" s="473"/>
      <c r="O2659" s="535"/>
      <c r="P2659" s="484"/>
      <c r="Q2659" s="479"/>
    </row>
    <row r="2660" spans="2:26" ht="31.5" customHeight="1" x14ac:dyDescent="0.45">
      <c r="C2660" s="450"/>
      <c r="J2660" s="451"/>
      <c r="K2660" s="451"/>
      <c r="L2660" s="451"/>
      <c r="M2660" s="531"/>
      <c r="N2660" s="470"/>
      <c r="O2660" s="531"/>
      <c r="P2660" s="459"/>
    </row>
    <row r="2661" spans="2:26" ht="31.5" customHeight="1" x14ac:dyDescent="0.45">
      <c r="C2661" s="450"/>
      <c r="J2661" s="451"/>
      <c r="K2661" s="451"/>
      <c r="L2661" s="451"/>
      <c r="M2661" s="531"/>
      <c r="N2661" s="470"/>
      <c r="O2661" s="531"/>
      <c r="P2661" s="459"/>
    </row>
    <row r="2662" spans="2:26" ht="31.5" customHeight="1" x14ac:dyDescent="0.45">
      <c r="C2662" s="450"/>
      <c r="D2662" s="450" t="str">
        <f>Criteria!E9</f>
        <v>ABC COMPANY (PROPRIETARY) LIMITED</v>
      </c>
      <c r="J2662" s="451"/>
      <c r="K2662" s="451"/>
      <c r="L2662" s="451"/>
      <c r="M2662" s="531"/>
      <c r="N2662" s="470"/>
      <c r="O2662" s="531" t="s">
        <v>121</v>
      </c>
      <c r="P2662" s="459"/>
      <c r="Q2662" s="451">
        <f>MAX($Q$114:Q2661)+1</f>
        <v>66</v>
      </c>
    </row>
    <row r="2663" spans="2:26" ht="31.5" customHeight="1" x14ac:dyDescent="0.45">
      <c r="C2663" s="450"/>
      <c r="D2663" s="450" t="str">
        <f>IF(Criteria!E13=0," ",CONCATENATE("T/A ",Criteria!E13))</f>
        <v>T/A SEAFRONT HOTEL</v>
      </c>
      <c r="J2663" s="451"/>
      <c r="K2663" s="451"/>
      <c r="L2663" s="451"/>
      <c r="M2663" s="531"/>
      <c r="N2663" s="470"/>
      <c r="O2663" s="531"/>
      <c r="P2663" s="459"/>
      <c r="R2663" s="512" t="str">
        <f>IF(Criteria!E13=0,"DELETE"," ")</f>
        <v xml:space="preserve"> </v>
      </c>
    </row>
    <row r="2664" spans="2:26" ht="31.5" customHeight="1" x14ac:dyDescent="0.45">
      <c r="C2664" s="450"/>
      <c r="J2664" s="451"/>
      <c r="K2664" s="451"/>
      <c r="L2664" s="451"/>
      <c r="M2664" s="531"/>
      <c r="N2664" s="470"/>
      <c r="O2664" s="531"/>
      <c r="P2664" s="459"/>
    </row>
    <row r="2665" spans="2:26" ht="31.5" customHeight="1" x14ac:dyDescent="0.45">
      <c r="C2665" s="450"/>
      <c r="D2665" s="450" t="s">
        <v>115</v>
      </c>
      <c r="J2665" s="451"/>
      <c r="K2665" s="451"/>
      <c r="L2665" s="451"/>
      <c r="M2665" s="531"/>
      <c r="N2665" s="470"/>
      <c r="O2665" s="531"/>
      <c r="P2665" s="459"/>
    </row>
    <row r="2666" spans="2:26" ht="31.5" customHeight="1" x14ac:dyDescent="0.45">
      <c r="C2666" s="450"/>
      <c r="D2666" s="450" t="str">
        <f>D2583</f>
        <v>29 FEBRUARY 2024</v>
      </c>
      <c r="H2666" s="449" t="s">
        <v>127</v>
      </c>
      <c r="J2666" s="451"/>
      <c r="K2666" s="451"/>
      <c r="L2666" s="451"/>
      <c r="M2666" s="531"/>
      <c r="N2666" s="470"/>
      <c r="O2666" s="531"/>
      <c r="P2666" s="459"/>
    </row>
    <row r="2667" spans="2:26" ht="31.5" customHeight="1" x14ac:dyDescent="0.45">
      <c r="C2667" s="450"/>
      <c r="J2667" s="451"/>
      <c r="K2667" s="483"/>
      <c r="L2667" s="483"/>
      <c r="M2667" s="535"/>
      <c r="N2667" s="473"/>
      <c r="O2667" s="535"/>
      <c r="P2667" s="459"/>
    </row>
    <row r="2668" spans="2:26" ht="31.5" customHeight="1" x14ac:dyDescent="0.45">
      <c r="B2668" s="465"/>
      <c r="C2668" s="503"/>
      <c r="D2668" s="466"/>
      <c r="E2668" s="466"/>
      <c r="F2668" s="466"/>
      <c r="G2668" s="466"/>
      <c r="H2668" s="466"/>
      <c r="I2668" s="466"/>
      <c r="J2668" s="511"/>
      <c r="M2668" s="635"/>
      <c r="N2668" s="621"/>
      <c r="O2668" s="635"/>
      <c r="P2668" s="506"/>
      <c r="Q2668" s="467"/>
    </row>
    <row r="2669" spans="2:26" ht="31.5" customHeight="1" x14ac:dyDescent="0.45">
      <c r="B2669" s="468"/>
      <c r="C2669" s="450"/>
      <c r="J2669" s="451"/>
      <c r="K2669" s="451" t="s">
        <v>129</v>
      </c>
      <c r="L2669" s="451"/>
      <c r="M2669" s="525">
        <f>Criteria!E22</f>
        <v>2024</v>
      </c>
      <c r="N2669" s="458"/>
      <c r="O2669" s="525">
        <f>Criteria!E27</f>
        <v>2023</v>
      </c>
      <c r="P2669" s="459"/>
      <c r="Q2669" s="469"/>
    </row>
    <row r="2670" spans="2:26" ht="31.5" customHeight="1" x14ac:dyDescent="0.45">
      <c r="B2670" s="468"/>
      <c r="C2670" s="450"/>
      <c r="J2670" s="451"/>
      <c r="K2670" s="451"/>
      <c r="L2670" s="451"/>
      <c r="M2670" s="531"/>
      <c r="N2670" s="470"/>
      <c r="O2670" s="531"/>
      <c r="P2670" s="459"/>
      <c r="Q2670" s="469"/>
    </row>
    <row r="2671" spans="2:26" ht="31.5" customHeight="1" x14ac:dyDescent="0.45">
      <c r="B2671" s="468"/>
      <c r="C2671" s="492" t="str">
        <f>IF((Y2671+Z2671)=3,"OPERATING PROFIT/(LOSS)",(IF((Y2671+Z2671=4),"OPERATING PROFIT","OPERATING LOSS")))</f>
        <v>OPERATING PROFIT</v>
      </c>
      <c r="J2671" s="451"/>
      <c r="K2671" s="451"/>
      <c r="L2671" s="451"/>
      <c r="M2671" s="531">
        <f>SUM(S2588:S2652)</f>
        <v>0</v>
      </c>
      <c r="N2671" s="470"/>
      <c r="O2671" s="531">
        <f>SUM(U2588:U2652)</f>
        <v>0</v>
      </c>
      <c r="P2671" s="459"/>
      <c r="Q2671" s="469"/>
      <c r="V2671" s="513" t="b">
        <f>M2671=M2655</f>
        <v>1</v>
      </c>
      <c r="X2671" s="513" t="b">
        <f>O2671=O2655</f>
        <v>1</v>
      </c>
      <c r="Y2671" s="513">
        <f>IF(M2671&lt;0,1,IF(M2671=0,IF(O2671&lt;0,1,2),2))</f>
        <v>2</v>
      </c>
      <c r="Z2671" s="513">
        <f>IF(O2671&lt;0,1,IF(O2671=0,IF(M2671&lt;0,1,2),2))</f>
        <v>2</v>
      </c>
    </row>
    <row r="2672" spans="2:26" ht="31.5" customHeight="1" x14ac:dyDescent="0.45">
      <c r="B2672" s="468"/>
      <c r="C2672" s="450"/>
      <c r="D2672" s="449" t="s">
        <v>313</v>
      </c>
      <c r="J2672" s="451"/>
      <c r="K2672" s="451"/>
      <c r="L2672" s="451"/>
      <c r="M2672" s="531"/>
      <c r="N2672" s="470"/>
      <c r="O2672" s="531"/>
      <c r="P2672" s="459"/>
      <c r="Q2672" s="469"/>
    </row>
    <row r="2673" spans="2:24" ht="31.5" customHeight="1" x14ac:dyDescent="0.45">
      <c r="B2673" s="468"/>
      <c r="C2673" s="450"/>
      <c r="J2673" s="451"/>
      <c r="K2673" s="451"/>
      <c r="L2673" s="451"/>
      <c r="M2673" s="531"/>
      <c r="N2673" s="470"/>
      <c r="O2673" s="531"/>
      <c r="P2673" s="459"/>
      <c r="Q2673" s="469"/>
    </row>
    <row r="2674" spans="2:24" ht="31.5" customHeight="1" x14ac:dyDescent="0.45">
      <c r="B2674" s="468"/>
      <c r="C2674" s="450" t="s">
        <v>1307</v>
      </c>
      <c r="J2674" s="451"/>
      <c r="K2674" s="451"/>
      <c r="L2674" s="451"/>
      <c r="M2674" s="531">
        <f>SUM(M2677:M2711)</f>
        <v>0</v>
      </c>
      <c r="N2674" s="470"/>
      <c r="O2674" s="531">
        <f>SUM(O2677:O2711)</f>
        <v>0</v>
      </c>
      <c r="P2674" s="459"/>
      <c r="Q2674" s="469"/>
      <c r="R2674" s="512" t="str">
        <f>IF(M2674+O2674=0,"DELETE"," ")</f>
        <v>DELETE</v>
      </c>
      <c r="S2674" s="517">
        <f>-M2674</f>
        <v>0</v>
      </c>
      <c r="T2674" s="517"/>
      <c r="U2674" s="517">
        <f>-O2674</f>
        <v>0</v>
      </c>
      <c r="V2674" s="517"/>
      <c r="W2674" s="517"/>
      <c r="X2674" s="517"/>
    </row>
    <row r="2675" spans="2:24" ht="9" customHeight="1" x14ac:dyDescent="0.45">
      <c r="B2675" s="468"/>
      <c r="C2675" s="450"/>
      <c r="J2675" s="451"/>
      <c r="K2675" s="451"/>
      <c r="L2675" s="451"/>
      <c r="M2675" s="531"/>
      <c r="N2675" s="470"/>
      <c r="O2675" s="531"/>
      <c r="P2675" s="459"/>
      <c r="Q2675" s="469"/>
      <c r="R2675" s="512" t="str">
        <f>R2674</f>
        <v>DELETE</v>
      </c>
    </row>
    <row r="2676" spans="2:24" ht="9" customHeight="1" x14ac:dyDescent="0.45">
      <c r="B2676" s="468"/>
      <c r="C2676" s="450"/>
      <c r="J2676" s="451"/>
      <c r="K2676" s="451"/>
      <c r="L2676" s="451"/>
      <c r="M2676" s="532"/>
      <c r="N2676" s="471"/>
      <c r="O2676" s="552"/>
      <c r="P2676" s="459"/>
      <c r="Q2676" s="469"/>
      <c r="R2676" s="512" t="str">
        <f>R2675</f>
        <v>DELETE</v>
      </c>
    </row>
    <row r="2677" spans="2:24" ht="31.5" customHeight="1" x14ac:dyDescent="0.45">
      <c r="B2677" s="468"/>
      <c r="C2677" s="450"/>
      <c r="D2677" s="449" t="s">
        <v>253</v>
      </c>
      <c r="J2677" s="451"/>
      <c r="K2677" s="451"/>
      <c r="L2677" s="451"/>
      <c r="M2677" s="533">
        <f>SUM(TrialBalance!L101:L101)</f>
        <v>0</v>
      </c>
      <c r="N2677" s="470"/>
      <c r="O2677" s="553">
        <f>SUM(TrialBalance!N101:N101)</f>
        <v>0</v>
      </c>
      <c r="P2677" s="459"/>
      <c r="Q2677" s="469"/>
      <c r="R2677" s="512" t="str">
        <f t="shared" ref="R2677:R2704" si="154">IF(M2677+O2677=0,"DELETE"," ")</f>
        <v>DELETE</v>
      </c>
    </row>
    <row r="2678" spans="2:24" ht="31.5" customHeight="1" x14ac:dyDescent="0.45">
      <c r="B2678" s="468"/>
      <c r="C2678" s="450"/>
      <c r="D2678" s="449" t="s">
        <v>784</v>
      </c>
      <c r="J2678" s="451"/>
      <c r="K2678" s="451"/>
      <c r="L2678" s="451"/>
      <c r="M2678" s="533">
        <f>SUM(TrialBalance!L98:L100)</f>
        <v>0</v>
      </c>
      <c r="N2678" s="470"/>
      <c r="O2678" s="553">
        <f>SUM(TrialBalance!N98:N100)</f>
        <v>0</v>
      </c>
      <c r="P2678" s="459"/>
      <c r="Q2678" s="469"/>
      <c r="R2678" s="512" t="str">
        <f t="shared" si="154"/>
        <v>DELETE</v>
      </c>
    </row>
    <row r="2679" spans="2:24" ht="31.5" customHeight="1" x14ac:dyDescent="0.45">
      <c r="B2679" s="468"/>
      <c r="C2679" s="450"/>
      <c r="D2679" s="449" t="s">
        <v>257</v>
      </c>
      <c r="J2679" s="451"/>
      <c r="K2679" s="451"/>
      <c r="L2679" s="451"/>
      <c r="M2679" s="533">
        <f>TrialBalance!L103</f>
        <v>0</v>
      </c>
      <c r="N2679" s="470"/>
      <c r="O2679" s="553">
        <f>TrialBalance!N103</f>
        <v>0</v>
      </c>
      <c r="P2679" s="459"/>
      <c r="Q2679" s="469"/>
      <c r="R2679" s="512" t="str">
        <f t="shared" ref="R2679" si="155">IF(M2679+O2679=0,"DELETE"," ")</f>
        <v>DELETE</v>
      </c>
    </row>
    <row r="2680" spans="2:24" ht="31.5" customHeight="1" x14ac:dyDescent="0.45">
      <c r="B2680" s="468"/>
      <c r="C2680" s="450"/>
      <c r="D2680" s="449" t="s">
        <v>255</v>
      </c>
      <c r="J2680" s="451"/>
      <c r="K2680" s="451"/>
      <c r="L2680" s="451"/>
      <c r="M2680" s="533">
        <f>TrialBalance!L102</f>
        <v>0</v>
      </c>
      <c r="N2680" s="470"/>
      <c r="O2680" s="553">
        <f>TrialBalance!N102</f>
        <v>0</v>
      </c>
      <c r="P2680" s="459"/>
      <c r="Q2680" s="469"/>
      <c r="R2680" s="512" t="str">
        <f t="shared" si="154"/>
        <v>DELETE</v>
      </c>
    </row>
    <row r="2681" spans="2:24" ht="31.5" customHeight="1" x14ac:dyDescent="0.45">
      <c r="B2681" s="468"/>
      <c r="C2681" s="450"/>
      <c r="D2681" s="449" t="s">
        <v>314</v>
      </c>
      <c r="J2681" s="451"/>
      <c r="K2681" s="451"/>
      <c r="L2681" s="451"/>
      <c r="M2681" s="533">
        <f>TrialBalance!L104</f>
        <v>0</v>
      </c>
      <c r="N2681" s="470"/>
      <c r="O2681" s="553">
        <f>TrialBalance!N104</f>
        <v>0</v>
      </c>
      <c r="P2681" s="459"/>
      <c r="Q2681" s="469"/>
      <c r="R2681" s="512" t="str">
        <f t="shared" si="154"/>
        <v>DELETE</v>
      </c>
    </row>
    <row r="2682" spans="2:24" ht="31.5" customHeight="1" x14ac:dyDescent="0.45">
      <c r="B2682" s="468"/>
      <c r="C2682" s="450"/>
      <c r="D2682" s="449" t="s">
        <v>260</v>
      </c>
      <c r="J2682" s="451"/>
      <c r="K2682" s="451"/>
      <c r="L2682" s="451"/>
      <c r="M2682" s="533">
        <f>TrialBalance!L105</f>
        <v>0</v>
      </c>
      <c r="N2682" s="470"/>
      <c r="O2682" s="553">
        <f>TrialBalance!N105</f>
        <v>0</v>
      </c>
      <c r="P2682" s="459"/>
      <c r="Q2682" s="469"/>
      <c r="R2682" s="512" t="str">
        <f t="shared" si="154"/>
        <v>DELETE</v>
      </c>
    </row>
    <row r="2683" spans="2:24" ht="31.5" customHeight="1" x14ac:dyDescent="0.45">
      <c r="B2683" s="468"/>
      <c r="C2683" s="450"/>
      <c r="D2683" s="449" t="s">
        <v>935</v>
      </c>
      <c r="J2683" s="451"/>
      <c r="K2683" s="451"/>
      <c r="L2683" s="451"/>
      <c r="M2683" s="533">
        <f>TrialBalance!L106</f>
        <v>0</v>
      </c>
      <c r="N2683" s="470"/>
      <c r="O2683" s="553">
        <f>TrialBalance!N106</f>
        <v>0</v>
      </c>
      <c r="P2683" s="459"/>
      <c r="Q2683" s="469"/>
      <c r="R2683" s="512" t="str">
        <f t="shared" ref="R2683" si="156">IF(M2683+O2683=0,"DELETE"," ")</f>
        <v>DELETE</v>
      </c>
    </row>
    <row r="2684" spans="2:24" ht="31.5" customHeight="1" x14ac:dyDescent="0.45">
      <c r="B2684" s="468"/>
      <c r="C2684" s="450"/>
      <c r="D2684" s="449" t="s">
        <v>337</v>
      </c>
      <c r="J2684" s="451"/>
      <c r="K2684" s="451">
        <f>C$1203</f>
        <v>5.2999999999999989</v>
      </c>
      <c r="L2684" s="451"/>
      <c r="M2684" s="533">
        <f>SUM(TrialBalance!L108:L109)</f>
        <v>0</v>
      </c>
      <c r="N2684" s="470"/>
      <c r="O2684" s="553">
        <f>SUM(TrialBalance!N108:N109)</f>
        <v>0</v>
      </c>
      <c r="P2684" s="459"/>
      <c r="Q2684" s="469"/>
      <c r="R2684" s="512" t="str">
        <f t="shared" si="154"/>
        <v>DELETE</v>
      </c>
    </row>
    <row r="2685" spans="2:24" ht="31.5" customHeight="1" x14ac:dyDescent="0.45">
      <c r="B2685" s="468"/>
      <c r="C2685" s="450"/>
      <c r="D2685" s="449" t="str">
        <f>IF(MAX(Criteria!I41:I45)&gt;1,"Directors' remuneration","Director's remuneration")</f>
        <v>Directors' remuneration</v>
      </c>
      <c r="J2685" s="451"/>
      <c r="K2685" s="451">
        <f>C$1144</f>
        <v>5.0999999999999996</v>
      </c>
      <c r="L2685" s="451"/>
      <c r="M2685" s="533">
        <f>SUM(TrialBalance!L111:L115)</f>
        <v>0</v>
      </c>
      <c r="N2685" s="470"/>
      <c r="O2685" s="553">
        <f>SUM(TrialBalance!N111:N115)</f>
        <v>0</v>
      </c>
      <c r="P2685" s="459"/>
      <c r="Q2685" s="469"/>
      <c r="R2685" s="512" t="str">
        <f t="shared" si="154"/>
        <v>DELETE</v>
      </c>
    </row>
    <row r="2686" spans="2:24" ht="31.5" customHeight="1" x14ac:dyDescent="0.45">
      <c r="B2686" s="468"/>
      <c r="C2686" s="450"/>
      <c r="D2686" s="449" t="s">
        <v>315</v>
      </c>
      <c r="J2686" s="451"/>
      <c r="K2686" s="451"/>
      <c r="L2686" s="451"/>
      <c r="M2686" s="533">
        <f>TrialBalance!L116</f>
        <v>0</v>
      </c>
      <c r="N2686" s="470"/>
      <c r="O2686" s="553">
        <f>TrialBalance!N116</f>
        <v>0</v>
      </c>
      <c r="P2686" s="459"/>
      <c r="Q2686" s="469"/>
      <c r="R2686" s="512" t="str">
        <f t="shared" si="154"/>
        <v>DELETE</v>
      </c>
    </row>
    <row r="2687" spans="2:24" ht="31.5" customHeight="1" x14ac:dyDescent="0.45">
      <c r="B2687" s="468"/>
      <c r="C2687" s="450"/>
      <c r="D2687" s="449" t="s">
        <v>443</v>
      </c>
      <c r="J2687" s="451"/>
      <c r="K2687" s="451"/>
      <c r="L2687" s="451"/>
      <c r="M2687" s="533">
        <f>TrialBalance!L117</f>
        <v>0</v>
      </c>
      <c r="N2687" s="470"/>
      <c r="O2687" s="553">
        <f>TrialBalance!N117</f>
        <v>0</v>
      </c>
      <c r="P2687" s="459"/>
      <c r="Q2687" s="469"/>
      <c r="R2687" s="512" t="str">
        <f t="shared" si="154"/>
        <v>DELETE</v>
      </c>
    </row>
    <row r="2688" spans="2:24" ht="31.5" customHeight="1" x14ac:dyDescent="0.45">
      <c r="B2688" s="468"/>
      <c r="C2688" s="450"/>
      <c r="D2688" s="449" t="s">
        <v>392</v>
      </c>
      <c r="J2688" s="451"/>
      <c r="K2688" s="451"/>
      <c r="L2688" s="451"/>
      <c r="M2688" s="533">
        <f>TrialBalance!L118</f>
        <v>0</v>
      </c>
      <c r="N2688" s="470"/>
      <c r="O2688" s="553">
        <f>TrialBalance!N118</f>
        <v>0</v>
      </c>
      <c r="P2688" s="459"/>
      <c r="Q2688" s="469"/>
      <c r="R2688" s="512" t="str">
        <f t="shared" ref="R2688" si="157">IF(M2688+O2688=0,"DELETE"," ")</f>
        <v>DELETE</v>
      </c>
    </row>
    <row r="2689" spans="2:18" ht="31.5" customHeight="1" x14ac:dyDescent="0.45">
      <c r="B2689" s="468"/>
      <c r="C2689" s="450"/>
      <c r="D2689" s="449" t="s">
        <v>445</v>
      </c>
      <c r="J2689" s="451"/>
      <c r="K2689" s="451"/>
      <c r="L2689" s="451"/>
      <c r="M2689" s="533">
        <f>TrialBalance!L119</f>
        <v>0</v>
      </c>
      <c r="N2689" s="470"/>
      <c r="O2689" s="553">
        <f>TrialBalance!N119</f>
        <v>0</v>
      </c>
      <c r="P2689" s="459"/>
      <c r="Q2689" s="469"/>
      <c r="R2689" s="512" t="str">
        <f t="shared" si="154"/>
        <v>DELETE</v>
      </c>
    </row>
    <row r="2690" spans="2:18" ht="31.5" customHeight="1" x14ac:dyDescent="0.45">
      <c r="B2690" s="468"/>
      <c r="C2690" s="450"/>
      <c r="D2690" s="449" t="str">
        <f>TrialBalance!C154</f>
        <v>Impairment losses</v>
      </c>
      <c r="J2690" s="451"/>
      <c r="K2690" s="451"/>
      <c r="L2690" s="451"/>
      <c r="M2690" s="533">
        <f>TrialBalance!L154</f>
        <v>0</v>
      </c>
      <c r="N2690" s="470"/>
      <c r="O2690" s="553">
        <f>TrialBalance!N154</f>
        <v>0</v>
      </c>
      <c r="P2690" s="459"/>
      <c r="Q2690" s="469"/>
      <c r="R2690" s="512" t="str">
        <f t="shared" ref="R2690" si="158">IF(M2690+O2690=0,"DELETE"," ")</f>
        <v>DELETE</v>
      </c>
    </row>
    <row r="2691" spans="2:18" ht="31.5" customHeight="1" x14ac:dyDescent="0.45">
      <c r="B2691" s="468"/>
      <c r="C2691" s="450"/>
      <c r="D2691" s="449" t="s">
        <v>605</v>
      </c>
      <c r="J2691" s="451"/>
      <c r="K2691" s="451"/>
      <c r="L2691" s="451"/>
      <c r="M2691" s="533">
        <f>TrialBalance!L120+TrialBalance!L121</f>
        <v>0</v>
      </c>
      <c r="N2691" s="470"/>
      <c r="O2691" s="553">
        <f>TrialBalance!N120+TrialBalance!N121</f>
        <v>0</v>
      </c>
      <c r="P2691" s="459"/>
      <c r="Q2691" s="469"/>
      <c r="R2691" s="512" t="str">
        <f t="shared" si="154"/>
        <v>DELETE</v>
      </c>
    </row>
    <row r="2692" spans="2:18" ht="31.5" customHeight="1" x14ac:dyDescent="0.45">
      <c r="B2692" s="468"/>
      <c r="C2692" s="450"/>
      <c r="D2692" s="449" t="s">
        <v>633</v>
      </c>
      <c r="J2692" s="451"/>
      <c r="K2692" s="451"/>
      <c r="L2692" s="451"/>
      <c r="M2692" s="533">
        <f>IF(TrialBalance!L93&gt;0,TrialBalance!L93,0)</f>
        <v>0</v>
      </c>
      <c r="N2692" s="470"/>
      <c r="O2692" s="553">
        <f>IF(TrialBalance!N93&gt;0,TrialBalance!N93,0)</f>
        <v>0</v>
      </c>
      <c r="P2692" s="459"/>
      <c r="Q2692" s="469"/>
      <c r="R2692" s="512" t="str">
        <f t="shared" ref="R2692" si="159">IF(M2692+O2692=0,"DELETE"," ")</f>
        <v>DELETE</v>
      </c>
    </row>
    <row r="2693" spans="2:18" ht="31.5" customHeight="1" x14ac:dyDescent="0.45">
      <c r="B2693" s="468"/>
      <c r="C2693" s="450"/>
      <c r="D2693" s="449" t="s">
        <v>936</v>
      </c>
      <c r="J2693" s="451"/>
      <c r="K2693" s="451"/>
      <c r="L2693" s="451"/>
      <c r="M2693" s="533">
        <f>TrialBalance!L122</f>
        <v>0</v>
      </c>
      <c r="N2693" s="470"/>
      <c r="O2693" s="553">
        <f>TrialBalance!N122</f>
        <v>0</v>
      </c>
      <c r="P2693" s="459"/>
      <c r="Q2693" s="469"/>
      <c r="R2693" s="512" t="str">
        <f t="shared" si="154"/>
        <v>DELETE</v>
      </c>
    </row>
    <row r="2694" spans="2:18" ht="31.5" customHeight="1" x14ac:dyDescent="0.45">
      <c r="B2694" s="468"/>
      <c r="C2694" s="450"/>
      <c r="D2694" s="449" t="s">
        <v>316</v>
      </c>
      <c r="J2694" s="451"/>
      <c r="K2694" s="451"/>
      <c r="L2694" s="451"/>
      <c r="M2694" s="533">
        <f>TrialBalance!L123</f>
        <v>0</v>
      </c>
      <c r="N2694" s="470"/>
      <c r="O2694" s="553">
        <f>TrialBalance!N123</f>
        <v>0</v>
      </c>
      <c r="P2694" s="459"/>
      <c r="Q2694" s="469"/>
      <c r="R2694" s="512" t="str">
        <f t="shared" si="154"/>
        <v>DELETE</v>
      </c>
    </row>
    <row r="2695" spans="2:18" ht="31.5" customHeight="1" x14ac:dyDescent="0.45">
      <c r="B2695" s="468"/>
      <c r="C2695" s="450"/>
      <c r="D2695" s="449" t="s">
        <v>1554</v>
      </c>
      <c r="J2695" s="451"/>
      <c r="K2695" s="451"/>
      <c r="L2695" s="451"/>
      <c r="M2695" s="533">
        <f>TrialBalance!L155</f>
        <v>0</v>
      </c>
      <c r="N2695" s="470"/>
      <c r="O2695" s="553">
        <f>TrialBalance!N155</f>
        <v>0</v>
      </c>
      <c r="P2695" s="459"/>
      <c r="Q2695" s="469"/>
      <c r="R2695" s="512" t="str">
        <f t="shared" si="154"/>
        <v>DELETE</v>
      </c>
    </row>
    <row r="2696" spans="2:18" ht="31.5" customHeight="1" x14ac:dyDescent="0.45">
      <c r="B2696" s="468"/>
      <c r="C2696" s="450"/>
      <c r="D2696" s="449" t="s">
        <v>309</v>
      </c>
      <c r="J2696" s="451"/>
      <c r="K2696" s="451"/>
      <c r="L2696" s="451"/>
      <c r="M2696" s="533">
        <f>SUM(TrialBalance!L124:L125)</f>
        <v>0</v>
      </c>
      <c r="N2696" s="470"/>
      <c r="O2696" s="553">
        <f>SUM(TrialBalance!N124:N125)</f>
        <v>0</v>
      </c>
      <c r="P2696" s="459"/>
      <c r="Q2696" s="469"/>
      <c r="R2696" s="512" t="str">
        <f t="shared" si="154"/>
        <v>DELETE</v>
      </c>
    </row>
    <row r="2697" spans="2:18" ht="31.5" customHeight="1" x14ac:dyDescent="0.45">
      <c r="B2697" s="468"/>
      <c r="C2697" s="450"/>
      <c r="D2697" s="449" t="s">
        <v>317</v>
      </c>
      <c r="J2697" s="451"/>
      <c r="K2697" s="451"/>
      <c r="L2697" s="451"/>
      <c r="M2697" s="533">
        <f>TrialBalance!L126</f>
        <v>0</v>
      </c>
      <c r="N2697" s="470"/>
      <c r="O2697" s="553">
        <f>TrialBalance!N126</f>
        <v>0</v>
      </c>
      <c r="P2697" s="459"/>
      <c r="Q2697" s="469"/>
      <c r="R2697" s="512" t="str">
        <f t="shared" si="154"/>
        <v>DELETE</v>
      </c>
    </row>
    <row r="2698" spans="2:18" ht="31.5" customHeight="1" x14ac:dyDescent="0.45">
      <c r="B2698" s="468"/>
      <c r="C2698" s="450"/>
      <c r="D2698" s="449" t="s">
        <v>937</v>
      </c>
      <c r="J2698" s="451"/>
      <c r="K2698" s="451"/>
      <c r="L2698" s="451"/>
      <c r="M2698" s="533">
        <f>TrialBalance!L127</f>
        <v>0</v>
      </c>
      <c r="N2698" s="470"/>
      <c r="O2698" s="553">
        <f>TrialBalance!N127</f>
        <v>0</v>
      </c>
      <c r="P2698" s="459"/>
      <c r="Q2698" s="469"/>
      <c r="R2698" s="512" t="str">
        <f t="shared" si="154"/>
        <v>DELETE</v>
      </c>
    </row>
    <row r="2699" spans="2:18" ht="31.5" customHeight="1" x14ac:dyDescent="0.45">
      <c r="B2699" s="468"/>
      <c r="C2699" s="450"/>
      <c r="D2699" s="449" t="s">
        <v>99</v>
      </c>
      <c r="J2699" s="451"/>
      <c r="K2699" s="451"/>
      <c r="L2699" s="451"/>
      <c r="M2699" s="533">
        <f>TrialBalance!L128</f>
        <v>0</v>
      </c>
      <c r="N2699" s="470"/>
      <c r="O2699" s="553">
        <f>TrialBalance!N128</f>
        <v>0</v>
      </c>
      <c r="P2699" s="459"/>
      <c r="Q2699" s="469"/>
      <c r="R2699" s="512" t="str">
        <f t="shared" si="154"/>
        <v>DELETE</v>
      </c>
    </row>
    <row r="2700" spans="2:18" ht="31.5" customHeight="1" x14ac:dyDescent="0.45">
      <c r="B2700" s="468"/>
      <c r="C2700" s="450"/>
      <c r="D2700" s="449">
        <f>TrialBalance!C129</f>
        <v>0</v>
      </c>
      <c r="J2700" s="451"/>
      <c r="K2700" s="451"/>
      <c r="L2700" s="451"/>
      <c r="M2700" s="533">
        <f>TrialBalance!L129</f>
        <v>0</v>
      </c>
      <c r="N2700" s="470"/>
      <c r="O2700" s="553">
        <f>TrialBalance!N129</f>
        <v>0</v>
      </c>
      <c r="P2700" s="459"/>
      <c r="Q2700" s="469"/>
      <c r="R2700" s="512" t="str">
        <f t="shared" si="154"/>
        <v>DELETE</v>
      </c>
    </row>
    <row r="2701" spans="2:18" ht="31.5" customHeight="1" x14ac:dyDescent="0.45">
      <c r="B2701" s="468"/>
      <c r="C2701" s="450"/>
      <c r="D2701" s="449">
        <f>TrialBalance!C130</f>
        <v>0</v>
      </c>
      <c r="J2701" s="451"/>
      <c r="K2701" s="451"/>
      <c r="L2701" s="451"/>
      <c r="M2701" s="533">
        <f>TrialBalance!L130</f>
        <v>0</v>
      </c>
      <c r="N2701" s="470"/>
      <c r="O2701" s="553">
        <f>TrialBalance!N130</f>
        <v>0</v>
      </c>
      <c r="P2701" s="459"/>
      <c r="Q2701" s="469"/>
      <c r="R2701" s="512" t="str">
        <f t="shared" si="154"/>
        <v>DELETE</v>
      </c>
    </row>
    <row r="2702" spans="2:18" ht="31.5" customHeight="1" x14ac:dyDescent="0.45">
      <c r="B2702" s="468"/>
      <c r="C2702" s="450"/>
      <c r="D2702" s="449">
        <f>TrialBalance!C131</f>
        <v>0</v>
      </c>
      <c r="J2702" s="451"/>
      <c r="K2702" s="451"/>
      <c r="L2702" s="451"/>
      <c r="M2702" s="533">
        <f>TrialBalance!L131</f>
        <v>0</v>
      </c>
      <c r="N2702" s="470"/>
      <c r="O2702" s="553">
        <f>TrialBalance!N131</f>
        <v>0</v>
      </c>
      <c r="P2702" s="459"/>
      <c r="Q2702" s="469"/>
      <c r="R2702" s="512" t="str">
        <f>IF(M2702+O2702=0,"DELETE"," ")</f>
        <v>DELETE</v>
      </c>
    </row>
    <row r="2703" spans="2:18" ht="31.5" customHeight="1" x14ac:dyDescent="0.45">
      <c r="B2703" s="468"/>
      <c r="C2703" s="450"/>
      <c r="D2703" s="449">
        <f>TrialBalance!C132</f>
        <v>0</v>
      </c>
      <c r="J2703" s="451"/>
      <c r="K2703" s="451"/>
      <c r="L2703" s="451"/>
      <c r="M2703" s="533">
        <f>TrialBalance!L132</f>
        <v>0</v>
      </c>
      <c r="N2703" s="470"/>
      <c r="O2703" s="553">
        <f>TrialBalance!N132</f>
        <v>0</v>
      </c>
      <c r="P2703" s="459"/>
      <c r="Q2703" s="469"/>
      <c r="R2703" s="512" t="str">
        <f t="shared" si="154"/>
        <v>DELETE</v>
      </c>
    </row>
    <row r="2704" spans="2:18" ht="31.5" customHeight="1" x14ac:dyDescent="0.45">
      <c r="B2704" s="468"/>
      <c r="C2704" s="450"/>
      <c r="D2704" s="449">
        <f>TrialBalance!C133</f>
        <v>0</v>
      </c>
      <c r="J2704" s="451"/>
      <c r="K2704" s="451"/>
      <c r="L2704" s="451"/>
      <c r="M2704" s="533">
        <f>TrialBalance!L133</f>
        <v>0</v>
      </c>
      <c r="N2704" s="470"/>
      <c r="O2704" s="553">
        <f>TrialBalance!N133</f>
        <v>0</v>
      </c>
      <c r="P2704" s="459"/>
      <c r="Q2704" s="469"/>
      <c r="R2704" s="512" t="str">
        <f t="shared" si="154"/>
        <v>DELETE</v>
      </c>
    </row>
    <row r="2705" spans="2:26" ht="31.5" customHeight="1" x14ac:dyDescent="0.45">
      <c r="B2705" s="468"/>
      <c r="C2705" s="450"/>
      <c r="D2705" s="449">
        <f>TrialBalance!C134</f>
        <v>0</v>
      </c>
      <c r="J2705" s="451"/>
      <c r="K2705" s="451"/>
      <c r="L2705" s="451"/>
      <c r="M2705" s="533">
        <f>TrialBalance!L134</f>
        <v>0</v>
      </c>
      <c r="N2705" s="470"/>
      <c r="O2705" s="553">
        <f>TrialBalance!N134</f>
        <v>0</v>
      </c>
      <c r="P2705" s="459"/>
      <c r="Q2705" s="469"/>
      <c r="R2705" s="512" t="str">
        <f t="shared" ref="R2705:R2708" si="160">IF(M2705+O2705=0,"DELETE"," ")</f>
        <v>DELETE</v>
      </c>
    </row>
    <row r="2706" spans="2:26" ht="31.5" customHeight="1" x14ac:dyDescent="0.45">
      <c r="B2706" s="468"/>
      <c r="C2706" s="450"/>
      <c r="D2706" s="449">
        <f>TrialBalance!C135</f>
        <v>0</v>
      </c>
      <c r="J2706" s="451"/>
      <c r="K2706" s="451"/>
      <c r="L2706" s="451"/>
      <c r="M2706" s="533">
        <f>TrialBalance!L135</f>
        <v>0</v>
      </c>
      <c r="N2706" s="470"/>
      <c r="O2706" s="553">
        <f>TrialBalance!N135</f>
        <v>0</v>
      </c>
      <c r="P2706" s="459"/>
      <c r="Q2706" s="469"/>
      <c r="R2706" s="512" t="str">
        <f t="shared" si="160"/>
        <v>DELETE</v>
      </c>
    </row>
    <row r="2707" spans="2:26" ht="31.5" customHeight="1" x14ac:dyDescent="0.45">
      <c r="B2707" s="468"/>
      <c r="C2707" s="450"/>
      <c r="D2707" s="449">
        <f>TrialBalance!C136</f>
        <v>0</v>
      </c>
      <c r="J2707" s="451"/>
      <c r="K2707" s="451"/>
      <c r="L2707" s="451"/>
      <c r="M2707" s="533">
        <f>TrialBalance!L136</f>
        <v>0</v>
      </c>
      <c r="N2707" s="470"/>
      <c r="O2707" s="553">
        <f>TrialBalance!N136</f>
        <v>0</v>
      </c>
      <c r="P2707" s="459"/>
      <c r="Q2707" s="469"/>
      <c r="R2707" s="512" t="str">
        <f t="shared" si="160"/>
        <v>DELETE</v>
      </c>
    </row>
    <row r="2708" spans="2:26" ht="31.5" customHeight="1" x14ac:dyDescent="0.45">
      <c r="B2708" s="468"/>
      <c r="C2708" s="450"/>
      <c r="D2708" s="449">
        <f>TrialBalance!C137</f>
        <v>0</v>
      </c>
      <c r="J2708" s="451"/>
      <c r="K2708" s="451"/>
      <c r="L2708" s="451"/>
      <c r="M2708" s="533">
        <f>TrialBalance!L137</f>
        <v>0</v>
      </c>
      <c r="N2708" s="470"/>
      <c r="O2708" s="553">
        <f>TrialBalance!N137</f>
        <v>0</v>
      </c>
      <c r="P2708" s="459"/>
      <c r="Q2708" s="469"/>
      <c r="R2708" s="512" t="str">
        <f t="shared" si="160"/>
        <v>DELETE</v>
      </c>
    </row>
    <row r="2709" spans="2:26" ht="31.5" customHeight="1" x14ac:dyDescent="0.45">
      <c r="B2709" s="468"/>
      <c r="C2709" s="450"/>
      <c r="D2709" s="449" t="str">
        <f>TrialBalance!C138</f>
        <v>Amortisation of prepaid lease agreement</v>
      </c>
      <c r="J2709" s="451"/>
      <c r="K2709" s="451"/>
      <c r="L2709" s="451"/>
      <c r="M2709" s="533">
        <f>TrialBalance!L138</f>
        <v>0</v>
      </c>
      <c r="N2709" s="470"/>
      <c r="O2709" s="553">
        <f>TrialBalance!N138</f>
        <v>0</v>
      </c>
      <c r="P2709" s="459"/>
      <c r="Q2709" s="469"/>
      <c r="R2709" s="512" t="str">
        <f t="shared" ref="R2709" si="161">IF(M2709+O2709=0,"DELETE"," ")</f>
        <v>DELETE</v>
      </c>
    </row>
    <row r="2710" spans="2:26" ht="31.5" customHeight="1" x14ac:dyDescent="0.45">
      <c r="B2710" s="468"/>
      <c r="C2710" s="450"/>
      <c r="D2710" s="449" t="str">
        <f>TrialBalance!C139</f>
        <v>Amortisation of goodwill</v>
      </c>
      <c r="J2710" s="451"/>
      <c r="K2710" s="451"/>
      <c r="L2710" s="451"/>
      <c r="M2710" s="533">
        <f>TrialBalance!L139</f>
        <v>0</v>
      </c>
      <c r="N2710" s="470"/>
      <c r="O2710" s="553">
        <f>TrialBalance!N139</f>
        <v>0</v>
      </c>
      <c r="P2710" s="459"/>
      <c r="Q2710" s="469"/>
      <c r="R2710" s="512" t="str">
        <f t="shared" ref="R2710" si="162">IF(M2710+O2710=0,"DELETE"," ")</f>
        <v>DELETE</v>
      </c>
    </row>
    <row r="2711" spans="2:26" ht="9" customHeight="1" x14ac:dyDescent="0.45">
      <c r="B2711" s="468"/>
      <c r="C2711" s="450"/>
      <c r="J2711" s="451"/>
      <c r="K2711" s="451"/>
      <c r="L2711" s="451"/>
      <c r="M2711" s="534"/>
      <c r="N2711" s="473"/>
      <c r="O2711" s="554"/>
      <c r="P2711" s="459"/>
      <c r="Q2711" s="469"/>
      <c r="R2711" s="512" t="str">
        <f>R2674</f>
        <v>DELETE</v>
      </c>
    </row>
    <row r="2712" spans="2:26" ht="9" customHeight="1" x14ac:dyDescent="0.45">
      <c r="B2712" s="468"/>
      <c r="C2712" s="450"/>
      <c r="J2712" s="451"/>
      <c r="K2712" s="451"/>
      <c r="L2712" s="451"/>
      <c r="M2712" s="535"/>
      <c r="N2712" s="473"/>
      <c r="O2712" s="535"/>
      <c r="P2712" s="459"/>
      <c r="Q2712" s="469"/>
    </row>
    <row r="2713" spans="2:26" ht="9" customHeight="1" x14ac:dyDescent="0.45">
      <c r="B2713" s="468"/>
      <c r="C2713" s="450"/>
      <c r="J2713" s="451"/>
      <c r="K2713" s="451"/>
      <c r="L2713" s="451"/>
      <c r="M2713" s="531"/>
      <c r="N2713" s="470"/>
      <c r="O2713" s="531"/>
      <c r="P2713" s="459"/>
      <c r="Q2713" s="469"/>
    </row>
    <row r="2714" spans="2:26" ht="31.5" customHeight="1" x14ac:dyDescent="0.45">
      <c r="B2714" s="468"/>
      <c r="C2714" s="492" t="str">
        <f>IF((Y2714+Z2714)=3,"OPERATING PROFIT/(LOSS) FOR THE YEAR",(IF((Y2714+Z2714=4),"OPERATING PROFIT FOR THE YEAR","OPERATING LOSS FOR THE YEAR")))</f>
        <v>OPERATING PROFIT FOR THE YEAR</v>
      </c>
      <c r="J2714" s="451"/>
      <c r="K2714" s="451">
        <f>B1141</f>
        <v>5</v>
      </c>
      <c r="L2714" s="451"/>
      <c r="M2714" s="531">
        <f>SUM(S2588:S2711)</f>
        <v>0</v>
      </c>
      <c r="N2714" s="470"/>
      <c r="O2714" s="531">
        <f>SUM(U2588:U2711)</f>
        <v>0</v>
      </c>
      <c r="P2714" s="459"/>
      <c r="Q2714" s="469"/>
      <c r="Y2714" s="513">
        <f>IF(M2714&lt;0,1,IF(M2714=0,IF(O2714&lt;0,1,2),2))</f>
        <v>2</v>
      </c>
      <c r="Z2714" s="513">
        <f>IF(O2714&lt;0,1,IF(O2714=0,IF(M2714&lt;0,1,2),2))</f>
        <v>2</v>
      </c>
    </row>
    <row r="2715" spans="2:26" ht="31.5" customHeight="1" x14ac:dyDescent="0.45">
      <c r="B2715" s="468"/>
      <c r="C2715" s="450"/>
      <c r="J2715" s="451"/>
      <c r="K2715" s="451"/>
      <c r="L2715" s="451"/>
      <c r="M2715" s="531"/>
      <c r="N2715" s="470"/>
      <c r="O2715" s="531"/>
      <c r="P2715" s="459"/>
      <c r="Q2715" s="469"/>
    </row>
    <row r="2716" spans="2:26" ht="31.5" customHeight="1" x14ac:dyDescent="0.45">
      <c r="B2716" s="468"/>
      <c r="C2716" s="450" t="s">
        <v>139</v>
      </c>
      <c r="J2716" s="451"/>
      <c r="K2716" s="451">
        <f>B1228</f>
        <v>6</v>
      </c>
      <c r="L2716" s="451"/>
      <c r="M2716" s="531">
        <f>SUM(M2719:M2726)</f>
        <v>0</v>
      </c>
      <c r="N2716" s="470"/>
      <c r="O2716" s="531">
        <f>SUM(O2719:O2726)</f>
        <v>0</v>
      </c>
      <c r="P2716" s="459"/>
      <c r="Q2716" s="469"/>
      <c r="R2716" s="512" t="str">
        <f>IF(M2716+O2716=0,"DELETE"," ")</f>
        <v>DELETE</v>
      </c>
      <c r="S2716" s="517">
        <f>M2716</f>
        <v>0</v>
      </c>
      <c r="T2716" s="517"/>
      <c r="U2716" s="517">
        <f>O2716</f>
        <v>0</v>
      </c>
      <c r="V2716" s="517"/>
      <c r="W2716" s="517"/>
      <c r="X2716" s="517"/>
    </row>
    <row r="2717" spans="2:26" ht="9" customHeight="1" x14ac:dyDescent="0.45">
      <c r="B2717" s="468"/>
      <c r="C2717" s="450"/>
      <c r="J2717" s="451"/>
      <c r="K2717" s="451"/>
      <c r="L2717" s="451"/>
      <c r="M2717" s="531"/>
      <c r="N2717" s="470"/>
      <c r="O2717" s="531"/>
      <c r="P2717" s="459"/>
      <c r="Q2717" s="469"/>
      <c r="R2717" s="512" t="str">
        <f>R2716</f>
        <v>DELETE</v>
      </c>
    </row>
    <row r="2718" spans="2:26" ht="9" customHeight="1" x14ac:dyDescent="0.45">
      <c r="B2718" s="468"/>
      <c r="C2718" s="450"/>
      <c r="J2718" s="451"/>
      <c r="K2718" s="451"/>
      <c r="L2718" s="451"/>
      <c r="M2718" s="532"/>
      <c r="N2718" s="471"/>
      <c r="O2718" s="552"/>
      <c r="P2718" s="459"/>
      <c r="Q2718" s="469"/>
      <c r="R2718" s="512" t="str">
        <f>R2717</f>
        <v>DELETE</v>
      </c>
    </row>
    <row r="2719" spans="2:26" ht="31.5" customHeight="1" x14ac:dyDescent="0.45">
      <c r="B2719" s="468"/>
      <c r="C2719" s="450"/>
      <c r="D2719" s="449" t="s">
        <v>243</v>
      </c>
      <c r="J2719" s="451"/>
      <c r="K2719" s="451"/>
      <c r="L2719" s="451"/>
      <c r="M2719" s="533">
        <f>-TrialBalance!L94</f>
        <v>0</v>
      </c>
      <c r="N2719" s="470"/>
      <c r="O2719" s="553">
        <f>-TrialBalance!N94</f>
        <v>0</v>
      </c>
      <c r="P2719" s="459"/>
      <c r="Q2719" s="469"/>
      <c r="R2719" s="512" t="str">
        <f t="shared" ref="R2719:R2724" si="163">IF(M2719+O2719=0,"DELETE"," ")</f>
        <v>DELETE</v>
      </c>
    </row>
    <row r="2720" spans="2:26" ht="31.5" customHeight="1" x14ac:dyDescent="0.45">
      <c r="B2720" s="468"/>
      <c r="C2720" s="450"/>
      <c r="D2720" s="449" t="s">
        <v>612</v>
      </c>
      <c r="J2720" s="451"/>
      <c r="K2720" s="451"/>
      <c r="L2720" s="451"/>
      <c r="M2720" s="533">
        <f>-SUM(TrialBalance!L90:L92)</f>
        <v>0</v>
      </c>
      <c r="N2720" s="470"/>
      <c r="O2720" s="553">
        <f>-SUM(TrialBalance!N90:N92)</f>
        <v>0</v>
      </c>
      <c r="P2720" s="459"/>
      <c r="Q2720" s="469"/>
      <c r="R2720" s="512" t="str">
        <f t="shared" si="163"/>
        <v>DELETE</v>
      </c>
    </row>
    <row r="2721" spans="2:26" ht="31.5" customHeight="1" x14ac:dyDescent="0.45">
      <c r="B2721" s="468"/>
      <c r="C2721" s="450"/>
      <c r="D2721" s="449" t="s">
        <v>613</v>
      </c>
      <c r="J2721" s="451"/>
      <c r="K2721" s="451"/>
      <c r="L2721" s="451"/>
      <c r="M2721" s="550">
        <f>-SUM(TrialBalance!L85:L88)</f>
        <v>0</v>
      </c>
      <c r="N2721" s="481"/>
      <c r="O2721" s="557">
        <f>-SUM(TrialBalance!N85:N88)</f>
        <v>0</v>
      </c>
      <c r="P2721" s="459"/>
      <c r="Q2721" s="469"/>
      <c r="R2721" s="512" t="str">
        <f t="shared" si="163"/>
        <v>DELETE</v>
      </c>
    </row>
    <row r="2722" spans="2:26" ht="31.5" customHeight="1" x14ac:dyDescent="0.45">
      <c r="B2722" s="468"/>
      <c r="C2722" s="450"/>
      <c r="D2722" s="449" t="s">
        <v>245</v>
      </c>
      <c r="J2722" s="451"/>
      <c r="K2722" s="451"/>
      <c r="L2722" s="451"/>
      <c r="M2722" s="550">
        <f>-SUM(TrialBalance!L95)</f>
        <v>0</v>
      </c>
      <c r="N2722" s="481"/>
      <c r="O2722" s="557">
        <f>-TrialBalance!N95</f>
        <v>0</v>
      </c>
      <c r="P2722" s="459"/>
      <c r="Q2722" s="469"/>
      <c r="R2722" s="512" t="str">
        <f t="shared" si="163"/>
        <v>DELETE</v>
      </c>
    </row>
    <row r="2723" spans="2:26" ht="31.5" customHeight="1" x14ac:dyDescent="0.45">
      <c r="B2723" s="468"/>
      <c r="C2723" s="450"/>
      <c r="D2723" s="449" t="s">
        <v>634</v>
      </c>
      <c r="J2723" s="451"/>
      <c r="K2723" s="451"/>
      <c r="L2723" s="451"/>
      <c r="M2723" s="533">
        <f>IF(TrialBalance!L93&lt;0,-TrialBalance!L93,0)</f>
        <v>0</v>
      </c>
      <c r="N2723" s="470"/>
      <c r="O2723" s="553">
        <f>IF(TrialBalance!N93&lt;0,-TrialBalance!N93,0)</f>
        <v>0</v>
      </c>
      <c r="P2723" s="459"/>
      <c r="Q2723" s="469"/>
      <c r="R2723" s="512" t="str">
        <f t="shared" si="163"/>
        <v>DELETE</v>
      </c>
    </row>
    <row r="2724" spans="2:26" ht="31.5" customHeight="1" x14ac:dyDescent="0.45">
      <c r="B2724" s="468"/>
      <c r="C2724" s="450"/>
      <c r="D2724" s="449" t="s">
        <v>433</v>
      </c>
      <c r="J2724" s="451"/>
      <c r="K2724" s="451"/>
      <c r="L2724" s="451"/>
      <c r="M2724" s="533">
        <f>-TrialBalance!L83</f>
        <v>0</v>
      </c>
      <c r="N2724" s="470"/>
      <c r="O2724" s="553">
        <f>-TrialBalance!N83</f>
        <v>0</v>
      </c>
      <c r="P2724" s="459"/>
      <c r="Q2724" s="469"/>
      <c r="R2724" s="512" t="str">
        <f t="shared" si="163"/>
        <v>DELETE</v>
      </c>
    </row>
    <row r="2725" spans="2:26" ht="31.5" customHeight="1" x14ac:dyDescent="0.45">
      <c r="B2725" s="468"/>
      <c r="C2725" s="450"/>
      <c r="D2725" s="449" t="str">
        <f>TrialBalance!C96</f>
        <v>Revaluation of investment property</v>
      </c>
      <c r="J2725" s="451"/>
      <c r="K2725" s="451"/>
      <c r="L2725" s="451"/>
      <c r="M2725" s="533">
        <f>-TrialBalance!L96</f>
        <v>0</v>
      </c>
      <c r="N2725" s="470"/>
      <c r="O2725" s="553">
        <f>-TrialBalance!N96</f>
        <v>0</v>
      </c>
      <c r="P2725" s="459"/>
      <c r="Q2725" s="469"/>
      <c r="R2725" s="512" t="str">
        <f t="shared" ref="R2725" si="164">IF(M2725+O2725=0,"DELETE"," ")</f>
        <v>DELETE</v>
      </c>
    </row>
    <row r="2726" spans="2:26" ht="9" customHeight="1" x14ac:dyDescent="0.45">
      <c r="B2726" s="468"/>
      <c r="C2726" s="450"/>
      <c r="J2726" s="451"/>
      <c r="K2726" s="451"/>
      <c r="L2726" s="451"/>
      <c r="M2726" s="534"/>
      <c r="N2726" s="473"/>
      <c r="O2726" s="554"/>
      <c r="P2726" s="459"/>
      <c r="Q2726" s="469"/>
      <c r="R2726" s="512" t="str">
        <f>R2716</f>
        <v>DELETE</v>
      </c>
    </row>
    <row r="2727" spans="2:26" ht="9" customHeight="1" x14ac:dyDescent="0.45">
      <c r="B2727" s="468"/>
      <c r="C2727" s="450"/>
      <c r="J2727" s="451"/>
      <c r="K2727" s="451"/>
      <c r="L2727" s="451"/>
      <c r="M2727" s="535"/>
      <c r="N2727" s="473"/>
      <c r="O2727" s="535"/>
      <c r="P2727" s="459"/>
      <c r="Q2727" s="469"/>
      <c r="R2727" s="512" t="str">
        <f>R2726</f>
        <v>DELETE</v>
      </c>
    </row>
    <row r="2728" spans="2:26" ht="9" customHeight="1" x14ac:dyDescent="0.45">
      <c r="B2728" s="468"/>
      <c r="C2728" s="450"/>
      <c r="J2728" s="451"/>
      <c r="K2728" s="451"/>
      <c r="L2728" s="451"/>
      <c r="M2728" s="531"/>
      <c r="N2728" s="470"/>
      <c r="O2728" s="531"/>
      <c r="P2728" s="459"/>
      <c r="Q2728" s="469"/>
      <c r="R2728" s="512" t="str">
        <f>R2727</f>
        <v>DELETE</v>
      </c>
    </row>
    <row r="2729" spans="2:26" ht="31.5" customHeight="1" x14ac:dyDescent="0.45">
      <c r="B2729" s="468"/>
      <c r="C2729" s="450"/>
      <c r="J2729" s="451"/>
      <c r="K2729" s="451"/>
      <c r="L2729" s="451"/>
      <c r="M2729" s="531">
        <f>SUM(S2588:S2726)</f>
        <v>0</v>
      </c>
      <c r="N2729" s="470"/>
      <c r="O2729" s="531">
        <f>SUM(U2588:U2726)</f>
        <v>0</v>
      </c>
      <c r="P2729" s="459"/>
      <c r="Q2729" s="469"/>
      <c r="R2729" s="512" t="str">
        <f>R2728</f>
        <v>DELETE</v>
      </c>
    </row>
    <row r="2730" spans="2:26" ht="31.5" customHeight="1" x14ac:dyDescent="0.45">
      <c r="B2730" s="468"/>
      <c r="C2730" s="450"/>
      <c r="J2730" s="451"/>
      <c r="K2730" s="451"/>
      <c r="L2730" s="451"/>
      <c r="M2730" s="531"/>
      <c r="N2730" s="470"/>
      <c r="O2730" s="531"/>
      <c r="P2730" s="459"/>
      <c r="Q2730" s="469"/>
      <c r="R2730" s="512" t="str">
        <f>R2729</f>
        <v>DELETE</v>
      </c>
    </row>
    <row r="2731" spans="2:26" ht="31.5" customHeight="1" x14ac:dyDescent="0.45">
      <c r="B2731" s="468"/>
      <c r="C2731" s="450" t="s">
        <v>318</v>
      </c>
      <c r="J2731" s="451"/>
      <c r="K2731" s="451">
        <f>B1287</f>
        <v>7</v>
      </c>
      <c r="L2731" s="451"/>
      <c r="M2731" s="531">
        <f>SUM(TrialBalance!L142:L152)</f>
        <v>0</v>
      </c>
      <c r="N2731" s="470"/>
      <c r="O2731" s="531">
        <f>SUM(TrialBalance!N142:N152)</f>
        <v>0</v>
      </c>
      <c r="P2731" s="459"/>
      <c r="Q2731" s="469"/>
      <c r="R2731" s="512" t="str">
        <f>IF(M2731+O2731=0,"DELETE"," ")</f>
        <v>DELETE</v>
      </c>
      <c r="S2731" s="517">
        <f>-M2731</f>
        <v>0</v>
      </c>
      <c r="T2731" s="517"/>
      <c r="U2731" s="517">
        <f>-O2731</f>
        <v>0</v>
      </c>
      <c r="V2731" s="517"/>
      <c r="W2731" s="517"/>
      <c r="X2731" s="517"/>
    </row>
    <row r="2732" spans="2:26" ht="9" customHeight="1" x14ac:dyDescent="0.45">
      <c r="B2732" s="468"/>
      <c r="C2732" s="450"/>
      <c r="J2732" s="451"/>
      <c r="K2732" s="451"/>
      <c r="L2732" s="451"/>
      <c r="M2732" s="535"/>
      <c r="N2732" s="473"/>
      <c r="O2732" s="535"/>
      <c r="P2732" s="459"/>
      <c r="Q2732" s="469"/>
    </row>
    <row r="2733" spans="2:26" ht="9" customHeight="1" x14ac:dyDescent="0.45">
      <c r="B2733" s="468"/>
      <c r="C2733" s="450"/>
      <c r="J2733" s="451"/>
      <c r="K2733" s="451"/>
      <c r="L2733" s="451"/>
      <c r="M2733" s="531"/>
      <c r="N2733" s="470"/>
      <c r="O2733" s="531"/>
      <c r="P2733" s="459"/>
      <c r="Q2733" s="469"/>
    </row>
    <row r="2734" spans="2:26" ht="31.5" customHeight="1" x14ac:dyDescent="0.45">
      <c r="B2734" s="468"/>
      <c r="C2734" s="492" t="str">
        <f>IF((Y2734+Z2734)=3,"PROFIT/(LOSS) BEFORE TAXATION",(IF((Y2734+Z2734=4),"PROFIT BEFORE TAXATION","LOSS BEFORE TAXATION")))</f>
        <v>PROFIT BEFORE TAXATION</v>
      </c>
      <c r="J2734" s="451"/>
      <c r="K2734" s="451"/>
      <c r="L2734" s="451"/>
      <c r="M2734" s="531">
        <f>SUM(S2588:S2733)</f>
        <v>0</v>
      </c>
      <c r="N2734" s="470"/>
      <c r="O2734" s="531">
        <f>SUM(U2588:U2733)</f>
        <v>0</v>
      </c>
      <c r="P2734" s="459"/>
      <c r="Q2734" s="469"/>
      <c r="Y2734" s="513">
        <f>IF(M2734&lt;0,1,IF(M2734=0,IF(O2734&lt;0,1,2),2))</f>
        <v>2</v>
      </c>
      <c r="Z2734" s="513">
        <f>IF(O2734&lt;0,1,IF(O2734=0,IF(M2734&lt;0,1,2),2))</f>
        <v>2</v>
      </c>
    </row>
    <row r="2735" spans="2:26" ht="31.5" customHeight="1" x14ac:dyDescent="0.45">
      <c r="B2735" s="468"/>
      <c r="C2735" s="492"/>
      <c r="J2735" s="451"/>
      <c r="K2735" s="451"/>
      <c r="L2735" s="451"/>
      <c r="M2735" s="531"/>
      <c r="N2735" s="470"/>
      <c r="O2735" s="531"/>
      <c r="P2735" s="459"/>
      <c r="Q2735" s="469"/>
    </row>
    <row r="2736" spans="2:26" ht="31.5" customHeight="1" x14ac:dyDescent="0.45">
      <c r="B2736" s="468"/>
      <c r="C2736" s="492" t="s">
        <v>750</v>
      </c>
      <c r="J2736" s="451"/>
      <c r="K2736" s="451"/>
      <c r="L2736" s="451"/>
      <c r="M2736" s="531"/>
      <c r="N2736" s="470"/>
      <c r="O2736" s="531"/>
      <c r="P2736" s="459"/>
      <c r="Q2736" s="469"/>
      <c r="R2736" s="512" t="str">
        <f>IF(COUNTIF(M2737:M2739,"=0")=3,IF(COUNTIF(O2737:O2739,"=0")=3,"DELETE"," ")," ")</f>
        <v>DELETE</v>
      </c>
    </row>
    <row r="2737" spans="2:26" ht="31.5" customHeight="1" x14ac:dyDescent="0.45">
      <c r="B2737" s="468"/>
      <c r="C2737" s="492"/>
      <c r="D2737" s="463" t="str">
        <f>IF((Y2737+Z2737)=3,CONCATENATE("Net profit/(loss) - ",Criteria!H14),(IF((Y2737+Z2737=4),CONCATENATE("Net profit - ",Criteria!H14),CONCATENATE("Net loss - ",Criteria!H14))))</f>
        <v>Net profit - Seafront Restaurant</v>
      </c>
      <c r="K2737" s="449" t="s">
        <v>753</v>
      </c>
      <c r="M2737" s="531">
        <f>-TrialBalance!L35</f>
        <v>0</v>
      </c>
      <c r="N2737" s="470"/>
      <c r="O2737" s="531">
        <f>-TrialBalance!N35</f>
        <v>0</v>
      </c>
      <c r="Q2737" s="469"/>
      <c r="R2737" s="512" t="str">
        <f>IF(M2737=0,IF(O2737=0,"DELETE"," ")," ")</f>
        <v>DELETE</v>
      </c>
      <c r="S2737" s="517">
        <f>M2737</f>
        <v>0</v>
      </c>
      <c r="U2737" s="517">
        <f>O2737</f>
        <v>0</v>
      </c>
      <c r="Y2737" s="513">
        <f>IF(M2737&lt;0,1,IF(M2737=0,IF(O2737&lt;0,1,2),2))</f>
        <v>2</v>
      </c>
      <c r="Z2737" s="513">
        <f>IF(O2737&lt;0,1,IF(O2737=0,IF(M2737&lt;0,1,2),2))</f>
        <v>2</v>
      </c>
    </row>
    <row r="2738" spans="2:26" ht="31.5" customHeight="1" x14ac:dyDescent="0.45">
      <c r="B2738" s="468"/>
      <c r="C2738" s="492"/>
      <c r="D2738" s="463" t="str">
        <f>IF((Y2738+Z2738)=3,CONCATENATE("Net profit/(loss) - ",Criteria!H15),(IF((Y2738+Z2738=4),CONCATENATE("Net profit - ",Criteria!H15),CONCATENATE("Net loss - ",Criteria!H15))))</f>
        <v>Net profit - Rental Properties</v>
      </c>
      <c r="K2738" s="449" t="s">
        <v>754</v>
      </c>
      <c r="M2738" s="531">
        <f>-TrialBalance!L36</f>
        <v>0</v>
      </c>
      <c r="N2738" s="470"/>
      <c r="O2738" s="531">
        <f>-TrialBalance!N36</f>
        <v>0</v>
      </c>
      <c r="Q2738" s="469"/>
      <c r="R2738" s="512" t="str">
        <f t="shared" ref="R2738:R2739" si="165">IF(M2738=0,IF(O2738=0,"DELETE"," ")," ")</f>
        <v>DELETE</v>
      </c>
      <c r="S2738" s="517">
        <f t="shared" ref="S2738:S2739" si="166">M2738</f>
        <v>0</v>
      </c>
      <c r="U2738" s="517">
        <f t="shared" ref="U2738:U2739" si="167">O2738</f>
        <v>0</v>
      </c>
      <c r="Y2738" s="513">
        <f t="shared" ref="Y2738:Y2739" si="168">IF(M2738&lt;0,1,IF(M2738=0,IF(O2738&lt;0,1,2),2))</f>
        <v>2</v>
      </c>
      <c r="Z2738" s="513">
        <f t="shared" ref="Z2738:Z2739" si="169">IF(O2738&lt;0,1,IF(O2738=0,IF(M2738&lt;0,1,2),2))</f>
        <v>2</v>
      </c>
    </row>
    <row r="2739" spans="2:26" ht="31.5" customHeight="1" x14ac:dyDescent="0.45">
      <c r="B2739" s="468"/>
      <c r="C2739" s="492"/>
      <c r="D2739" s="463" t="str">
        <f>IF((Y2739+Z2739)=3,CONCATENATE("Net profit/(loss) - ",Criteria!H16),(IF((Y2739+Z2739=4),CONCATENATE("Net profit - ",Criteria!H16),CONCATENATE("Net loss - ",Criteria!H16))))</f>
        <v xml:space="preserve">Net profit - </v>
      </c>
      <c r="K2739" s="449" t="s">
        <v>755</v>
      </c>
      <c r="M2739" s="531">
        <f>-TrialBalance!L37</f>
        <v>0</v>
      </c>
      <c r="N2739" s="470"/>
      <c r="O2739" s="531">
        <f>-TrialBalance!N37</f>
        <v>0</v>
      </c>
      <c r="Q2739" s="469"/>
      <c r="R2739" s="512" t="str">
        <f t="shared" si="165"/>
        <v>DELETE</v>
      </c>
      <c r="S2739" s="517">
        <f t="shared" si="166"/>
        <v>0</v>
      </c>
      <c r="U2739" s="517">
        <f t="shared" si="167"/>
        <v>0</v>
      </c>
      <c r="Y2739" s="513">
        <f t="shared" si="168"/>
        <v>2</v>
      </c>
      <c r="Z2739" s="513">
        <f t="shared" si="169"/>
        <v>2</v>
      </c>
    </row>
    <row r="2740" spans="2:26" ht="9" customHeight="1" x14ac:dyDescent="0.45">
      <c r="B2740" s="468"/>
      <c r="C2740" s="492"/>
      <c r="J2740" s="451"/>
      <c r="K2740" s="451"/>
      <c r="L2740" s="451"/>
      <c r="M2740" s="535"/>
      <c r="N2740" s="473"/>
      <c r="O2740" s="535"/>
      <c r="P2740" s="459"/>
      <c r="Q2740" s="469"/>
      <c r="R2740" s="512" t="str">
        <f>R2742</f>
        <v>DELETE</v>
      </c>
    </row>
    <row r="2741" spans="2:26" ht="9" customHeight="1" x14ac:dyDescent="0.45">
      <c r="B2741" s="468"/>
      <c r="C2741" s="492"/>
      <c r="J2741" s="451"/>
      <c r="K2741" s="451"/>
      <c r="L2741" s="451"/>
      <c r="M2741" s="531"/>
      <c r="N2741" s="470"/>
      <c r="O2741" s="531"/>
      <c r="P2741" s="459"/>
      <c r="Q2741" s="469"/>
      <c r="R2741" s="512" t="str">
        <f>R2742</f>
        <v>DELETE</v>
      </c>
    </row>
    <row r="2742" spans="2:26" ht="31.5" customHeight="1" x14ac:dyDescent="0.45">
      <c r="B2742" s="468"/>
      <c r="C2742" s="492"/>
      <c r="J2742" s="451"/>
      <c r="K2742" s="451"/>
      <c r="L2742" s="451"/>
      <c r="M2742" s="531">
        <f>SUM(S2588:S2740)</f>
        <v>0</v>
      </c>
      <c r="N2742" s="470"/>
      <c r="O2742" s="531">
        <f>SUM(U2588:U2740)</f>
        <v>0</v>
      </c>
      <c r="P2742" s="459"/>
      <c r="Q2742" s="469"/>
      <c r="R2742" s="512" t="str">
        <f>R2736</f>
        <v>DELETE</v>
      </c>
    </row>
    <row r="2743" spans="2:26" ht="31.5" customHeight="1" x14ac:dyDescent="0.45">
      <c r="B2743" s="468"/>
      <c r="C2743" s="450"/>
      <c r="J2743" s="451"/>
      <c r="K2743" s="451"/>
      <c r="L2743" s="451"/>
      <c r="M2743" s="531"/>
      <c r="N2743" s="470"/>
      <c r="O2743" s="531"/>
      <c r="P2743" s="459"/>
      <c r="Q2743" s="469"/>
      <c r="R2743" s="512" t="str">
        <f>R2742</f>
        <v>DELETE</v>
      </c>
      <c r="V2743" s="521"/>
      <c r="W2743" s="521"/>
      <c r="X2743" s="521"/>
    </row>
    <row r="2744" spans="2:26" ht="31.5" customHeight="1" x14ac:dyDescent="0.45">
      <c r="B2744" s="468"/>
      <c r="C2744" s="450" t="s">
        <v>319</v>
      </c>
      <c r="J2744" s="451"/>
      <c r="K2744" s="451">
        <f>B1351</f>
        <v>8</v>
      </c>
      <c r="L2744" s="451"/>
      <c r="M2744" s="531">
        <f>SUM(TrialBalance!L157:L162)</f>
        <v>0</v>
      </c>
      <c r="N2744" s="470"/>
      <c r="O2744" s="531">
        <f>SUM(TrialBalance!N157:N162)</f>
        <v>0</v>
      </c>
      <c r="P2744" s="459"/>
      <c r="Q2744" s="469"/>
      <c r="S2744" s="517">
        <f>-M2744</f>
        <v>0</v>
      </c>
      <c r="T2744" s="517"/>
      <c r="U2744" s="517">
        <f>-O2744</f>
        <v>0</v>
      </c>
      <c r="V2744" s="513" t="b">
        <f>M2744=M1370</f>
        <v>1</v>
      </c>
      <c r="X2744" s="513" t="b">
        <f>O2744=O1370</f>
        <v>1</v>
      </c>
    </row>
    <row r="2745" spans="2:26" ht="9" customHeight="1" x14ac:dyDescent="0.45">
      <c r="B2745" s="468"/>
      <c r="C2745" s="450"/>
      <c r="J2745" s="451"/>
      <c r="K2745" s="451"/>
      <c r="L2745" s="451"/>
      <c r="M2745" s="535"/>
      <c r="N2745" s="473"/>
      <c r="O2745" s="535"/>
      <c r="P2745" s="459"/>
      <c r="Q2745" s="469"/>
    </row>
    <row r="2746" spans="2:26" ht="9" customHeight="1" x14ac:dyDescent="0.45">
      <c r="B2746" s="468"/>
      <c r="C2746" s="450"/>
      <c r="J2746" s="451"/>
      <c r="K2746" s="451"/>
      <c r="L2746" s="451"/>
      <c r="M2746" s="531"/>
      <c r="N2746" s="470"/>
      <c r="O2746" s="531"/>
      <c r="P2746" s="459"/>
      <c r="Q2746" s="469"/>
    </row>
    <row r="2747" spans="2:26" ht="31.5" customHeight="1" x14ac:dyDescent="0.45">
      <c r="B2747" s="468"/>
      <c r="C2747" s="492" t="str">
        <f>IF((Y2747+Z2747)=3,"NET PROFIT/(LOSS) FOR THE YEAR AFTER TAXATION",(IF((Y2747+Z2747=4),"NET PROFIT FOR THE YEAR AFTER TAXATION","NET LOSS FOR THE YEAR AFTER TAXATION")))</f>
        <v>NET PROFIT FOR THE YEAR AFTER TAXATION</v>
      </c>
      <c r="J2747" s="451"/>
      <c r="K2747" s="451"/>
      <c r="L2747" s="451"/>
      <c r="M2747" s="531">
        <f>SUM(S2588:S2745)</f>
        <v>0</v>
      </c>
      <c r="N2747" s="470"/>
      <c r="O2747" s="531">
        <f>SUM(U2588:U2745)</f>
        <v>0</v>
      </c>
      <c r="P2747" s="459"/>
      <c r="Q2747" s="469"/>
      <c r="V2747" s="513" t="b">
        <f>-SUM(TrialBalance!L5:L162)=FS!M2747</f>
        <v>1</v>
      </c>
      <c r="X2747" s="513" t="b">
        <f>-SUM(TrialBalance!N5:N162)=FS!O2747</f>
        <v>1</v>
      </c>
      <c r="Y2747" s="513">
        <f>IF(M2747&lt;0,1,IF(M2747=0,IF(O2747&lt;0,1,2),2))</f>
        <v>2</v>
      </c>
      <c r="Z2747" s="513">
        <f>IF(O2747&lt;0,1,IF(O2747=0,IF(M2747&lt;0,1,2),2))</f>
        <v>2</v>
      </c>
    </row>
    <row r="2748" spans="2:26" ht="9" customHeight="1" thickBot="1" x14ac:dyDescent="0.5">
      <c r="B2748" s="468"/>
      <c r="C2748" s="450"/>
      <c r="J2748" s="451"/>
      <c r="K2748" s="451"/>
      <c r="L2748" s="451"/>
      <c r="M2748" s="536"/>
      <c r="N2748" s="474"/>
      <c r="O2748" s="536"/>
      <c r="P2748" s="459"/>
      <c r="Q2748" s="469"/>
    </row>
    <row r="2749" spans="2:26" ht="9" customHeight="1" thickTop="1" x14ac:dyDescent="0.45">
      <c r="B2749" s="468"/>
      <c r="C2749" s="450"/>
      <c r="J2749" s="451"/>
      <c r="K2749" s="451"/>
      <c r="L2749" s="451"/>
      <c r="M2749" s="531"/>
      <c r="N2749" s="470"/>
      <c r="O2749" s="531"/>
      <c r="P2749" s="459"/>
      <c r="Q2749" s="469"/>
    </row>
    <row r="2750" spans="2:26" ht="31.5" customHeight="1" x14ac:dyDescent="0.45">
      <c r="B2750" s="468"/>
      <c r="C2750" s="450"/>
      <c r="J2750" s="451"/>
      <c r="K2750" s="451"/>
      <c r="L2750" s="451"/>
      <c r="M2750" s="531"/>
      <c r="N2750" s="470"/>
      <c r="O2750" s="531"/>
      <c r="P2750" s="459"/>
      <c r="Q2750" s="469"/>
    </row>
    <row r="2751" spans="2:26" ht="31.5" customHeight="1" x14ac:dyDescent="0.45">
      <c r="B2751" s="477"/>
      <c r="C2751" s="461"/>
      <c r="D2751" s="461"/>
      <c r="E2751" s="461"/>
      <c r="F2751" s="461"/>
      <c r="G2751" s="461"/>
      <c r="H2751" s="461"/>
      <c r="I2751" s="461"/>
      <c r="J2751" s="461"/>
      <c r="K2751" s="461"/>
      <c r="L2751" s="461"/>
      <c r="M2751" s="640"/>
      <c r="N2751" s="646"/>
      <c r="O2751" s="640"/>
      <c r="P2751" s="631"/>
      <c r="Q2751" s="479"/>
    </row>
    <row r="2752" spans="2:26" ht="31.5" customHeight="1" x14ac:dyDescent="0.45">
      <c r="M2752" s="635"/>
      <c r="N2752" s="621"/>
      <c r="O2752" s="635"/>
    </row>
    <row r="2753" spans="2:20" ht="31.5" customHeight="1" x14ac:dyDescent="0.45">
      <c r="M2753" s="635"/>
      <c r="N2753" s="621"/>
      <c r="O2753" s="635"/>
    </row>
    <row r="2754" spans="2:20" ht="31.5" customHeight="1" x14ac:dyDescent="0.45">
      <c r="D2754" s="450" t="str">
        <f>Criteria!E9</f>
        <v>ABC COMPANY (PROPRIETARY) LIMITED</v>
      </c>
      <c r="M2754" s="635"/>
      <c r="N2754" s="621"/>
      <c r="O2754" s="531" t="s">
        <v>121</v>
      </c>
      <c r="Q2754" s="451">
        <f>MAX($Q$114:Q2753)+1</f>
        <v>67</v>
      </c>
    </row>
    <row r="2755" spans="2:20" ht="31.5" customHeight="1" x14ac:dyDescent="0.45">
      <c r="D2755" s="450" t="str">
        <f>Criteria!E10</f>
        <v>T/A SEAFRONT HOTEL, SEAFRONT RESTAURANT AND RENTAL PROPERTIES</v>
      </c>
      <c r="M2755" s="635"/>
      <c r="N2755" s="621"/>
      <c r="O2755" s="635"/>
      <c r="R2755" s="512" t="str">
        <f>IF(D2755=0,"DELETE"," ")</f>
        <v xml:space="preserve"> </v>
      </c>
    </row>
    <row r="2756" spans="2:20" ht="31.5" customHeight="1" x14ac:dyDescent="0.45">
      <c r="M2756" s="635"/>
      <c r="N2756" s="621"/>
      <c r="O2756" s="635"/>
    </row>
    <row r="2757" spans="2:20" ht="31.5" customHeight="1" x14ac:dyDescent="0.45">
      <c r="D2757" s="450" t="s">
        <v>320</v>
      </c>
      <c r="M2757" s="635"/>
      <c r="N2757" s="621"/>
      <c r="O2757" s="635"/>
    </row>
    <row r="2758" spans="2:20" ht="31.5" customHeight="1" x14ac:dyDescent="0.45">
      <c r="D2758" s="450" t="str">
        <f>Criteria!E20</f>
        <v>29 FEBRUARY 2024</v>
      </c>
      <c r="M2758" s="635"/>
      <c r="N2758" s="621"/>
      <c r="O2758" s="635"/>
    </row>
    <row r="2759" spans="2:20" ht="31.5" customHeight="1" x14ac:dyDescent="0.45">
      <c r="M2759" s="635"/>
      <c r="N2759" s="621"/>
      <c r="O2759" s="635"/>
    </row>
    <row r="2760" spans="2:20" ht="31.5" customHeight="1" x14ac:dyDescent="0.45">
      <c r="B2760" s="465"/>
      <c r="C2760" s="466"/>
      <c r="D2760" s="466"/>
      <c r="E2760" s="466"/>
      <c r="F2760" s="466"/>
      <c r="G2760" s="466"/>
      <c r="H2760" s="466"/>
      <c r="I2760" s="466"/>
      <c r="J2760" s="466"/>
      <c r="K2760" s="466"/>
      <c r="L2760" s="466"/>
      <c r="M2760" s="648"/>
      <c r="N2760" s="649"/>
      <c r="O2760" s="648"/>
      <c r="P2760" s="643"/>
      <c r="Q2760" s="467"/>
    </row>
    <row r="2761" spans="2:20" ht="31.5" customHeight="1" x14ac:dyDescent="0.45">
      <c r="B2761" s="468"/>
      <c r="M2761" s="635"/>
      <c r="N2761" s="621"/>
      <c r="O2761" s="635"/>
      <c r="Q2761" s="469"/>
    </row>
    <row r="2762" spans="2:20" ht="31.5" customHeight="1" x14ac:dyDescent="0.45">
      <c r="B2762" s="468"/>
      <c r="D2762" s="449" t="str">
        <f>IF(O2762&lt;0,"NET LOSS FOR THE YEAR","NET PROFIT FOR THE YEAR")</f>
        <v>NET PROFIT FOR THE YEAR</v>
      </c>
      <c r="M2762" s="635"/>
      <c r="N2762" s="621"/>
      <c r="O2762" s="635">
        <f>M548</f>
        <v>0</v>
      </c>
      <c r="Q2762" s="469"/>
      <c r="S2762" s="518">
        <f>O2762</f>
        <v>0</v>
      </c>
      <c r="T2762" s="518"/>
    </row>
    <row r="2763" spans="2:20" ht="31.5" customHeight="1" x14ac:dyDescent="0.45">
      <c r="B2763" s="468"/>
      <c r="M2763" s="635"/>
      <c r="N2763" s="621"/>
      <c r="O2763" s="635"/>
      <c r="Q2763" s="469"/>
    </row>
    <row r="2764" spans="2:20" ht="31.5" customHeight="1" x14ac:dyDescent="0.45">
      <c r="B2764" s="468"/>
      <c r="D2764" s="449" t="s">
        <v>321</v>
      </c>
      <c r="M2764" s="635"/>
      <c r="N2764" s="621"/>
      <c r="O2764" s="635">
        <f>SUM(M2764:M2781)</f>
        <v>0</v>
      </c>
      <c r="Q2764" s="469"/>
      <c r="R2764" s="512" t="str">
        <f>IF(O2764=0,"DELETE"," ")</f>
        <v>DELETE</v>
      </c>
      <c r="S2764" s="518">
        <f>O2764</f>
        <v>0</v>
      </c>
      <c r="T2764" s="518"/>
    </row>
    <row r="2765" spans="2:20" ht="31.5" customHeight="1" x14ac:dyDescent="0.45">
      <c r="B2765" s="468"/>
      <c r="D2765" s="449" t="s">
        <v>1488</v>
      </c>
      <c r="K2765" s="464"/>
      <c r="M2765" s="635">
        <f>TrialBalance!L139+TrialBalanceA!I139+TrialBalanceB!I139+TrialBalanceC!I139</f>
        <v>0</v>
      </c>
      <c r="N2765" s="621"/>
      <c r="O2765" s="635"/>
      <c r="Q2765" s="469"/>
      <c r="R2765" s="512" t="str">
        <f>IF(M2765=0,"DELETE"," ")</f>
        <v>DELETE</v>
      </c>
      <c r="S2765" s="518"/>
      <c r="T2765" s="518"/>
    </row>
    <row r="2766" spans="2:20" ht="31.5" customHeight="1" x14ac:dyDescent="0.45">
      <c r="B2766" s="468"/>
      <c r="D2766" s="449" t="s">
        <v>1484</v>
      </c>
      <c r="K2766" s="464"/>
      <c r="M2766" s="635">
        <f>TrialBalance!L138+TrialBalanceA!I138+TrialBalanceB!I138+TrialBalanceC!I138</f>
        <v>0</v>
      </c>
      <c r="N2766" s="621"/>
      <c r="O2766" s="635"/>
      <c r="Q2766" s="469"/>
      <c r="R2766" s="512" t="str">
        <f t="shared" ref="R2766:R2780" si="170">IF(M2766=0,"DELETE"," ")</f>
        <v>DELETE</v>
      </c>
      <c r="S2766" s="518"/>
      <c r="T2766" s="518"/>
    </row>
    <row r="2767" spans="2:20" ht="31.5" customHeight="1" x14ac:dyDescent="0.45">
      <c r="B2767" s="468"/>
      <c r="D2767" s="449" t="s">
        <v>635</v>
      </c>
      <c r="M2767" s="635">
        <f>O2852</f>
        <v>0</v>
      </c>
      <c r="N2767" s="621"/>
      <c r="O2767" s="635"/>
      <c r="Q2767" s="469"/>
      <c r="R2767" s="512" t="str">
        <f t="shared" si="170"/>
        <v>DELETE</v>
      </c>
    </row>
    <row r="2768" spans="2:20" ht="31.5" customHeight="1" x14ac:dyDescent="0.45">
      <c r="B2768" s="468"/>
      <c r="D2768" s="449" t="s">
        <v>337</v>
      </c>
      <c r="M2768" s="635">
        <f>M1211</f>
        <v>0</v>
      </c>
      <c r="N2768" s="621"/>
      <c r="O2768" s="635"/>
      <c r="Q2768" s="469"/>
      <c r="R2768" s="512" t="str">
        <f t="shared" si="170"/>
        <v>DELETE</v>
      </c>
    </row>
    <row r="2769" spans="2:18" ht="31.5" customHeight="1" x14ac:dyDescent="0.45">
      <c r="B2769" s="468"/>
      <c r="D2769" s="449" t="s">
        <v>315</v>
      </c>
      <c r="K2769" s="464"/>
      <c r="M2769" s="635">
        <f>TrialBalance!L116+TrialBalanceA!I116+TrialBalanceB!I116+TrialBalanceC!I116</f>
        <v>0</v>
      </c>
      <c r="N2769" s="621"/>
      <c r="O2769" s="635"/>
      <c r="Q2769" s="469"/>
      <c r="R2769" s="512" t="str">
        <f t="shared" si="170"/>
        <v>DELETE</v>
      </c>
    </row>
    <row r="2770" spans="2:18" ht="31.5" customHeight="1" x14ac:dyDescent="0.45">
      <c r="B2770" s="468"/>
      <c r="D2770" s="449" t="s">
        <v>392</v>
      </c>
      <c r="K2770" s="464"/>
      <c r="M2770" s="635">
        <f>TrialBalance!L118+TrialBalanceA!I118+TrialBalanceB!I118+TrialBalanceC!I118</f>
        <v>0</v>
      </c>
      <c r="N2770" s="621"/>
      <c r="O2770" s="635"/>
      <c r="Q2770" s="469"/>
      <c r="R2770" s="512" t="str">
        <f t="shared" si="170"/>
        <v>DELETE</v>
      </c>
    </row>
    <row r="2771" spans="2:18" ht="31.5" customHeight="1" x14ac:dyDescent="0.45">
      <c r="B2771" s="468"/>
      <c r="D2771" s="449" t="s">
        <v>1486</v>
      </c>
      <c r="K2771" s="464"/>
      <c r="M2771" s="635">
        <f>TrialBalance!L154+TrialBalanceA!I154+TrialBalanceB!I154+TrialBalanceC!I154</f>
        <v>0</v>
      </c>
      <c r="N2771" s="621"/>
      <c r="O2771" s="635"/>
      <c r="Q2771" s="469"/>
      <c r="R2771" s="512" t="str">
        <f>IF(M2771=0,"DELETE"," ")</f>
        <v>DELETE</v>
      </c>
    </row>
    <row r="2772" spans="2:18" ht="31.5" customHeight="1" x14ac:dyDescent="0.45">
      <c r="B2772" s="468"/>
      <c r="D2772" s="449" t="s">
        <v>605</v>
      </c>
      <c r="K2772" s="464"/>
      <c r="M2772" s="635">
        <f>TrialBalance!L121+TrialBalanceA!I121+TrialBalanceB!I121+TrialBalanceC!I121</f>
        <v>0</v>
      </c>
      <c r="N2772" s="621"/>
      <c r="O2772" s="635"/>
      <c r="Q2772" s="469"/>
      <c r="R2772" s="512" t="str">
        <f t="shared" si="170"/>
        <v>DELETE</v>
      </c>
    </row>
    <row r="2773" spans="2:18" ht="31.5" customHeight="1" x14ac:dyDescent="0.45">
      <c r="B2773" s="468"/>
      <c r="D2773" s="449" t="s">
        <v>633</v>
      </c>
      <c r="K2773" s="657"/>
      <c r="M2773" s="635">
        <f>IF(TrialBalance!L93&gt;0,TrialBalance!L93,0)+IF(TrialBalanceA!I93&gt;0,TrialBalanceA!I93,0)+IF(TrialBalanceB!I93&gt;0,TrialBalanceB!I93,0)+IF(TrialBalanceC!I93&gt;0,TrialBalanceC!I93,0)</f>
        <v>0</v>
      </c>
      <c r="N2773" s="621"/>
      <c r="O2773" s="635"/>
      <c r="Q2773" s="469"/>
      <c r="R2773" s="512" t="str">
        <f t="shared" si="170"/>
        <v>DELETE</v>
      </c>
    </row>
    <row r="2774" spans="2:18" ht="31.5" customHeight="1" x14ac:dyDescent="0.45">
      <c r="B2774" s="468"/>
      <c r="D2774" s="449" t="s">
        <v>1554</v>
      </c>
      <c r="M2774" s="635">
        <f>TrialBalance!L155+TrialBalanceA!I155+TrialBalanceB!I155+TrialBalanceC!I155</f>
        <v>0</v>
      </c>
      <c r="N2774" s="621"/>
      <c r="O2774" s="635"/>
      <c r="Q2774" s="469"/>
      <c r="R2774" s="512" t="str">
        <f t="shared" si="170"/>
        <v>DELETE</v>
      </c>
    </row>
    <row r="2775" spans="2:18" ht="31.5" customHeight="1" x14ac:dyDescent="0.45">
      <c r="B2775" s="468"/>
      <c r="D2775" s="449" t="str">
        <f>Criteria!C490</f>
        <v>section 8(4)(a) Recoupment of allowances</v>
      </c>
      <c r="M2775" s="635">
        <f>Criteria!G490</f>
        <v>0</v>
      </c>
      <c r="N2775" s="621"/>
      <c r="O2775" s="635"/>
      <c r="Q2775" s="469"/>
      <c r="R2775" s="512" t="str">
        <f t="shared" si="170"/>
        <v>DELETE</v>
      </c>
    </row>
    <row r="2776" spans="2:18" ht="31.5" customHeight="1" x14ac:dyDescent="0.45">
      <c r="B2776" s="468"/>
      <c r="D2776" s="449" t="s">
        <v>99</v>
      </c>
      <c r="M2776" s="635">
        <f>TrialBalance!L128+TrialBalanceA!I128+TrialBalanceB!I128+TrialBalanceC!I128</f>
        <v>0</v>
      </c>
      <c r="N2776" s="621"/>
      <c r="O2776" s="635"/>
      <c r="Q2776" s="469"/>
      <c r="R2776" s="512" t="str">
        <f t="shared" si="170"/>
        <v>DELETE</v>
      </c>
    </row>
    <row r="2777" spans="2:18" ht="31.5" customHeight="1" x14ac:dyDescent="0.45">
      <c r="B2777" s="468"/>
      <c r="D2777" s="449">
        <f>Criteria!C491</f>
        <v>0</v>
      </c>
      <c r="M2777" s="635">
        <f>Criteria!G491</f>
        <v>0</v>
      </c>
      <c r="N2777" s="621"/>
      <c r="O2777" s="635"/>
      <c r="Q2777" s="469"/>
      <c r="R2777" s="512" t="str">
        <f t="shared" si="170"/>
        <v>DELETE</v>
      </c>
    </row>
    <row r="2778" spans="2:18" ht="31.5" customHeight="1" x14ac:dyDescent="0.45">
      <c r="B2778" s="468"/>
      <c r="D2778" s="449">
        <f>Criteria!C492</f>
        <v>0</v>
      </c>
      <c r="M2778" s="635">
        <f>Criteria!G492</f>
        <v>0</v>
      </c>
      <c r="N2778" s="621"/>
      <c r="O2778" s="635"/>
      <c r="Q2778" s="469"/>
      <c r="R2778" s="512" t="str">
        <f t="shared" si="170"/>
        <v>DELETE</v>
      </c>
    </row>
    <row r="2779" spans="2:18" ht="31.5" customHeight="1" x14ac:dyDescent="0.45">
      <c r="B2779" s="468"/>
      <c r="D2779" s="449">
        <f>Criteria!C493</f>
        <v>0</v>
      </c>
      <c r="M2779" s="635">
        <f>Criteria!G493</f>
        <v>0</v>
      </c>
      <c r="N2779" s="621"/>
      <c r="O2779" s="635"/>
      <c r="Q2779" s="469"/>
      <c r="R2779" s="512" t="str">
        <f t="shared" si="170"/>
        <v>DELETE</v>
      </c>
    </row>
    <row r="2780" spans="2:18" ht="31.5" customHeight="1" x14ac:dyDescent="0.45">
      <c r="B2780" s="468"/>
      <c r="D2780" s="449">
        <f>Criteria!C494</f>
        <v>0</v>
      </c>
      <c r="M2780" s="635">
        <f>Criteria!G494</f>
        <v>0</v>
      </c>
      <c r="N2780" s="621"/>
      <c r="O2780" s="635"/>
      <c r="Q2780" s="469"/>
      <c r="R2780" s="512" t="str">
        <f t="shared" si="170"/>
        <v>DELETE</v>
      </c>
    </row>
    <row r="2781" spans="2:18" ht="9" customHeight="1" x14ac:dyDescent="0.45">
      <c r="B2781" s="468"/>
      <c r="M2781" s="640"/>
      <c r="N2781" s="646"/>
      <c r="O2781" s="640"/>
      <c r="Q2781" s="469"/>
      <c r="R2781" s="512" t="str">
        <f>R2764</f>
        <v>DELETE</v>
      </c>
    </row>
    <row r="2782" spans="2:18" ht="9" customHeight="1" x14ac:dyDescent="0.45">
      <c r="B2782" s="468"/>
      <c r="M2782" s="635"/>
      <c r="N2782" s="621"/>
      <c r="O2782" s="635"/>
      <c r="Q2782" s="469"/>
      <c r="R2782" s="512" t="str">
        <f>R2764</f>
        <v>DELETE</v>
      </c>
    </row>
    <row r="2783" spans="2:18" ht="31.5" customHeight="1" x14ac:dyDescent="0.45">
      <c r="B2783" s="468"/>
      <c r="M2783" s="635"/>
      <c r="N2783" s="621"/>
      <c r="O2783" s="635">
        <f>SUM(O2762:O2772)</f>
        <v>0</v>
      </c>
      <c r="Q2783" s="469"/>
      <c r="R2783" s="512" t="str">
        <f>R2764</f>
        <v>DELETE</v>
      </c>
    </row>
    <row r="2784" spans="2:18" ht="31.5" customHeight="1" x14ac:dyDescent="0.45">
      <c r="B2784" s="468"/>
      <c r="M2784" s="635"/>
      <c r="N2784" s="621"/>
      <c r="O2784" s="635"/>
      <c r="Q2784" s="469"/>
      <c r="R2784" s="512" t="str">
        <f>R2783</f>
        <v>DELETE</v>
      </c>
    </row>
    <row r="2785" spans="2:20" ht="31.5" customHeight="1" x14ac:dyDescent="0.45">
      <c r="B2785" s="468"/>
      <c r="D2785" s="449" t="s">
        <v>191</v>
      </c>
      <c r="M2785" s="635"/>
      <c r="N2785" s="621"/>
      <c r="O2785" s="635">
        <f>SUM(M2785:M2797)</f>
        <v>0</v>
      </c>
      <c r="Q2785" s="469"/>
      <c r="R2785" s="512" t="str">
        <f>IF(O2785=0,"DELETE"," ")</f>
        <v>DELETE</v>
      </c>
      <c r="S2785" s="518">
        <f>-O2785</f>
        <v>0</v>
      </c>
      <c r="T2785" s="518"/>
    </row>
    <row r="2786" spans="2:20" ht="31.5" customHeight="1" x14ac:dyDescent="0.45">
      <c r="B2786" s="468"/>
      <c r="D2786" s="449" t="str">
        <f>Criteria!C496</f>
        <v>section 11 (e) Wear-and-tear allowance</v>
      </c>
      <c r="K2786" s="464"/>
      <c r="M2786" s="635">
        <f>Criteria!G496</f>
        <v>0</v>
      </c>
      <c r="N2786" s="621"/>
      <c r="O2786" s="635"/>
      <c r="Q2786" s="469"/>
      <c r="R2786" s="512" t="str">
        <f t="shared" ref="R2786:R2792" si="171">IF(M2786=0,"DELETE"," ")</f>
        <v>DELETE</v>
      </c>
    </row>
    <row r="2787" spans="2:20" ht="31.5" customHeight="1" x14ac:dyDescent="0.45">
      <c r="B2787" s="468"/>
      <c r="D2787" s="449" t="str">
        <f>Criteria!C497</f>
        <v>a13 quin Commercial buildings allowance</v>
      </c>
      <c r="K2787" s="464"/>
      <c r="M2787" s="635">
        <f>Criteria!G497</f>
        <v>0</v>
      </c>
      <c r="N2787" s="621"/>
      <c r="O2787" s="635"/>
      <c r="Q2787" s="469"/>
      <c r="R2787" s="512" t="str">
        <f t="shared" si="171"/>
        <v>DELETE</v>
      </c>
    </row>
    <row r="2788" spans="2:20" ht="31.5" customHeight="1" x14ac:dyDescent="0.45">
      <c r="B2788" s="468"/>
      <c r="D2788" s="449" t="str">
        <f>Criteria!C498</f>
        <v>section 11(o) Scrapping allowance</v>
      </c>
      <c r="K2788" s="464"/>
      <c r="M2788" s="635">
        <f>Criteria!G498</f>
        <v>0</v>
      </c>
      <c r="N2788" s="621"/>
      <c r="O2788" s="635"/>
      <c r="Q2788" s="469"/>
      <c r="R2788" s="512" t="str">
        <f t="shared" si="171"/>
        <v>DELETE</v>
      </c>
    </row>
    <row r="2789" spans="2:20" ht="31.5" customHeight="1" x14ac:dyDescent="0.45">
      <c r="B2789" s="468"/>
      <c r="D2789" s="449" t="s">
        <v>636</v>
      </c>
      <c r="K2789" s="464"/>
      <c r="M2789" s="635">
        <f>-TrialBalance!L90-TrialBalanceA!I90-TrialBalanceB!I90-TrialBalanceC!I90</f>
        <v>0</v>
      </c>
      <c r="N2789" s="621"/>
      <c r="O2789" s="635"/>
      <c r="Q2789" s="469"/>
      <c r="R2789" s="512" t="str">
        <f t="shared" si="171"/>
        <v>DELETE</v>
      </c>
    </row>
    <row r="2790" spans="2:20" ht="31.5" customHeight="1" x14ac:dyDescent="0.45">
      <c r="B2790" s="468"/>
      <c r="D2790" s="449" t="s">
        <v>1531</v>
      </c>
      <c r="K2790" s="464"/>
      <c r="M2790" s="635">
        <f>-TrialBalance!L91-TrialBalanceA!I91-TrialBalanceB!I91-TrialBalanceC!I91</f>
        <v>0</v>
      </c>
      <c r="N2790" s="621"/>
      <c r="O2790" s="635"/>
      <c r="Q2790" s="469"/>
      <c r="R2790" s="512" t="str">
        <f>IF(M2790=0,"DELETE"," ")</f>
        <v>DELETE</v>
      </c>
    </row>
    <row r="2791" spans="2:20" ht="31.5" customHeight="1" x14ac:dyDescent="0.45">
      <c r="B2791" s="468"/>
      <c r="D2791" s="449" t="s">
        <v>634</v>
      </c>
      <c r="M2791" s="635">
        <f>IF(TrialBalance!L93&lt;0,-TrialBalance!L93,0)+IF(TrialBalanceA!I93&lt;0,-TrialBalanceA!I93,0)+IF(TrialBalanceB!I93&lt;0,-TrialBalanceB!I93,0)+IF(TrialBalanceC!I93&lt;0,-TrialBalanceC!I93,0)</f>
        <v>0</v>
      </c>
      <c r="N2791" s="621"/>
      <c r="O2791" s="635"/>
      <c r="Q2791" s="469"/>
      <c r="R2791" s="512" t="str">
        <f t="shared" si="171"/>
        <v>DELETE</v>
      </c>
    </row>
    <row r="2792" spans="2:20" ht="31.5" customHeight="1" x14ac:dyDescent="0.45">
      <c r="B2792" s="468"/>
      <c r="D2792" s="449" t="s">
        <v>1079</v>
      </c>
      <c r="M2792" s="635">
        <f>-TrialBalance!L29-TrialBalanceA!I29-TrialBalanceB!I29-TrialBalanceC!I29</f>
        <v>0</v>
      </c>
      <c r="N2792" s="621"/>
      <c r="O2792" s="635"/>
      <c r="Q2792" s="469"/>
      <c r="R2792" s="512" t="str">
        <f t="shared" si="171"/>
        <v>DELETE</v>
      </c>
    </row>
    <row r="2793" spans="2:20" ht="31.5" customHeight="1" x14ac:dyDescent="0.45">
      <c r="B2793" s="468"/>
      <c r="D2793" s="449" t="s">
        <v>1545</v>
      </c>
      <c r="M2793" s="635">
        <f>-TrialBalance!L33-TrialBalanceA!I33-TrialBalanceB!I33-TrialBalanceC!I33</f>
        <v>0</v>
      </c>
      <c r="N2793" s="621"/>
      <c r="O2793" s="635"/>
      <c r="Q2793" s="469"/>
      <c r="R2793" s="512" t="str">
        <f>IF(M2793=0,"DELETE"," ")</f>
        <v>DELETE</v>
      </c>
    </row>
    <row r="2794" spans="2:20" ht="31.5" customHeight="1" x14ac:dyDescent="0.45">
      <c r="B2794" s="468"/>
      <c r="D2794" s="449" t="s">
        <v>1547</v>
      </c>
      <c r="M2794" s="635">
        <f>-TrialBalance!L96-TrialBalanceA!I96-TrialBalanceB!I96-TrialBalanceC!I96</f>
        <v>0</v>
      </c>
      <c r="N2794" s="621"/>
      <c r="O2794" s="635"/>
      <c r="Q2794" s="469"/>
      <c r="R2794" s="512" t="str">
        <f>IF(M2794=0,"DELETE"," ")</f>
        <v>DELETE</v>
      </c>
    </row>
    <row r="2795" spans="2:20" ht="31.5" customHeight="1" x14ac:dyDescent="0.45">
      <c r="B2795" s="468"/>
      <c r="D2795" s="620">
        <f>Criteria!C499</f>
        <v>0</v>
      </c>
      <c r="M2795" s="635">
        <f>Criteria!G499</f>
        <v>0</v>
      </c>
      <c r="N2795" s="621"/>
      <c r="O2795" s="635"/>
      <c r="Q2795" s="469"/>
      <c r="R2795" s="512" t="str">
        <f t="shared" ref="R2795:R2796" si="172">IF(M2795=0,"DELETE"," ")</f>
        <v>DELETE</v>
      </c>
    </row>
    <row r="2796" spans="2:20" ht="31.5" customHeight="1" x14ac:dyDescent="0.45">
      <c r="B2796" s="468"/>
      <c r="D2796" s="510">
        <f>Criteria!C500</f>
        <v>0</v>
      </c>
      <c r="M2796" s="635">
        <f>Criteria!G500</f>
        <v>0</v>
      </c>
      <c r="N2796" s="621"/>
      <c r="O2796" s="635"/>
      <c r="Q2796" s="469"/>
      <c r="R2796" s="512" t="str">
        <f t="shared" si="172"/>
        <v>DELETE</v>
      </c>
    </row>
    <row r="2797" spans="2:20" ht="9" customHeight="1" x14ac:dyDescent="0.45">
      <c r="B2797" s="468"/>
      <c r="M2797" s="640"/>
      <c r="N2797" s="646"/>
      <c r="O2797" s="640"/>
      <c r="Q2797" s="469"/>
      <c r="R2797" s="512" t="str">
        <f>R2798</f>
        <v>DELETE</v>
      </c>
    </row>
    <row r="2798" spans="2:20" ht="9" customHeight="1" x14ac:dyDescent="0.45">
      <c r="B2798" s="468"/>
      <c r="M2798" s="635"/>
      <c r="N2798" s="621"/>
      <c r="O2798" s="635"/>
      <c r="Q2798" s="469"/>
      <c r="R2798" s="512" t="str">
        <f>R2799</f>
        <v>DELETE</v>
      </c>
    </row>
    <row r="2799" spans="2:20" ht="31.5" customHeight="1" x14ac:dyDescent="0.45">
      <c r="B2799" s="468"/>
      <c r="M2799" s="635"/>
      <c r="N2799" s="621"/>
      <c r="O2799" s="635">
        <f>SUM(S2762:S2796)</f>
        <v>0</v>
      </c>
      <c r="Q2799" s="469"/>
      <c r="R2799" s="512" t="str">
        <f>R2800</f>
        <v>DELETE</v>
      </c>
    </row>
    <row r="2800" spans="2:20" ht="31.5" customHeight="1" x14ac:dyDescent="0.45">
      <c r="B2800" s="468"/>
      <c r="D2800" s="449" t="s">
        <v>192</v>
      </c>
      <c r="M2800" s="635"/>
      <c r="N2800" s="621"/>
      <c r="O2800" s="635">
        <f>-Criteria!G486</f>
        <v>0</v>
      </c>
      <c r="Q2800" s="469"/>
      <c r="R2800" s="512" t="str">
        <f>IF(O2800=0,"DELETE"," ")</f>
        <v>DELETE</v>
      </c>
      <c r="S2800" s="517">
        <f>O2800</f>
        <v>0</v>
      </c>
      <c r="T2800" s="517"/>
    </row>
    <row r="2801" spans="2:20" ht="9" customHeight="1" x14ac:dyDescent="0.45">
      <c r="B2801" s="468"/>
      <c r="M2801" s="640"/>
      <c r="N2801" s="646"/>
      <c r="O2801" s="640"/>
      <c r="Q2801" s="469"/>
    </row>
    <row r="2802" spans="2:20" ht="9" customHeight="1" x14ac:dyDescent="0.45">
      <c r="B2802" s="468"/>
      <c r="M2802" s="635"/>
      <c r="N2802" s="621"/>
      <c r="O2802" s="635"/>
      <c r="Q2802" s="469"/>
    </row>
    <row r="2803" spans="2:20" ht="31.5" customHeight="1" x14ac:dyDescent="0.45">
      <c r="B2803" s="468"/>
      <c r="D2803" s="449" t="str">
        <f>IF(O2803&lt;0,"ESTIMATED TAX LOSS CARRIED FORWARD","TAXABLE INCOME FOR THE YEAR")</f>
        <v>TAXABLE INCOME FOR THE YEAR</v>
      </c>
      <c r="M2803" s="635"/>
      <c r="N2803" s="621"/>
      <c r="O2803" s="635">
        <f>SUM(S2762:S2801)</f>
        <v>0</v>
      </c>
      <c r="Q2803" s="469"/>
    </row>
    <row r="2804" spans="2:20" ht="9" customHeight="1" thickBot="1" x14ac:dyDescent="0.5">
      <c r="B2804" s="468"/>
      <c r="M2804" s="635"/>
      <c r="N2804" s="621"/>
      <c r="O2804" s="638"/>
      <c r="Q2804" s="469"/>
    </row>
    <row r="2805" spans="2:20" ht="9" customHeight="1" thickTop="1" x14ac:dyDescent="0.45">
      <c r="B2805" s="468"/>
      <c r="M2805" s="635"/>
      <c r="N2805" s="621"/>
      <c r="O2805" s="635"/>
      <c r="Q2805" s="469"/>
    </row>
    <row r="2806" spans="2:20" ht="31.5" customHeight="1" x14ac:dyDescent="0.45">
      <c r="B2806" s="468"/>
      <c r="K2806" s="510"/>
      <c r="Q2806" s="469"/>
    </row>
    <row r="2807" spans="2:20" ht="31.5" customHeight="1" x14ac:dyDescent="0.45">
      <c r="B2807" s="468"/>
      <c r="D2807" s="449" t="s">
        <v>263</v>
      </c>
      <c r="H2807" s="449" t="str">
        <f>IF(Criteria!F473="Yes","Small Business Corporation tax","Normal tax")</f>
        <v>Normal tax</v>
      </c>
      <c r="M2807" s="658"/>
      <c r="Q2807" s="469"/>
    </row>
    <row r="2808" spans="2:20" ht="31.5" customHeight="1" x14ac:dyDescent="0.45">
      <c r="B2808" s="468"/>
      <c r="I2808" s="449" t="str">
        <f>IF(Criteria!F473="Yes","Tax at reduced rates","Tax rate")</f>
        <v>Tax rate</v>
      </c>
      <c r="M2808" s="551">
        <f>IF(Criteria!F473="Yes"," ",Criteria!F471)</f>
        <v>0.27</v>
      </c>
      <c r="N2808" s="641"/>
      <c r="O2808" s="659">
        <f>ROUND(IF(O2803&lt;0,0,IF(Criteria!F473="No",O2803*Criteria!F471,IF(Criteria!I474="Yes",Criteria!K483,IF(Criteria!N474="Yes",Criteria!P483,IF(Criteria!S474="Yes",Criteria!U483))))),2)</f>
        <v>0</v>
      </c>
      <c r="Q2808" s="469"/>
    </row>
    <row r="2809" spans="2:20" ht="9" customHeight="1" x14ac:dyDescent="0.45">
      <c r="B2809" s="468"/>
      <c r="O2809" s="660"/>
      <c r="Q2809" s="469"/>
    </row>
    <row r="2810" spans="2:20" ht="9" customHeight="1" x14ac:dyDescent="0.45">
      <c r="B2810" s="468"/>
      <c r="O2810" s="659"/>
      <c r="Q2810" s="469"/>
    </row>
    <row r="2811" spans="2:20" ht="31.5" customHeight="1" x14ac:dyDescent="0.45">
      <c r="B2811" s="468"/>
      <c r="D2811" s="449" t="s">
        <v>77</v>
      </c>
      <c r="O2811" s="659">
        <f>SUM(O2808:O2810)</f>
        <v>0</v>
      </c>
      <c r="Q2811" s="469"/>
      <c r="S2811" s="518">
        <f>O2811</f>
        <v>0</v>
      </c>
      <c r="T2811" s="518"/>
    </row>
    <row r="2812" spans="2:20" ht="31.5" customHeight="1" x14ac:dyDescent="0.45">
      <c r="B2812" s="468"/>
      <c r="O2812" s="659"/>
      <c r="Q2812" s="469"/>
    </row>
    <row r="2813" spans="2:20" ht="31.5" customHeight="1" x14ac:dyDescent="0.45">
      <c r="B2813" s="468"/>
      <c r="D2813" s="449" t="s">
        <v>105</v>
      </c>
      <c r="O2813" s="659">
        <f>SUM(M2815:M2818)</f>
        <v>0</v>
      </c>
      <c r="Q2813" s="469"/>
      <c r="S2813" s="518">
        <f>-O2813</f>
        <v>0</v>
      </c>
      <c r="T2813" s="518"/>
    </row>
    <row r="2814" spans="2:20" ht="31.5" customHeight="1" x14ac:dyDescent="0.45">
      <c r="B2814" s="468"/>
      <c r="D2814" s="449" t="s">
        <v>78</v>
      </c>
      <c r="O2814" s="659"/>
      <c r="Q2814" s="469"/>
    </row>
    <row r="2815" spans="2:20" ht="31.5" customHeight="1" x14ac:dyDescent="0.45">
      <c r="B2815" s="468"/>
      <c r="E2815" s="449" t="s">
        <v>79</v>
      </c>
      <c r="M2815" s="659">
        <f>TrialBalance!L389</f>
        <v>0</v>
      </c>
      <c r="O2815" s="659"/>
      <c r="Q2815" s="469"/>
    </row>
    <row r="2816" spans="2:20" ht="31.5" customHeight="1" x14ac:dyDescent="0.45">
      <c r="B2816" s="468"/>
      <c r="E2816" s="449" t="s">
        <v>80</v>
      </c>
      <c r="M2816" s="659">
        <f>TrialBalance!L390</f>
        <v>0</v>
      </c>
      <c r="O2816" s="659"/>
      <c r="Q2816" s="469"/>
    </row>
    <row r="2817" spans="2:18" ht="31.5" customHeight="1" x14ac:dyDescent="0.45">
      <c r="B2817" s="468"/>
      <c r="E2817" s="449" t="s">
        <v>81</v>
      </c>
      <c r="M2817" s="659">
        <f>TrialBalance!L391</f>
        <v>0</v>
      </c>
      <c r="O2817" s="659"/>
      <c r="Q2817" s="469"/>
      <c r="R2817" s="512" t="str">
        <f>IF(M2817=0,"DELETE"," ")</f>
        <v>DELETE</v>
      </c>
    </row>
    <row r="2818" spans="2:18" ht="9" customHeight="1" x14ac:dyDescent="0.45">
      <c r="B2818" s="468"/>
      <c r="M2818" s="660"/>
      <c r="N2818" s="631"/>
      <c r="O2818" s="660"/>
      <c r="Q2818" s="469"/>
    </row>
    <row r="2819" spans="2:18" ht="9" customHeight="1" x14ac:dyDescent="0.45">
      <c r="B2819" s="468"/>
      <c r="O2819" s="659"/>
      <c r="Q2819" s="469"/>
    </row>
    <row r="2820" spans="2:18" ht="31.5" customHeight="1" x14ac:dyDescent="0.45">
      <c r="B2820" s="468"/>
      <c r="D2820" s="449" t="str">
        <f>IF(O2820&lt;0,"Income tax refundable","Net income tax payable")</f>
        <v>Net income tax payable</v>
      </c>
      <c r="O2820" s="659">
        <f>SUM(S2806:S2818)</f>
        <v>0</v>
      </c>
      <c r="Q2820" s="469"/>
    </row>
    <row r="2821" spans="2:18" ht="9" customHeight="1" thickBot="1" x14ac:dyDescent="0.5">
      <c r="B2821" s="468"/>
      <c r="O2821" s="661"/>
      <c r="Q2821" s="469"/>
    </row>
    <row r="2822" spans="2:18" ht="9" customHeight="1" thickTop="1" x14ac:dyDescent="0.45">
      <c r="B2822" s="468"/>
      <c r="O2822" s="633"/>
      <c r="Q2822" s="469"/>
    </row>
    <row r="2823" spans="2:18" ht="31.5" customHeight="1" x14ac:dyDescent="0.45">
      <c r="B2823" s="468"/>
      <c r="Q2823" s="469"/>
    </row>
    <row r="2824" spans="2:18" ht="31.5" customHeight="1" x14ac:dyDescent="0.45">
      <c r="B2824" s="468"/>
      <c r="Q2824" s="469"/>
    </row>
    <row r="2825" spans="2:18" ht="31.5" customHeight="1" x14ac:dyDescent="0.45">
      <c r="B2825" s="468"/>
      <c r="Q2825" s="469"/>
    </row>
    <row r="2826" spans="2:18" ht="31.5" customHeight="1" x14ac:dyDescent="0.45">
      <c r="B2826" s="468"/>
      <c r="Q2826" s="469"/>
    </row>
    <row r="2827" spans="2:18" ht="31.5" customHeight="1" x14ac:dyDescent="0.45">
      <c r="B2827" s="477"/>
      <c r="C2827" s="461"/>
      <c r="D2827" s="461"/>
      <c r="E2827" s="461"/>
      <c r="F2827" s="461"/>
      <c r="G2827" s="461"/>
      <c r="H2827" s="461"/>
      <c r="I2827" s="461"/>
      <c r="J2827" s="461"/>
      <c r="K2827" s="461"/>
      <c r="L2827" s="461"/>
      <c r="M2827" s="630"/>
      <c r="N2827" s="631"/>
      <c r="O2827" s="630"/>
      <c r="P2827" s="631"/>
      <c r="Q2827" s="479"/>
    </row>
    <row r="2828" spans="2:18" ht="31.5" customHeight="1" x14ac:dyDescent="0.45"/>
    <row r="2829" spans="2:18" ht="31.5" customHeight="1" x14ac:dyDescent="0.45">
      <c r="R2829" s="512" t="str">
        <f>R$2848</f>
        <v>DELETE</v>
      </c>
    </row>
    <row r="2830" spans="2:18" ht="31.5" customHeight="1" x14ac:dyDescent="0.45">
      <c r="D2830" s="450" t="str">
        <f>Criteria!E9</f>
        <v>ABC COMPANY (PROPRIETARY) LIMITED</v>
      </c>
      <c r="O2830" s="529" t="s">
        <v>121</v>
      </c>
      <c r="Q2830" s="451">
        <f>MAX($Q$114:Q2829)+1</f>
        <v>68</v>
      </c>
      <c r="R2830" s="512" t="str">
        <f>R$2848</f>
        <v>DELETE</v>
      </c>
    </row>
    <row r="2831" spans="2:18" ht="31.5" customHeight="1" x14ac:dyDescent="0.45">
      <c r="D2831" s="450" t="str">
        <f>Criteria!E10</f>
        <v>T/A SEAFRONT HOTEL, SEAFRONT RESTAURANT AND RENTAL PROPERTIES</v>
      </c>
      <c r="R2831" s="512" t="str">
        <f>IF(R$2848="DELETE","DELETE",IF(D2831=0,"DELETE"," "))</f>
        <v>DELETE</v>
      </c>
    </row>
    <row r="2832" spans="2:18" ht="31.5" customHeight="1" x14ac:dyDescent="0.45">
      <c r="R2832" s="512" t="str">
        <f t="shared" ref="R2832:R2847" si="173">R$2848</f>
        <v>DELETE</v>
      </c>
    </row>
    <row r="2833" spans="2:26" ht="31.5" customHeight="1" x14ac:dyDescent="0.45">
      <c r="D2833" s="450" t="s">
        <v>193</v>
      </c>
      <c r="R2833" s="512" t="str">
        <f t="shared" si="173"/>
        <v>DELETE</v>
      </c>
    </row>
    <row r="2834" spans="2:26" ht="31.5" customHeight="1" x14ac:dyDescent="0.45">
      <c r="D2834" s="450" t="str">
        <f>Criteria!E20</f>
        <v>29 FEBRUARY 2024</v>
      </c>
      <c r="R2834" s="512" t="str">
        <f t="shared" si="173"/>
        <v>DELETE</v>
      </c>
    </row>
    <row r="2835" spans="2:26" ht="31.5" customHeight="1" x14ac:dyDescent="0.45">
      <c r="R2835" s="512" t="str">
        <f t="shared" si="173"/>
        <v>DELETE</v>
      </c>
    </row>
    <row r="2836" spans="2:26" ht="31.5" customHeight="1" x14ac:dyDescent="0.45">
      <c r="B2836" s="465"/>
      <c r="C2836" s="466"/>
      <c r="D2836" s="466"/>
      <c r="E2836" s="466"/>
      <c r="F2836" s="466"/>
      <c r="G2836" s="466"/>
      <c r="H2836" s="466"/>
      <c r="I2836" s="466"/>
      <c r="J2836" s="466"/>
      <c r="K2836" s="466"/>
      <c r="L2836" s="466"/>
      <c r="M2836" s="642"/>
      <c r="N2836" s="643"/>
      <c r="O2836" s="642"/>
      <c r="P2836" s="643"/>
      <c r="Q2836" s="467"/>
      <c r="R2836" s="512" t="str">
        <f t="shared" si="173"/>
        <v>DELETE</v>
      </c>
    </row>
    <row r="2837" spans="2:26" ht="31.5" customHeight="1" x14ac:dyDescent="0.45">
      <c r="B2837" s="468"/>
      <c r="Q2837" s="469"/>
      <c r="R2837" s="512" t="str">
        <f t="shared" si="173"/>
        <v>DELETE</v>
      </c>
    </row>
    <row r="2838" spans="2:26" ht="31.5" customHeight="1" x14ac:dyDescent="0.45">
      <c r="B2838" s="468"/>
      <c r="Q2838" s="469"/>
      <c r="R2838" s="512" t="str">
        <f t="shared" si="173"/>
        <v>DELETE</v>
      </c>
    </row>
    <row r="2839" spans="2:26" ht="31.5" customHeight="1" x14ac:dyDescent="0.45">
      <c r="B2839" s="468"/>
      <c r="C2839" s="449">
        <v>1</v>
      </c>
      <c r="D2839" s="449" t="s">
        <v>908</v>
      </c>
      <c r="Q2839" s="469"/>
      <c r="R2839" s="512" t="str">
        <f t="shared" si="173"/>
        <v>DELETE</v>
      </c>
    </row>
    <row r="2840" spans="2:26" ht="31.5" customHeight="1" x14ac:dyDescent="0.45">
      <c r="B2840" s="468"/>
      <c r="Q2840" s="469"/>
      <c r="R2840" s="512" t="str">
        <f t="shared" si="173"/>
        <v>DELETE</v>
      </c>
    </row>
    <row r="2841" spans="2:26" ht="31.5" customHeight="1" x14ac:dyDescent="0.45">
      <c r="B2841" s="468"/>
      <c r="D2841" s="463" t="s">
        <v>912</v>
      </c>
      <c r="O2841" s="635">
        <f>Criteria!G503</f>
        <v>0</v>
      </c>
      <c r="Q2841" s="469"/>
      <c r="R2841" s="512" t="str">
        <f t="shared" si="173"/>
        <v>DELETE</v>
      </c>
      <c r="Y2841" s="513">
        <f>IF(M2841&lt;0,1,IF(M2841=0,IF(O2841&lt;0,1,2),2))</f>
        <v>2</v>
      </c>
      <c r="Z2841" s="513">
        <f>IF(O2841&lt;0,1,IF(O2841=0,IF(M2841&lt;0,1,2),2))</f>
        <v>2</v>
      </c>
    </row>
    <row r="2842" spans="2:26" ht="31.5" customHeight="1" x14ac:dyDescent="0.45">
      <c r="B2842" s="468"/>
      <c r="D2842" s="463"/>
      <c r="O2842" s="635"/>
      <c r="Q2842" s="469"/>
      <c r="R2842" s="512" t="str">
        <f t="shared" si="173"/>
        <v>DELETE</v>
      </c>
    </row>
    <row r="2843" spans="2:26" ht="31.5" customHeight="1" x14ac:dyDescent="0.45">
      <c r="B2843" s="468"/>
      <c r="D2843" s="463" t="s">
        <v>938</v>
      </c>
      <c r="O2843" s="635">
        <f>-Criteria!H503</f>
        <v>0</v>
      </c>
      <c r="Q2843" s="469"/>
      <c r="R2843" s="512" t="str">
        <f t="shared" si="173"/>
        <v>DELETE</v>
      </c>
    </row>
    <row r="2844" spans="2:26" ht="31.5" customHeight="1" x14ac:dyDescent="0.45">
      <c r="B2844" s="468"/>
      <c r="O2844" s="635"/>
      <c r="Q2844" s="469"/>
      <c r="R2844" s="512" t="str">
        <f t="shared" si="173"/>
        <v>DELETE</v>
      </c>
    </row>
    <row r="2845" spans="2:26" ht="31.5" customHeight="1" x14ac:dyDescent="0.45">
      <c r="B2845" s="468"/>
      <c r="D2845" s="449" t="s">
        <v>907</v>
      </c>
      <c r="O2845" s="635">
        <f>-Criteria!G487</f>
        <v>0</v>
      </c>
      <c r="Q2845" s="469"/>
      <c r="R2845" s="512" t="str">
        <f t="shared" si="173"/>
        <v>DELETE</v>
      </c>
    </row>
    <row r="2846" spans="2:26" ht="9" customHeight="1" x14ac:dyDescent="0.45">
      <c r="B2846" s="468"/>
      <c r="O2846" s="640"/>
      <c r="Q2846" s="469"/>
      <c r="R2846" s="512" t="str">
        <f t="shared" si="173"/>
        <v>DELETE</v>
      </c>
    </row>
    <row r="2847" spans="2:26" ht="9" customHeight="1" x14ac:dyDescent="0.45">
      <c r="B2847" s="468"/>
      <c r="O2847" s="635"/>
      <c r="Q2847" s="469"/>
      <c r="R2847" s="512" t="str">
        <f t="shared" si="173"/>
        <v>DELETE</v>
      </c>
    </row>
    <row r="2848" spans="2:26" ht="31.5" customHeight="1" x14ac:dyDescent="0.45">
      <c r="B2848" s="468"/>
      <c r="D2848" s="449" t="str">
        <f>IF(O2848&lt;0,"Loss carried forward","Profit subject to CGT")</f>
        <v>Profit subject to CGT</v>
      </c>
      <c r="O2848" s="635">
        <f>SUM(O2841:O2846)</f>
        <v>0</v>
      </c>
      <c r="Q2848" s="469"/>
      <c r="R2848" s="512" t="str">
        <f>IF(O2841-O2843-O2845=0,"DELETE"," ")</f>
        <v>DELETE</v>
      </c>
    </row>
    <row r="2849" spans="2:18" ht="9" customHeight="1" thickBot="1" x14ac:dyDescent="0.5">
      <c r="B2849" s="468"/>
      <c r="O2849" s="638"/>
      <c r="Q2849" s="469"/>
      <c r="R2849" s="512" t="str">
        <f t="shared" ref="R2849:R2855" si="174">R$2848</f>
        <v>DELETE</v>
      </c>
    </row>
    <row r="2850" spans="2:18" ht="9" customHeight="1" thickTop="1" x14ac:dyDescent="0.45">
      <c r="B2850" s="468"/>
      <c r="O2850" s="662"/>
      <c r="Q2850" s="469"/>
      <c r="R2850" s="512" t="str">
        <f t="shared" si="174"/>
        <v>DELETE</v>
      </c>
    </row>
    <row r="2851" spans="2:18" ht="9" customHeight="1" x14ac:dyDescent="0.45">
      <c r="B2851" s="468"/>
      <c r="Q2851" s="469"/>
      <c r="R2851" s="512" t="str">
        <f t="shared" si="174"/>
        <v>DELETE</v>
      </c>
    </row>
    <row r="2852" spans="2:18" ht="31.5" customHeight="1" x14ac:dyDescent="0.45">
      <c r="B2852" s="468"/>
      <c r="D2852" s="449" t="s">
        <v>631</v>
      </c>
      <c r="O2852" s="635">
        <f>ROUND(IF(O2848&gt;0,O2848*0.8,0),0)</f>
        <v>0</v>
      </c>
      <c r="Q2852" s="469"/>
      <c r="R2852" s="512" t="str">
        <f t="shared" si="174"/>
        <v>DELETE</v>
      </c>
    </row>
    <row r="2853" spans="2:18" ht="9" customHeight="1" thickBot="1" x14ac:dyDescent="0.5">
      <c r="B2853" s="468"/>
      <c r="O2853" s="663"/>
      <c r="Q2853" s="469"/>
      <c r="R2853" s="512" t="str">
        <f t="shared" si="174"/>
        <v>DELETE</v>
      </c>
    </row>
    <row r="2854" spans="2:18" ht="9" customHeight="1" thickTop="1" x14ac:dyDescent="0.45">
      <c r="B2854" s="468"/>
      <c r="Q2854" s="469"/>
      <c r="R2854" s="512" t="str">
        <f t="shared" si="174"/>
        <v>DELETE</v>
      </c>
    </row>
    <row r="2855" spans="2:18" ht="31.5" customHeight="1" x14ac:dyDescent="0.45">
      <c r="B2855" s="468"/>
      <c r="Q2855" s="469"/>
      <c r="R2855" s="512" t="str">
        <f t="shared" si="174"/>
        <v>DELETE</v>
      </c>
    </row>
    <row r="2856" spans="2:18" ht="31.5" customHeight="1" x14ac:dyDescent="0.45">
      <c r="B2856" s="468"/>
      <c r="M2856" s="664"/>
      <c r="Q2856" s="469"/>
      <c r="R2856" s="512" t="str">
        <f t="shared" ref="R2856:R2892" si="175">R$2848</f>
        <v>DELETE</v>
      </c>
    </row>
    <row r="2857" spans="2:18" ht="31.5" customHeight="1" x14ac:dyDescent="0.45">
      <c r="B2857" s="468"/>
      <c r="Q2857" s="469"/>
      <c r="R2857" s="512" t="str">
        <f t="shared" si="175"/>
        <v>DELETE</v>
      </c>
    </row>
    <row r="2858" spans="2:18" ht="31.5" customHeight="1" x14ac:dyDescent="0.45">
      <c r="B2858" s="468"/>
      <c r="Q2858" s="469"/>
      <c r="R2858" s="512" t="str">
        <f t="shared" si="175"/>
        <v>DELETE</v>
      </c>
    </row>
    <row r="2859" spans="2:18" ht="31.5" customHeight="1" x14ac:dyDescent="0.45">
      <c r="B2859" s="468"/>
      <c r="Q2859" s="469"/>
      <c r="R2859" s="512" t="str">
        <f t="shared" si="175"/>
        <v>DELETE</v>
      </c>
    </row>
    <row r="2860" spans="2:18" ht="31.5" customHeight="1" x14ac:dyDescent="0.45">
      <c r="B2860" s="468"/>
      <c r="Q2860" s="469"/>
      <c r="R2860" s="512" t="str">
        <f t="shared" si="175"/>
        <v>DELETE</v>
      </c>
    </row>
    <row r="2861" spans="2:18" ht="31.5" customHeight="1" x14ac:dyDescent="0.45">
      <c r="B2861" s="468"/>
      <c r="Q2861" s="469"/>
      <c r="R2861" s="512" t="str">
        <f t="shared" si="175"/>
        <v>DELETE</v>
      </c>
    </row>
    <row r="2862" spans="2:18" ht="31.5" customHeight="1" x14ac:dyDescent="0.45">
      <c r="B2862" s="468"/>
      <c r="Q2862" s="469"/>
      <c r="R2862" s="512" t="str">
        <f t="shared" si="175"/>
        <v>DELETE</v>
      </c>
    </row>
    <row r="2863" spans="2:18" ht="31.5" customHeight="1" x14ac:dyDescent="0.45">
      <c r="B2863" s="468"/>
      <c r="Q2863" s="469"/>
      <c r="R2863" s="512" t="str">
        <f t="shared" si="175"/>
        <v>DELETE</v>
      </c>
    </row>
    <row r="2864" spans="2:18" ht="31.5" customHeight="1" x14ac:dyDescent="0.45">
      <c r="B2864" s="468"/>
      <c r="Q2864" s="469"/>
      <c r="R2864" s="512" t="str">
        <f t="shared" si="175"/>
        <v>DELETE</v>
      </c>
    </row>
    <row r="2865" spans="2:18" ht="31.5" customHeight="1" x14ac:dyDescent="0.45">
      <c r="B2865" s="468"/>
      <c r="Q2865" s="469"/>
      <c r="R2865" s="512" t="str">
        <f t="shared" si="175"/>
        <v>DELETE</v>
      </c>
    </row>
    <row r="2866" spans="2:18" ht="31.5" customHeight="1" x14ac:dyDescent="0.45">
      <c r="B2866" s="468"/>
      <c r="Q2866" s="469"/>
      <c r="R2866" s="512" t="str">
        <f t="shared" si="175"/>
        <v>DELETE</v>
      </c>
    </row>
    <row r="2867" spans="2:18" ht="31.5" customHeight="1" x14ac:dyDescent="0.45">
      <c r="B2867" s="468"/>
      <c r="Q2867" s="469"/>
      <c r="R2867" s="512" t="str">
        <f t="shared" si="175"/>
        <v>DELETE</v>
      </c>
    </row>
    <row r="2868" spans="2:18" ht="31.5" customHeight="1" x14ac:dyDescent="0.45">
      <c r="B2868" s="468"/>
      <c r="Q2868" s="469"/>
      <c r="R2868" s="512" t="str">
        <f t="shared" si="175"/>
        <v>DELETE</v>
      </c>
    </row>
    <row r="2869" spans="2:18" ht="31.5" customHeight="1" x14ac:dyDescent="0.45">
      <c r="B2869" s="468"/>
      <c r="Q2869" s="469"/>
      <c r="R2869" s="512" t="str">
        <f t="shared" si="175"/>
        <v>DELETE</v>
      </c>
    </row>
    <row r="2870" spans="2:18" ht="31.5" customHeight="1" x14ac:dyDescent="0.45">
      <c r="B2870" s="468"/>
      <c r="Q2870" s="469"/>
      <c r="R2870" s="512" t="str">
        <f t="shared" si="175"/>
        <v>DELETE</v>
      </c>
    </row>
    <row r="2871" spans="2:18" ht="31.5" customHeight="1" x14ac:dyDescent="0.45">
      <c r="B2871" s="468"/>
      <c r="Q2871" s="469"/>
      <c r="R2871" s="512" t="str">
        <f t="shared" si="175"/>
        <v>DELETE</v>
      </c>
    </row>
    <row r="2872" spans="2:18" ht="31.5" customHeight="1" x14ac:dyDescent="0.45">
      <c r="B2872" s="468"/>
      <c r="Q2872" s="469"/>
      <c r="R2872" s="512" t="str">
        <f t="shared" si="175"/>
        <v>DELETE</v>
      </c>
    </row>
    <row r="2873" spans="2:18" ht="31.5" customHeight="1" x14ac:dyDescent="0.45">
      <c r="B2873" s="468"/>
      <c r="Q2873" s="469"/>
      <c r="R2873" s="512" t="str">
        <f t="shared" si="175"/>
        <v>DELETE</v>
      </c>
    </row>
    <row r="2874" spans="2:18" ht="31.5" customHeight="1" x14ac:dyDescent="0.45">
      <c r="B2874" s="468"/>
      <c r="Q2874" s="469"/>
      <c r="R2874" s="512" t="str">
        <f t="shared" si="175"/>
        <v>DELETE</v>
      </c>
    </row>
    <row r="2875" spans="2:18" ht="31.5" customHeight="1" x14ac:dyDescent="0.45">
      <c r="B2875" s="468"/>
      <c r="Q2875" s="469"/>
      <c r="R2875" s="512" t="str">
        <f t="shared" si="175"/>
        <v>DELETE</v>
      </c>
    </row>
    <row r="2876" spans="2:18" ht="31.5" customHeight="1" x14ac:dyDescent="0.45">
      <c r="B2876" s="468"/>
      <c r="Q2876" s="469"/>
      <c r="R2876" s="512" t="str">
        <f t="shared" si="175"/>
        <v>DELETE</v>
      </c>
    </row>
    <row r="2877" spans="2:18" ht="31.5" customHeight="1" x14ac:dyDescent="0.45">
      <c r="B2877" s="468"/>
      <c r="Q2877" s="469"/>
      <c r="R2877" s="512" t="str">
        <f t="shared" si="175"/>
        <v>DELETE</v>
      </c>
    </row>
    <row r="2878" spans="2:18" ht="31.5" customHeight="1" x14ac:dyDescent="0.45">
      <c r="B2878" s="468"/>
      <c r="Q2878" s="469"/>
      <c r="R2878" s="512" t="str">
        <f t="shared" si="175"/>
        <v>DELETE</v>
      </c>
    </row>
    <row r="2879" spans="2:18" ht="31.5" customHeight="1" x14ac:dyDescent="0.45">
      <c r="B2879" s="468"/>
      <c r="Q2879" s="469"/>
      <c r="R2879" s="512" t="str">
        <f t="shared" si="175"/>
        <v>DELETE</v>
      </c>
    </row>
    <row r="2880" spans="2:18" ht="31.5" customHeight="1" x14ac:dyDescent="0.45">
      <c r="B2880" s="468"/>
      <c r="Q2880" s="469"/>
      <c r="R2880" s="512" t="str">
        <f t="shared" si="175"/>
        <v>DELETE</v>
      </c>
    </row>
    <row r="2881" spans="2:26" ht="31.5" customHeight="1" x14ac:dyDescent="0.45">
      <c r="B2881" s="468"/>
      <c r="Q2881" s="469"/>
      <c r="R2881" s="512" t="str">
        <f t="shared" si="175"/>
        <v>DELETE</v>
      </c>
    </row>
    <row r="2882" spans="2:26" ht="31.5" customHeight="1" x14ac:dyDescent="0.45">
      <c r="B2882" s="468"/>
      <c r="Q2882" s="469"/>
      <c r="R2882" s="512" t="str">
        <f t="shared" si="175"/>
        <v>DELETE</v>
      </c>
    </row>
    <row r="2883" spans="2:26" ht="31.5" customHeight="1" x14ac:dyDescent="0.45">
      <c r="B2883" s="468"/>
      <c r="Q2883" s="469"/>
      <c r="R2883" s="512" t="str">
        <f t="shared" si="175"/>
        <v>DELETE</v>
      </c>
    </row>
    <row r="2884" spans="2:26" ht="31.5" customHeight="1" x14ac:dyDescent="0.45">
      <c r="B2884" s="468"/>
      <c r="Q2884" s="469"/>
      <c r="R2884" s="512" t="str">
        <f t="shared" si="175"/>
        <v>DELETE</v>
      </c>
    </row>
    <row r="2885" spans="2:26" ht="31.5" customHeight="1" x14ac:dyDescent="0.45">
      <c r="B2885" s="468"/>
      <c r="Q2885" s="469"/>
      <c r="R2885" s="512" t="str">
        <f t="shared" si="175"/>
        <v>DELETE</v>
      </c>
    </row>
    <row r="2886" spans="2:26" ht="31.5" customHeight="1" x14ac:dyDescent="0.45">
      <c r="B2886" s="468"/>
      <c r="Q2886" s="469"/>
      <c r="R2886" s="512" t="str">
        <f t="shared" si="175"/>
        <v>DELETE</v>
      </c>
    </row>
    <row r="2887" spans="2:26" ht="31.5" customHeight="1" x14ac:dyDescent="0.45">
      <c r="B2887" s="468"/>
      <c r="Q2887" s="469"/>
      <c r="R2887" s="512" t="str">
        <f t="shared" si="175"/>
        <v>DELETE</v>
      </c>
    </row>
    <row r="2888" spans="2:26" ht="31.5" customHeight="1" x14ac:dyDescent="0.45">
      <c r="B2888" s="468"/>
      <c r="Q2888" s="469"/>
      <c r="R2888" s="512" t="str">
        <f t="shared" si="175"/>
        <v>DELETE</v>
      </c>
    </row>
    <row r="2889" spans="2:26" ht="31.5" customHeight="1" x14ac:dyDescent="0.45">
      <c r="B2889" s="468"/>
      <c r="Q2889" s="469"/>
      <c r="R2889" s="512" t="str">
        <f t="shared" si="175"/>
        <v>DELETE</v>
      </c>
    </row>
    <row r="2890" spans="2:26" ht="31.5" customHeight="1" x14ac:dyDescent="0.45">
      <c r="B2890" s="468"/>
      <c r="Q2890" s="469"/>
      <c r="R2890" s="512" t="str">
        <f t="shared" si="175"/>
        <v>DELETE</v>
      </c>
    </row>
    <row r="2891" spans="2:26" ht="31.5" customHeight="1" x14ac:dyDescent="0.45">
      <c r="B2891" s="477"/>
      <c r="C2891" s="461"/>
      <c r="D2891" s="461"/>
      <c r="E2891" s="461"/>
      <c r="F2891" s="461"/>
      <c r="G2891" s="461"/>
      <c r="H2891" s="461"/>
      <c r="I2891" s="461"/>
      <c r="J2891" s="461"/>
      <c r="K2891" s="461"/>
      <c r="L2891" s="461"/>
      <c r="M2891" s="630"/>
      <c r="N2891" s="631"/>
      <c r="O2891" s="630"/>
      <c r="P2891" s="631"/>
      <c r="Q2891" s="479"/>
      <c r="R2891" s="512" t="str">
        <f t="shared" si="175"/>
        <v>DELETE</v>
      </c>
    </row>
    <row r="2892" spans="2:26" ht="31.5" customHeight="1" x14ac:dyDescent="0.45">
      <c r="M2892" s="633"/>
      <c r="N2892" s="634"/>
      <c r="O2892" s="633"/>
      <c r="P2892" s="634"/>
      <c r="R2892" s="512" t="str">
        <f t="shared" si="175"/>
        <v>DELETE</v>
      </c>
    </row>
    <row r="2893" spans="2:26" ht="31.5" customHeight="1" x14ac:dyDescent="0.45">
      <c r="M2893" s="635"/>
      <c r="N2893" s="621"/>
      <c r="O2893" s="635"/>
      <c r="R2893" s="512" t="str">
        <f>IF(SUM(U2905:U2907)+SUM(U2925:U2932)+SUM(U3032:U3042)+O3050=0,"DELETE",IF(SUM(S2905:S2907)+SUM(U2905:U2907)+SUM(S2925:S2932)+SUM(U2925:U2932)+SUM(S3032:S3042)+SUM(U3032:U3042)+M3050+O3050=0,"DELETE"," "))</f>
        <v>DELETE</v>
      </c>
      <c r="T2893" s="521"/>
      <c r="V2893" s="516"/>
      <c r="W2893" s="516"/>
      <c r="X2893" s="516"/>
      <c r="Y2893" s="521"/>
    </row>
    <row r="2894" spans="2:26" ht="31.5" customHeight="1" x14ac:dyDescent="0.45">
      <c r="D2894" s="450" t="s">
        <v>607</v>
      </c>
      <c r="M2894" s="635"/>
      <c r="N2894" s="621"/>
      <c r="O2894" s="635"/>
      <c r="R2894" s="512" t="str">
        <f t="shared" ref="R2894:R2904" si="176">R$2893</f>
        <v>DELETE</v>
      </c>
      <c r="T2894" s="521"/>
      <c r="V2894" s="515"/>
      <c r="X2894" s="515"/>
      <c r="Z2894" s="515"/>
    </row>
    <row r="2895" spans="2:26" ht="31.5" customHeight="1" x14ac:dyDescent="0.45">
      <c r="M2895" s="635"/>
      <c r="N2895" s="621"/>
      <c r="O2895" s="635"/>
      <c r="R2895" s="512" t="str">
        <f t="shared" si="176"/>
        <v>DELETE</v>
      </c>
      <c r="T2895" s="521"/>
    </row>
    <row r="2896" spans="2:26" ht="31.5" customHeight="1" x14ac:dyDescent="0.45">
      <c r="D2896" s="450" t="str">
        <f>Criteria!E9</f>
        <v>ABC COMPANY (PROPRIETARY) LIMITED</v>
      </c>
      <c r="M2896" s="635"/>
      <c r="N2896" s="621"/>
      <c r="O2896" s="531" t="s">
        <v>121</v>
      </c>
      <c r="Q2896" s="451">
        <v>1</v>
      </c>
      <c r="R2896" s="512" t="str">
        <f t="shared" si="176"/>
        <v>DELETE</v>
      </c>
      <c r="T2896" s="521"/>
    </row>
    <row r="2897" spans="2:24" ht="31.5" customHeight="1" x14ac:dyDescent="0.45">
      <c r="D2897" s="450" t="str">
        <f>CONCATENATE("T/A ",Criteria!E14)</f>
        <v>T/A SEAFRONT RESTAURANT</v>
      </c>
      <c r="M2897" s="635"/>
      <c r="N2897" s="621"/>
      <c r="O2897" s="635"/>
      <c r="R2897" s="512" t="str">
        <f t="shared" si="176"/>
        <v>DELETE</v>
      </c>
      <c r="T2897" s="521"/>
    </row>
    <row r="2898" spans="2:24" ht="31.5" customHeight="1" x14ac:dyDescent="0.45">
      <c r="M2898" s="635"/>
      <c r="N2898" s="621"/>
      <c r="O2898" s="635"/>
      <c r="R2898" s="512" t="str">
        <f t="shared" si="176"/>
        <v>DELETE</v>
      </c>
      <c r="T2898" s="521"/>
    </row>
    <row r="2899" spans="2:24" ht="31.5" customHeight="1" x14ac:dyDescent="0.45">
      <c r="D2899" s="450" t="s">
        <v>115</v>
      </c>
      <c r="M2899" s="635"/>
      <c r="N2899" s="621"/>
      <c r="O2899" s="635"/>
      <c r="R2899" s="512" t="str">
        <f t="shared" si="176"/>
        <v>DELETE</v>
      </c>
      <c r="T2899" s="521"/>
    </row>
    <row r="2900" spans="2:24" ht="31.5" customHeight="1" x14ac:dyDescent="0.45">
      <c r="D2900" s="450" t="str">
        <f>Criteria!E20</f>
        <v>29 FEBRUARY 2024</v>
      </c>
      <c r="M2900" s="635"/>
      <c r="N2900" s="621"/>
      <c r="O2900" s="635"/>
      <c r="R2900" s="512" t="str">
        <f t="shared" si="176"/>
        <v>DELETE</v>
      </c>
      <c r="T2900" s="521"/>
    </row>
    <row r="2901" spans="2:24" ht="31.5" customHeight="1" x14ac:dyDescent="0.45">
      <c r="M2901" s="635"/>
      <c r="N2901" s="621"/>
      <c r="O2901" s="635"/>
      <c r="R2901" s="512" t="str">
        <f t="shared" si="176"/>
        <v>DELETE</v>
      </c>
      <c r="T2901" s="521"/>
    </row>
    <row r="2902" spans="2:24" ht="31.5" customHeight="1" x14ac:dyDescent="0.45">
      <c r="B2902" s="465"/>
      <c r="C2902" s="466"/>
      <c r="D2902" s="466"/>
      <c r="E2902" s="466"/>
      <c r="F2902" s="466"/>
      <c r="G2902" s="466"/>
      <c r="H2902" s="466"/>
      <c r="I2902" s="466"/>
      <c r="J2902" s="466"/>
      <c r="K2902" s="466"/>
      <c r="L2902" s="466"/>
      <c r="M2902" s="648"/>
      <c r="N2902" s="649"/>
      <c r="O2902" s="648"/>
      <c r="P2902" s="643"/>
      <c r="Q2902" s="467"/>
      <c r="R2902" s="512" t="str">
        <f t="shared" si="176"/>
        <v>DELETE</v>
      </c>
      <c r="T2902" s="521"/>
    </row>
    <row r="2903" spans="2:24" ht="31.5" customHeight="1" x14ac:dyDescent="0.45">
      <c r="B2903" s="468"/>
      <c r="J2903" s="451"/>
      <c r="K2903" s="451" t="s">
        <v>129</v>
      </c>
      <c r="L2903" s="451"/>
      <c r="M2903" s="525">
        <f>Criteria!E22</f>
        <v>2024</v>
      </c>
      <c r="N2903" s="458"/>
      <c r="O2903" s="525">
        <f>Criteria!E27</f>
        <v>2023</v>
      </c>
      <c r="P2903" s="459"/>
      <c r="Q2903" s="469"/>
      <c r="R2903" s="512" t="str">
        <f t="shared" si="176"/>
        <v>DELETE</v>
      </c>
      <c r="T2903" s="521"/>
    </row>
    <row r="2904" spans="2:24" ht="31.5" customHeight="1" x14ac:dyDescent="0.45">
      <c r="B2904" s="468"/>
      <c r="J2904" s="451"/>
      <c r="K2904" s="451"/>
      <c r="L2904" s="451"/>
      <c r="M2904" s="531"/>
      <c r="N2904" s="470"/>
      <c r="O2904" s="531"/>
      <c r="P2904" s="459"/>
      <c r="Q2904" s="469"/>
      <c r="R2904" s="512" t="str">
        <f t="shared" si="176"/>
        <v>DELETE</v>
      </c>
      <c r="T2904" s="521"/>
    </row>
    <row r="2905" spans="2:24" ht="31.5" customHeight="1" x14ac:dyDescent="0.45">
      <c r="B2905" s="468"/>
      <c r="C2905" s="450" t="s">
        <v>137</v>
      </c>
      <c r="J2905" s="451"/>
      <c r="K2905" s="451"/>
      <c r="L2905" s="451"/>
      <c r="M2905" s="531">
        <f>-SUM(TrialBalanceA!I5:I10)</f>
        <v>0</v>
      </c>
      <c r="N2905" s="470"/>
      <c r="O2905" s="531">
        <f>-SUM(TrialBalanceA!K5:K10)</f>
        <v>0</v>
      </c>
      <c r="P2905" s="459"/>
      <c r="Q2905" s="469"/>
      <c r="R2905" s="512" t="str">
        <f>IF(R2893="DELETE","DELETE",IF(M2905+O2905=0,IF(M2907+O2907=0," ","DELETE")," "))</f>
        <v>DELETE</v>
      </c>
      <c r="S2905" s="517">
        <f>M2905</f>
        <v>0</v>
      </c>
      <c r="T2905" s="521"/>
      <c r="U2905" s="517">
        <f>O2905</f>
        <v>0</v>
      </c>
      <c r="V2905" s="517"/>
      <c r="W2905" s="517"/>
      <c r="X2905" s="517"/>
    </row>
    <row r="2906" spans="2:24" ht="31.5" customHeight="1" x14ac:dyDescent="0.45">
      <c r="B2906" s="468"/>
      <c r="C2906" s="450"/>
      <c r="J2906" s="451"/>
      <c r="K2906" s="451"/>
      <c r="L2906" s="451"/>
      <c r="M2906" s="531"/>
      <c r="N2906" s="470"/>
      <c r="O2906" s="531"/>
      <c r="P2906" s="459"/>
      <c r="Q2906" s="469"/>
      <c r="R2906" s="512" t="str">
        <f>R2905</f>
        <v>DELETE</v>
      </c>
      <c r="S2906" s="517"/>
      <c r="T2906" s="521"/>
      <c r="U2906" s="517"/>
      <c r="V2906" s="517"/>
      <c r="W2906" s="517"/>
      <c r="X2906" s="517"/>
    </row>
    <row r="2907" spans="2:24" ht="31.5" customHeight="1" x14ac:dyDescent="0.45">
      <c r="B2907" s="468"/>
      <c r="C2907" s="450" t="s">
        <v>606</v>
      </c>
      <c r="J2907" s="451"/>
      <c r="K2907" s="451"/>
      <c r="L2907" s="451"/>
      <c r="M2907" s="531">
        <f>-TrialBalanceA!I11</f>
        <v>0</v>
      </c>
      <c r="N2907" s="470"/>
      <c r="O2907" s="531">
        <f>-TrialBalanceA!K11</f>
        <v>0</v>
      </c>
      <c r="P2907" s="459"/>
      <c r="Q2907" s="469"/>
      <c r="R2907" s="512" t="str">
        <f>IF(R$2893="DELETE","DELETE",IF(M2907+O2907=0,"DELETE"," "))</f>
        <v>DELETE</v>
      </c>
      <c r="S2907" s="517">
        <f>M2907</f>
        <v>0</v>
      </c>
      <c r="T2907" s="521"/>
      <c r="U2907" s="517">
        <f>O2907</f>
        <v>0</v>
      </c>
      <c r="V2907" s="517"/>
      <c r="W2907" s="517"/>
      <c r="X2907" s="517"/>
    </row>
    <row r="2908" spans="2:24" ht="31.5" customHeight="1" x14ac:dyDescent="0.45">
      <c r="B2908" s="468"/>
      <c r="C2908" s="450"/>
      <c r="J2908" s="451"/>
      <c r="K2908" s="451"/>
      <c r="L2908" s="451"/>
      <c r="M2908" s="531"/>
      <c r="N2908" s="470"/>
      <c r="O2908" s="531"/>
      <c r="P2908" s="459"/>
      <c r="Q2908" s="469"/>
      <c r="R2908" s="512" t="str">
        <f>R2907</f>
        <v>DELETE</v>
      </c>
      <c r="T2908" s="521"/>
    </row>
    <row r="2909" spans="2:24" ht="31.5" customHeight="1" x14ac:dyDescent="0.45">
      <c r="B2909" s="468"/>
      <c r="C2909" s="450" t="s">
        <v>333</v>
      </c>
      <c r="J2909" s="451"/>
      <c r="K2909" s="451"/>
      <c r="L2909" s="451"/>
      <c r="M2909" s="531">
        <f>SUM(M2912:M2919)</f>
        <v>0</v>
      </c>
      <c r="N2909" s="470"/>
      <c r="O2909" s="531">
        <f>SUM(O2912:O2919)</f>
        <v>0</v>
      </c>
      <c r="P2909" s="459"/>
      <c r="Q2909" s="469"/>
      <c r="R2909" s="512" t="str">
        <f>IF(R$2893="DELETE","DELETE",IF(M2909=0,IF(O2909=0,"DELETE"," ")," "))</f>
        <v>DELETE</v>
      </c>
      <c r="S2909" s="517">
        <f>-M2909</f>
        <v>0</v>
      </c>
      <c r="T2909" s="521"/>
      <c r="U2909" s="517">
        <f>-O2909</f>
        <v>0</v>
      </c>
      <c r="V2909" s="517"/>
      <c r="W2909" s="517"/>
      <c r="X2909" s="517"/>
    </row>
    <row r="2910" spans="2:24" ht="9" customHeight="1" x14ac:dyDescent="0.45">
      <c r="B2910" s="468"/>
      <c r="C2910" s="450"/>
      <c r="J2910" s="451"/>
      <c r="K2910" s="451"/>
      <c r="L2910" s="451"/>
      <c r="M2910" s="531"/>
      <c r="N2910" s="470"/>
      <c r="O2910" s="531"/>
      <c r="P2910" s="459"/>
      <c r="Q2910" s="469"/>
      <c r="R2910" s="512" t="str">
        <f>R2909</f>
        <v>DELETE</v>
      </c>
      <c r="T2910" s="521"/>
    </row>
    <row r="2911" spans="2:24" ht="9" customHeight="1" x14ac:dyDescent="0.45">
      <c r="B2911" s="468"/>
      <c r="C2911" s="450"/>
      <c r="J2911" s="451"/>
      <c r="K2911" s="451"/>
      <c r="L2911" s="451"/>
      <c r="M2911" s="532"/>
      <c r="N2911" s="471"/>
      <c r="O2911" s="552"/>
      <c r="P2911" s="459"/>
      <c r="Q2911" s="469"/>
      <c r="R2911" s="512" t="str">
        <f>R2910</f>
        <v>DELETE</v>
      </c>
      <c r="T2911" s="521"/>
    </row>
    <row r="2912" spans="2:24" ht="31.5" customHeight="1" x14ac:dyDescent="0.45">
      <c r="B2912" s="468"/>
      <c r="C2912" s="450"/>
      <c r="D2912" s="449" t="s">
        <v>608</v>
      </c>
      <c r="J2912" s="451"/>
      <c r="K2912" s="451"/>
      <c r="L2912" s="451"/>
      <c r="M2912" s="533">
        <f>SUM(TrialBalanceA!I13:I16)</f>
        <v>0</v>
      </c>
      <c r="N2912" s="470"/>
      <c r="O2912" s="553">
        <f>SUM(TrialBalanceA!K13:K16)</f>
        <v>0</v>
      </c>
      <c r="P2912" s="459"/>
      <c r="Q2912" s="469"/>
      <c r="R2912" s="512" t="str">
        <f t="shared" ref="R2912:R2919" si="177">IF(R$2893="DELETE","DELETE",IF(M2912+O2912=0,"DELETE"," "))</f>
        <v>DELETE</v>
      </c>
      <c r="T2912" s="521"/>
    </row>
    <row r="2913" spans="2:26" ht="31.5" customHeight="1" x14ac:dyDescent="0.45">
      <c r="B2913" s="468"/>
      <c r="C2913" s="450"/>
      <c r="D2913" s="449" t="s">
        <v>334</v>
      </c>
      <c r="J2913" s="451"/>
      <c r="K2913" s="451"/>
      <c r="L2913" s="451"/>
      <c r="M2913" s="533">
        <f>TrialBalanceA!I17</f>
        <v>0</v>
      </c>
      <c r="N2913" s="470"/>
      <c r="O2913" s="553">
        <f>TrialBalanceA!K17</f>
        <v>0</v>
      </c>
      <c r="P2913" s="459"/>
      <c r="Q2913" s="469"/>
      <c r="R2913" s="512" t="str">
        <f t="shared" si="177"/>
        <v>DELETE</v>
      </c>
      <c r="T2913" s="521"/>
    </row>
    <row r="2914" spans="2:26" ht="31.5" customHeight="1" x14ac:dyDescent="0.45">
      <c r="B2914" s="468"/>
      <c r="C2914" s="450"/>
      <c r="D2914" s="449">
        <f>TrialBalanceA!C18</f>
        <v>0</v>
      </c>
      <c r="J2914" s="451"/>
      <c r="K2914" s="451"/>
      <c r="L2914" s="451"/>
      <c r="M2914" s="533">
        <f>TrialBalanceA!I18</f>
        <v>0</v>
      </c>
      <c r="N2914" s="470"/>
      <c r="O2914" s="553">
        <f>TrialBalanceA!K18</f>
        <v>0</v>
      </c>
      <c r="P2914" s="459"/>
      <c r="Q2914" s="469"/>
      <c r="R2914" s="512" t="str">
        <f t="shared" si="177"/>
        <v>DELETE</v>
      </c>
      <c r="T2914" s="521"/>
    </row>
    <row r="2915" spans="2:26" ht="31.5" customHeight="1" x14ac:dyDescent="0.45">
      <c r="B2915" s="468"/>
      <c r="C2915" s="450"/>
      <c r="D2915" s="449">
        <f>TrialBalanceA!C19</f>
        <v>0</v>
      </c>
      <c r="J2915" s="451"/>
      <c r="K2915" s="451"/>
      <c r="L2915" s="451"/>
      <c r="M2915" s="533">
        <f>TrialBalanceA!I19</f>
        <v>0</v>
      </c>
      <c r="N2915" s="470"/>
      <c r="O2915" s="553">
        <f>TrialBalanceA!K19</f>
        <v>0</v>
      </c>
      <c r="P2915" s="459"/>
      <c r="Q2915" s="469"/>
      <c r="R2915" s="512" t="str">
        <f t="shared" si="177"/>
        <v>DELETE</v>
      </c>
      <c r="T2915" s="521"/>
    </row>
    <row r="2916" spans="2:26" ht="31.5" customHeight="1" x14ac:dyDescent="0.45">
      <c r="B2916" s="468"/>
      <c r="C2916" s="450"/>
      <c r="D2916" s="449">
        <f>TrialBalanceA!C20</f>
        <v>0</v>
      </c>
      <c r="J2916" s="451"/>
      <c r="K2916" s="451"/>
      <c r="L2916" s="451"/>
      <c r="M2916" s="533">
        <f>TrialBalanceA!I20</f>
        <v>0</v>
      </c>
      <c r="N2916" s="470"/>
      <c r="O2916" s="553">
        <f>TrialBalanceA!K20</f>
        <v>0</v>
      </c>
      <c r="P2916" s="459"/>
      <c r="Q2916" s="469"/>
      <c r="R2916" s="512" t="str">
        <f t="shared" si="177"/>
        <v>DELETE</v>
      </c>
      <c r="T2916" s="521"/>
    </row>
    <row r="2917" spans="2:26" ht="31.5" customHeight="1" x14ac:dyDescent="0.45">
      <c r="B2917" s="468"/>
      <c r="C2917" s="450"/>
      <c r="D2917" s="449">
        <f>TrialBalanceA!C21</f>
        <v>0</v>
      </c>
      <c r="J2917" s="451"/>
      <c r="K2917" s="451"/>
      <c r="L2917" s="451"/>
      <c r="M2917" s="533">
        <f>TrialBalanceA!I21</f>
        <v>0</v>
      </c>
      <c r="N2917" s="470"/>
      <c r="O2917" s="553">
        <f>TrialBalanceA!K21</f>
        <v>0</v>
      </c>
      <c r="P2917" s="459"/>
      <c r="Q2917" s="469"/>
      <c r="R2917" s="512" t="str">
        <f t="shared" si="177"/>
        <v>DELETE</v>
      </c>
      <c r="T2917" s="521"/>
    </row>
    <row r="2918" spans="2:26" ht="31.5" customHeight="1" x14ac:dyDescent="0.45">
      <c r="B2918" s="468"/>
      <c r="C2918" s="450"/>
      <c r="D2918" s="449">
        <f>TrialBalanceA!C22</f>
        <v>0</v>
      </c>
      <c r="J2918" s="451"/>
      <c r="K2918" s="451"/>
      <c r="L2918" s="451"/>
      <c r="M2918" s="533">
        <f>TrialBalanceA!I22</f>
        <v>0</v>
      </c>
      <c r="N2918" s="470"/>
      <c r="O2918" s="553">
        <f>TrialBalanceA!K22</f>
        <v>0</v>
      </c>
      <c r="P2918" s="459"/>
      <c r="Q2918" s="469"/>
      <c r="R2918" s="512" t="str">
        <f t="shared" si="177"/>
        <v>DELETE</v>
      </c>
      <c r="T2918" s="521"/>
    </row>
    <row r="2919" spans="2:26" ht="31.5" customHeight="1" x14ac:dyDescent="0.45">
      <c r="B2919" s="468"/>
      <c r="C2919" s="450"/>
      <c r="D2919" s="449" t="s">
        <v>609</v>
      </c>
      <c r="J2919" s="451"/>
      <c r="K2919" s="451"/>
      <c r="L2919" s="451"/>
      <c r="M2919" s="533">
        <f>SUM(TrialBalanceA!I23:I26)</f>
        <v>0</v>
      </c>
      <c r="N2919" s="470"/>
      <c r="O2919" s="553">
        <f>SUM(TrialBalanceA!K23:K26)</f>
        <v>0</v>
      </c>
      <c r="P2919" s="459"/>
      <c r="Q2919" s="469"/>
      <c r="R2919" s="512" t="str">
        <f t="shared" si="177"/>
        <v>DELETE</v>
      </c>
      <c r="T2919" s="521"/>
    </row>
    <row r="2920" spans="2:26" ht="9" customHeight="1" x14ac:dyDescent="0.45">
      <c r="B2920" s="468"/>
      <c r="C2920" s="450"/>
      <c r="J2920" s="451"/>
      <c r="K2920" s="451"/>
      <c r="L2920" s="451"/>
      <c r="M2920" s="534"/>
      <c r="N2920" s="473"/>
      <c r="O2920" s="554"/>
      <c r="P2920" s="459"/>
      <c r="Q2920" s="469"/>
      <c r="R2920" s="512" t="str">
        <f>R2909</f>
        <v>DELETE</v>
      </c>
      <c r="T2920" s="521"/>
    </row>
    <row r="2921" spans="2:26" ht="9" customHeight="1" x14ac:dyDescent="0.45">
      <c r="B2921" s="468"/>
      <c r="C2921" s="450"/>
      <c r="J2921" s="451"/>
      <c r="K2921" s="451"/>
      <c r="L2921" s="451"/>
      <c r="M2921" s="535"/>
      <c r="N2921" s="473"/>
      <c r="O2921" s="535"/>
      <c r="P2921" s="459"/>
      <c r="Q2921" s="469"/>
      <c r="R2921" s="512" t="str">
        <f>R2909</f>
        <v>DELETE</v>
      </c>
      <c r="T2921" s="521"/>
    </row>
    <row r="2922" spans="2:26" ht="9" customHeight="1" x14ac:dyDescent="0.45">
      <c r="B2922" s="468"/>
      <c r="C2922" s="450"/>
      <c r="J2922" s="451"/>
      <c r="K2922" s="451"/>
      <c r="L2922" s="451"/>
      <c r="M2922" s="531"/>
      <c r="N2922" s="470"/>
      <c r="O2922" s="531"/>
      <c r="P2922" s="459"/>
      <c r="Q2922" s="469"/>
      <c r="R2922" s="512" t="str">
        <f>R2921</f>
        <v>DELETE</v>
      </c>
      <c r="T2922" s="521"/>
    </row>
    <row r="2923" spans="2:26" ht="31.5" customHeight="1" x14ac:dyDescent="0.45">
      <c r="B2923" s="468"/>
      <c r="C2923" s="492" t="str">
        <f>IF((Y2923+Z2923)=3,"GROSS PROFIT/(LOSS)",(IF((Y2923+Z2923=4),"GROSS PROFIT","GROSS LOSS")))</f>
        <v>GROSS PROFIT</v>
      </c>
      <c r="J2923" s="451"/>
      <c r="K2923" s="451"/>
      <c r="L2923" s="451"/>
      <c r="M2923" s="531">
        <f>SUM(S2905:S2920)</f>
        <v>0</v>
      </c>
      <c r="N2923" s="470"/>
      <c r="O2923" s="531">
        <f>SUM(U2905:U2920)</f>
        <v>0</v>
      </c>
      <c r="P2923" s="459"/>
      <c r="Q2923" s="469"/>
      <c r="R2923" s="512" t="str">
        <f>R2922</f>
        <v>DELETE</v>
      </c>
      <c r="T2923" s="521"/>
      <c r="Y2923" s="513">
        <f>IF(M2923&lt;0,1,IF(M2923=0,IF(O2923&lt;0,1,2),2))</f>
        <v>2</v>
      </c>
      <c r="Z2923" s="513">
        <f>IF(O2923&lt;0,1,IF(O2923=0,IF(M2923&lt;0,1,2),2))</f>
        <v>2</v>
      </c>
    </row>
    <row r="2924" spans="2:26" ht="31.5" customHeight="1" x14ac:dyDescent="0.45">
      <c r="B2924" s="468"/>
      <c r="C2924" s="450"/>
      <c r="J2924" s="451"/>
      <c r="K2924" s="451"/>
      <c r="L2924" s="451"/>
      <c r="M2924" s="531"/>
      <c r="N2924" s="470"/>
      <c r="O2924" s="531"/>
      <c r="P2924" s="459"/>
      <c r="Q2924" s="469"/>
      <c r="R2924" s="512" t="str">
        <f>R2923</f>
        <v>DELETE</v>
      </c>
      <c r="T2924" s="521"/>
    </row>
    <row r="2925" spans="2:26" ht="31.5" customHeight="1" x14ac:dyDescent="0.45">
      <c r="B2925" s="468"/>
      <c r="C2925" s="450" t="s">
        <v>385</v>
      </c>
      <c r="J2925" s="451"/>
      <c r="K2925" s="451"/>
      <c r="L2925" s="451"/>
      <c r="M2925" s="531">
        <f>SUM(M2927:M2934)</f>
        <v>0</v>
      </c>
      <c r="N2925" s="470"/>
      <c r="O2925" s="531">
        <f>SUM(O2927:O2934)</f>
        <v>0</v>
      </c>
      <c r="P2925" s="459"/>
      <c r="Q2925" s="469"/>
      <c r="R2925" s="512" t="str">
        <f t="shared" ref="R2925" si="178">IF(R$2893="DELETE","DELETE",IF(M2925+O2925=0,"DELETE"," "))</f>
        <v>DELETE</v>
      </c>
      <c r="S2925" s="517">
        <f>M2925</f>
        <v>0</v>
      </c>
      <c r="T2925" s="521"/>
      <c r="U2925" s="517">
        <f>O2925</f>
        <v>0</v>
      </c>
      <c r="V2925" s="517"/>
      <c r="W2925" s="517"/>
      <c r="X2925" s="517"/>
    </row>
    <row r="2926" spans="2:26" ht="9" customHeight="1" x14ac:dyDescent="0.45">
      <c r="B2926" s="468"/>
      <c r="C2926" s="450"/>
      <c r="J2926" s="451"/>
      <c r="K2926" s="451"/>
      <c r="L2926" s="451"/>
      <c r="M2926" s="531"/>
      <c r="N2926" s="470"/>
      <c r="O2926" s="531"/>
      <c r="P2926" s="459"/>
      <c r="Q2926" s="469"/>
      <c r="R2926" s="512" t="str">
        <f>R2925</f>
        <v>DELETE</v>
      </c>
      <c r="T2926" s="521"/>
    </row>
    <row r="2927" spans="2:26" ht="9" customHeight="1" x14ac:dyDescent="0.45">
      <c r="B2927" s="468"/>
      <c r="C2927" s="450"/>
      <c r="J2927" s="451"/>
      <c r="K2927" s="451"/>
      <c r="L2927" s="451"/>
      <c r="M2927" s="532"/>
      <c r="N2927" s="471"/>
      <c r="O2927" s="552"/>
      <c r="P2927" s="459"/>
      <c r="Q2927" s="469"/>
      <c r="R2927" s="512" t="str">
        <f>R2925</f>
        <v>DELETE</v>
      </c>
      <c r="T2927" s="521"/>
    </row>
    <row r="2928" spans="2:26" ht="31.5" customHeight="1" x14ac:dyDescent="0.45">
      <c r="B2928" s="468"/>
      <c r="C2928" s="450"/>
      <c r="D2928" s="449" t="str">
        <f>TrialBalanceA!C28</f>
        <v>Insurance claims - Seafront Restaurant</v>
      </c>
      <c r="J2928" s="451"/>
      <c r="K2928" s="451"/>
      <c r="L2928" s="451"/>
      <c r="M2928" s="533">
        <f>-TrialBalanceA!I28</f>
        <v>0</v>
      </c>
      <c r="N2928" s="470"/>
      <c r="O2928" s="553">
        <f>-TrialBalanceA!K28</f>
        <v>0</v>
      </c>
      <c r="P2928" s="459"/>
      <c r="Q2928" s="469"/>
      <c r="R2928" s="512" t="str">
        <f t="shared" ref="R2928:R2932" si="179">IF(R$2893="DELETE","DELETE",IF(M2928+O2928=0,"DELETE"," "))</f>
        <v>DELETE</v>
      </c>
      <c r="T2928" s="521"/>
    </row>
    <row r="2929" spans="2:24" ht="31.5" customHeight="1" x14ac:dyDescent="0.45">
      <c r="B2929" s="468"/>
      <c r="C2929" s="450"/>
      <c r="D2929" s="449" t="str">
        <f>TrialBalanceA!C29</f>
        <v>Government grants received</v>
      </c>
      <c r="J2929" s="451"/>
      <c r="K2929" s="451"/>
      <c r="L2929" s="451"/>
      <c r="M2929" s="533">
        <f>-TrialBalanceA!I29</f>
        <v>0</v>
      </c>
      <c r="N2929" s="470"/>
      <c r="O2929" s="553">
        <f>-TrialBalanceA!K29</f>
        <v>0</v>
      </c>
      <c r="P2929" s="459"/>
      <c r="Q2929" s="469"/>
      <c r="R2929" s="512" t="str">
        <f t="shared" si="179"/>
        <v>DELETE</v>
      </c>
      <c r="T2929" s="521"/>
    </row>
    <row r="2930" spans="2:24" ht="31.5" customHeight="1" x14ac:dyDescent="0.45">
      <c r="B2930" s="468"/>
      <c r="C2930" s="450"/>
      <c r="D2930" s="449">
        <f>TrialBalanceA!C30</f>
        <v>0</v>
      </c>
      <c r="J2930" s="451"/>
      <c r="K2930" s="451"/>
      <c r="L2930" s="451"/>
      <c r="M2930" s="533">
        <f>-TrialBalanceA!I30</f>
        <v>0</v>
      </c>
      <c r="N2930" s="470"/>
      <c r="O2930" s="553">
        <f>-TrialBalanceA!K30</f>
        <v>0</v>
      </c>
      <c r="P2930" s="459"/>
      <c r="Q2930" s="469"/>
      <c r="R2930" s="512" t="str">
        <f t="shared" si="179"/>
        <v>DELETE</v>
      </c>
      <c r="T2930" s="521"/>
    </row>
    <row r="2931" spans="2:24" ht="31.5" customHeight="1" x14ac:dyDescent="0.45">
      <c r="B2931" s="468"/>
      <c r="C2931" s="450"/>
      <c r="D2931" s="449">
        <f>TrialBalanceA!C31</f>
        <v>0</v>
      </c>
      <c r="J2931" s="451"/>
      <c r="K2931" s="451"/>
      <c r="L2931" s="451"/>
      <c r="M2931" s="533">
        <f>-TrialBalanceA!I31</f>
        <v>0</v>
      </c>
      <c r="N2931" s="470"/>
      <c r="O2931" s="553">
        <f>-TrialBalanceA!K31</f>
        <v>0</v>
      </c>
      <c r="P2931" s="459"/>
      <c r="Q2931" s="469"/>
      <c r="R2931" s="512" t="str">
        <f t="shared" si="179"/>
        <v>DELETE</v>
      </c>
      <c r="T2931" s="521"/>
    </row>
    <row r="2932" spans="2:24" ht="31.5" customHeight="1" x14ac:dyDescent="0.45">
      <c r="B2932" s="468"/>
      <c r="C2932" s="450"/>
      <c r="D2932" s="449">
        <f>TrialBalanceA!C32</f>
        <v>0</v>
      </c>
      <c r="J2932" s="451"/>
      <c r="K2932" s="451"/>
      <c r="L2932" s="451"/>
      <c r="M2932" s="533">
        <f>-TrialBalanceA!I32</f>
        <v>0</v>
      </c>
      <c r="N2932" s="470"/>
      <c r="O2932" s="553">
        <f>-TrialBalanceA!K32</f>
        <v>0</v>
      </c>
      <c r="P2932" s="459"/>
      <c r="Q2932" s="469"/>
      <c r="R2932" s="512" t="str">
        <f t="shared" si="179"/>
        <v>DELETE</v>
      </c>
      <c r="T2932" s="521"/>
    </row>
    <row r="2933" spans="2:24" ht="31.5" customHeight="1" x14ac:dyDescent="0.45">
      <c r="B2933" s="468"/>
      <c r="C2933" s="450"/>
      <c r="D2933" s="449" t="str">
        <f>TrialBalanceA!C33</f>
        <v>Recoupment of depreciation</v>
      </c>
      <c r="J2933" s="451"/>
      <c r="K2933" s="451"/>
      <c r="L2933" s="451"/>
      <c r="M2933" s="533">
        <f>-TrialBalanceA!I33</f>
        <v>0</v>
      </c>
      <c r="N2933" s="470"/>
      <c r="O2933" s="553">
        <f>-TrialBalanceA!K33</f>
        <v>0</v>
      </c>
      <c r="P2933" s="459"/>
      <c r="Q2933" s="469"/>
      <c r="R2933" s="512" t="str">
        <f t="shared" ref="R2933" si="180">IF(R$2893="DELETE","DELETE",IF(M2933+O2933=0,"DELETE"," "))</f>
        <v>DELETE</v>
      </c>
      <c r="T2933" s="521"/>
    </row>
    <row r="2934" spans="2:24" ht="9" customHeight="1" x14ac:dyDescent="0.45">
      <c r="B2934" s="468"/>
      <c r="C2934" s="450"/>
      <c r="J2934" s="451"/>
      <c r="K2934" s="451"/>
      <c r="L2934" s="451"/>
      <c r="M2934" s="534"/>
      <c r="N2934" s="473"/>
      <c r="O2934" s="554"/>
      <c r="P2934" s="459"/>
      <c r="Q2934" s="469"/>
      <c r="R2934" s="512" t="str">
        <f>R2925</f>
        <v>DELETE</v>
      </c>
      <c r="T2934" s="521"/>
    </row>
    <row r="2935" spans="2:24" ht="9" customHeight="1" x14ac:dyDescent="0.45">
      <c r="B2935" s="468"/>
      <c r="C2935" s="450"/>
      <c r="J2935" s="451"/>
      <c r="K2935" s="451"/>
      <c r="L2935" s="451"/>
      <c r="M2935" s="547"/>
      <c r="N2935" s="496"/>
      <c r="O2935" s="547"/>
      <c r="P2935" s="459"/>
      <c r="Q2935" s="469"/>
      <c r="R2935" s="512" t="str">
        <f>R2934</f>
        <v>DELETE</v>
      </c>
      <c r="T2935" s="521"/>
    </row>
    <row r="2936" spans="2:24" ht="9" customHeight="1" x14ac:dyDescent="0.45">
      <c r="B2936" s="468"/>
      <c r="C2936" s="450"/>
      <c r="J2936" s="451"/>
      <c r="K2936" s="451"/>
      <c r="L2936" s="451"/>
      <c r="M2936" s="531"/>
      <c r="N2936" s="470"/>
      <c r="O2936" s="531"/>
      <c r="P2936" s="459"/>
      <c r="Q2936" s="469"/>
      <c r="R2936" s="512" t="str">
        <f>R2935</f>
        <v>DELETE</v>
      </c>
      <c r="T2936" s="521"/>
    </row>
    <row r="2937" spans="2:24" ht="31.5" customHeight="1" x14ac:dyDescent="0.45">
      <c r="B2937" s="468"/>
      <c r="C2937" s="450"/>
      <c r="J2937" s="451"/>
      <c r="K2937" s="451"/>
      <c r="L2937" s="451"/>
      <c r="M2937" s="531">
        <f>SUM(S2905:S2925)</f>
        <v>0</v>
      </c>
      <c r="N2937" s="470"/>
      <c r="O2937" s="531">
        <f>SUM(U2905:U2925)</f>
        <v>0</v>
      </c>
      <c r="P2937" s="459"/>
      <c r="Q2937" s="469"/>
      <c r="R2937" s="512" t="str">
        <f>R2925</f>
        <v>DELETE</v>
      </c>
      <c r="T2937" s="521"/>
    </row>
    <row r="2938" spans="2:24" ht="31.5" customHeight="1" x14ac:dyDescent="0.45">
      <c r="B2938" s="468"/>
      <c r="C2938" s="450"/>
      <c r="J2938" s="451"/>
      <c r="K2938" s="451"/>
      <c r="L2938" s="451"/>
      <c r="M2938" s="531"/>
      <c r="N2938" s="470"/>
      <c r="O2938" s="531"/>
      <c r="P2938" s="459"/>
      <c r="Q2938" s="469"/>
      <c r="R2938" s="512" t="str">
        <f>R2937</f>
        <v>DELETE</v>
      </c>
      <c r="T2938" s="521"/>
    </row>
    <row r="2939" spans="2:24" ht="31.5" customHeight="1" x14ac:dyDescent="0.45">
      <c r="B2939" s="468"/>
      <c r="C2939" s="450" t="s">
        <v>1416</v>
      </c>
      <c r="J2939" s="451"/>
      <c r="K2939" s="451"/>
      <c r="L2939" s="451"/>
      <c r="M2939" s="531">
        <f>SUM(M2941:M2969)</f>
        <v>0</v>
      </c>
      <c r="N2939" s="470"/>
      <c r="O2939" s="531">
        <f>SUM(O2941:O2969)</f>
        <v>0</v>
      </c>
      <c r="P2939" s="459"/>
      <c r="Q2939" s="469"/>
      <c r="R2939" s="512" t="str">
        <f t="shared" ref="R2939" si="181">IF(R$2893="DELETE","DELETE",IF(M2939+O2939=0,"DELETE"," "))</f>
        <v>DELETE</v>
      </c>
      <c r="S2939" s="517">
        <f>-M2939</f>
        <v>0</v>
      </c>
      <c r="T2939" s="521"/>
      <c r="U2939" s="517">
        <f>-O2939</f>
        <v>0</v>
      </c>
      <c r="V2939" s="517"/>
      <c r="W2939" s="517"/>
      <c r="X2939" s="517"/>
    </row>
    <row r="2940" spans="2:24" ht="9" customHeight="1" x14ac:dyDescent="0.45">
      <c r="B2940" s="468"/>
      <c r="C2940" s="450"/>
      <c r="J2940" s="451"/>
      <c r="K2940" s="451"/>
      <c r="L2940" s="451"/>
      <c r="M2940" s="531"/>
      <c r="N2940" s="470"/>
      <c r="O2940" s="531"/>
      <c r="P2940" s="459"/>
      <c r="Q2940" s="469"/>
      <c r="R2940" s="512" t="str">
        <f>R2939</f>
        <v>DELETE</v>
      </c>
      <c r="T2940" s="521"/>
    </row>
    <row r="2941" spans="2:24" ht="9" customHeight="1" x14ac:dyDescent="0.45">
      <c r="B2941" s="468"/>
      <c r="C2941" s="450"/>
      <c r="J2941" s="451"/>
      <c r="K2941" s="451"/>
      <c r="L2941" s="451"/>
      <c r="M2941" s="532"/>
      <c r="N2941" s="471"/>
      <c r="O2941" s="552"/>
      <c r="P2941" s="459"/>
      <c r="Q2941" s="469"/>
      <c r="R2941" s="512" t="str">
        <f>R2940</f>
        <v>DELETE</v>
      </c>
      <c r="T2941" s="521"/>
    </row>
    <row r="2942" spans="2:24" ht="31.5" customHeight="1" x14ac:dyDescent="0.45">
      <c r="B2942" s="468"/>
      <c r="C2942" s="450"/>
      <c r="D2942" s="449" t="s">
        <v>335</v>
      </c>
      <c r="J2942" s="451"/>
      <c r="K2942" s="451"/>
      <c r="L2942" s="451"/>
      <c r="M2942" s="533">
        <f>TrialBalanceA!I40</f>
        <v>0</v>
      </c>
      <c r="N2942" s="470"/>
      <c r="O2942" s="553">
        <f>TrialBalanceA!K40</f>
        <v>0</v>
      </c>
      <c r="P2942" s="459"/>
      <c r="Q2942" s="469"/>
      <c r="R2942" s="512" t="str">
        <f t="shared" ref="R2942:R2968" si="182">IF(R$2893="DELETE","DELETE",IF(M2942+O2942=0,"DELETE"," "))</f>
        <v>DELETE</v>
      </c>
      <c r="T2942" s="521"/>
    </row>
    <row r="2943" spans="2:24" ht="31.5" customHeight="1" x14ac:dyDescent="0.45">
      <c r="B2943" s="468"/>
      <c r="C2943" s="450"/>
      <c r="D2943" s="449" t="s">
        <v>888</v>
      </c>
      <c r="J2943" s="451"/>
      <c r="K2943" s="451"/>
      <c r="L2943" s="451"/>
      <c r="M2943" s="533">
        <f>TrialBalanceA!I41</f>
        <v>0</v>
      </c>
      <c r="N2943" s="470"/>
      <c r="O2943" s="553">
        <f>TrialBalanceA!K41</f>
        <v>0</v>
      </c>
      <c r="P2943" s="459"/>
      <c r="Q2943" s="469"/>
      <c r="R2943" s="512" t="str">
        <f t="shared" si="182"/>
        <v>DELETE</v>
      </c>
      <c r="T2943" s="521"/>
    </row>
    <row r="2944" spans="2:24" ht="31.5" customHeight="1" x14ac:dyDescent="0.45">
      <c r="B2944" s="468"/>
      <c r="C2944" s="450"/>
      <c r="D2944" s="449" t="s">
        <v>336</v>
      </c>
      <c r="J2944" s="451"/>
      <c r="K2944" s="451"/>
      <c r="L2944" s="451"/>
      <c r="M2944" s="533">
        <f>TrialBalanceA!I42</f>
        <v>0</v>
      </c>
      <c r="N2944" s="470"/>
      <c r="O2944" s="553">
        <f>TrialBalanceA!K42</f>
        <v>0</v>
      </c>
      <c r="P2944" s="459"/>
      <c r="Q2944" s="469"/>
      <c r="R2944" s="512" t="str">
        <f t="shared" si="182"/>
        <v>DELETE</v>
      </c>
      <c r="T2944" s="521"/>
    </row>
    <row r="2945" spans="2:24" ht="31.5" customHeight="1" x14ac:dyDescent="0.45">
      <c r="B2945" s="468"/>
      <c r="C2945" s="450"/>
      <c r="D2945" s="449" t="s">
        <v>337</v>
      </c>
      <c r="J2945" s="451"/>
      <c r="K2945" s="451">
        <f>C$1203</f>
        <v>5.2999999999999989</v>
      </c>
      <c r="L2945" s="451"/>
      <c r="M2945" s="533">
        <f>SUM(TrialBalanceA!I44:I46)</f>
        <v>0</v>
      </c>
      <c r="N2945" s="470"/>
      <c r="O2945" s="553">
        <f>SUM(TrialBalanceA!K44:K46)</f>
        <v>0</v>
      </c>
      <c r="P2945" s="459"/>
      <c r="Q2945" s="469"/>
      <c r="R2945" s="512" t="str">
        <f t="shared" si="182"/>
        <v>DELETE</v>
      </c>
      <c r="T2945" s="521"/>
    </row>
    <row r="2946" spans="2:24" ht="31.5" customHeight="1" x14ac:dyDescent="0.45">
      <c r="B2946" s="468"/>
      <c r="C2946" s="450"/>
      <c r="D2946" s="449" t="s">
        <v>610</v>
      </c>
      <c r="J2946" s="451"/>
      <c r="K2946" s="451"/>
      <c r="L2946" s="451"/>
      <c r="M2946" s="533">
        <f>TrialBalanceA!I47</f>
        <v>0</v>
      </c>
      <c r="N2946" s="470"/>
      <c r="O2946" s="553">
        <f>TrialBalanceA!K47</f>
        <v>0</v>
      </c>
      <c r="P2946" s="459"/>
      <c r="Q2946" s="469"/>
      <c r="R2946" s="512" t="str">
        <f t="shared" si="182"/>
        <v>DELETE</v>
      </c>
      <c r="S2946" s="518"/>
      <c r="T2946" s="521"/>
      <c r="U2946" s="518"/>
      <c r="V2946" s="518"/>
      <c r="W2946" s="518"/>
      <c r="X2946" s="518"/>
    </row>
    <row r="2947" spans="2:24" ht="31.5" customHeight="1" x14ac:dyDescent="0.45">
      <c r="B2947" s="468"/>
      <c r="C2947" s="450"/>
      <c r="D2947" s="449" t="s">
        <v>933</v>
      </c>
      <c r="J2947" s="451"/>
      <c r="K2947" s="451"/>
      <c r="L2947" s="451"/>
      <c r="M2947" s="533">
        <f>TrialBalanceA!I48</f>
        <v>0</v>
      </c>
      <c r="N2947" s="470"/>
      <c r="O2947" s="553">
        <f>TrialBalanceA!K48</f>
        <v>0</v>
      </c>
      <c r="P2947" s="459"/>
      <c r="Q2947" s="469"/>
      <c r="R2947" s="512" t="str">
        <f t="shared" si="182"/>
        <v>DELETE</v>
      </c>
      <c r="T2947" s="521"/>
    </row>
    <row r="2948" spans="2:24" ht="31.5" customHeight="1" x14ac:dyDescent="0.45">
      <c r="B2948" s="468"/>
      <c r="C2948" s="450"/>
      <c r="D2948" s="449" t="s">
        <v>74</v>
      </c>
      <c r="J2948" s="451"/>
      <c r="K2948" s="451"/>
      <c r="L2948" s="451"/>
      <c r="M2948" s="533">
        <f>TrialBalanceA!I49</f>
        <v>0</v>
      </c>
      <c r="N2948" s="470"/>
      <c r="O2948" s="553">
        <f>TrialBalanceA!K49</f>
        <v>0</v>
      </c>
      <c r="P2948" s="459"/>
      <c r="Q2948" s="469"/>
      <c r="R2948" s="512" t="str">
        <f t="shared" si="182"/>
        <v>DELETE</v>
      </c>
      <c r="T2948" s="521"/>
    </row>
    <row r="2949" spans="2:24" ht="31.5" customHeight="1" x14ac:dyDescent="0.45">
      <c r="B2949" s="468"/>
      <c r="C2949" s="450"/>
      <c r="D2949" s="449" t="s">
        <v>338</v>
      </c>
      <c r="J2949" s="451"/>
      <c r="K2949" s="451"/>
      <c r="L2949" s="451"/>
      <c r="M2949" s="533">
        <f>TrialBalanceA!I50</f>
        <v>0</v>
      </c>
      <c r="N2949" s="470"/>
      <c r="O2949" s="553">
        <f>TrialBalanceA!K50</f>
        <v>0</v>
      </c>
      <c r="P2949" s="459"/>
      <c r="Q2949" s="469"/>
      <c r="R2949" s="512" t="str">
        <f t="shared" si="182"/>
        <v>DELETE</v>
      </c>
      <c r="T2949" s="521"/>
    </row>
    <row r="2950" spans="2:24" ht="31.5" customHeight="1" x14ac:dyDescent="0.45">
      <c r="B2950" s="468"/>
      <c r="C2950" s="450"/>
      <c r="D2950" s="449" t="s">
        <v>632</v>
      </c>
      <c r="J2950" s="451"/>
      <c r="K2950" s="451"/>
      <c r="L2950" s="451"/>
      <c r="M2950" s="533">
        <f>SUM(TrialBalanceA!I51:I52)</f>
        <v>0</v>
      </c>
      <c r="N2950" s="470"/>
      <c r="O2950" s="553">
        <f>SUM(TrialBalanceA!K51:K52)</f>
        <v>0</v>
      </c>
      <c r="P2950" s="459"/>
      <c r="Q2950" s="469"/>
      <c r="R2950" s="512" t="str">
        <f t="shared" si="182"/>
        <v>DELETE</v>
      </c>
      <c r="T2950" s="521"/>
    </row>
    <row r="2951" spans="2:24" ht="31.5" customHeight="1" x14ac:dyDescent="0.45">
      <c r="B2951" s="468"/>
      <c r="C2951" s="450"/>
      <c r="D2951" s="449" t="s">
        <v>630</v>
      </c>
      <c r="J2951" s="451"/>
      <c r="K2951" s="451"/>
      <c r="L2951" s="451"/>
      <c r="M2951" s="533">
        <f>TrialBalanceA!I53</f>
        <v>0</v>
      </c>
      <c r="N2951" s="470"/>
      <c r="O2951" s="553">
        <f>TrialBalanceA!K53</f>
        <v>0</v>
      </c>
      <c r="P2951" s="459"/>
      <c r="Q2951" s="469"/>
      <c r="R2951" s="512" t="str">
        <f t="shared" si="182"/>
        <v>DELETE</v>
      </c>
      <c r="T2951" s="521"/>
    </row>
    <row r="2952" spans="2:24" ht="31.5" customHeight="1" x14ac:dyDescent="0.45">
      <c r="B2952" s="468"/>
      <c r="C2952" s="450"/>
      <c r="D2952" s="449" t="s">
        <v>611</v>
      </c>
      <c r="J2952" s="451"/>
      <c r="K2952" s="451"/>
      <c r="L2952" s="451"/>
      <c r="M2952" s="533">
        <f>SUM(TrialBalanceA!I55:I59)</f>
        <v>0</v>
      </c>
      <c r="N2952" s="470"/>
      <c r="O2952" s="553">
        <f>SUM(TrialBalanceA!K55:K59)</f>
        <v>0</v>
      </c>
      <c r="P2952" s="459"/>
      <c r="Q2952" s="469"/>
      <c r="R2952" s="512" t="str">
        <f t="shared" si="182"/>
        <v>DELETE</v>
      </c>
      <c r="T2952" s="521"/>
    </row>
    <row r="2953" spans="2:24" ht="31.5" customHeight="1" x14ac:dyDescent="0.45">
      <c r="B2953" s="468"/>
      <c r="C2953" s="450"/>
      <c r="D2953" s="449" t="s">
        <v>590</v>
      </c>
      <c r="J2953" s="451"/>
      <c r="K2953" s="451">
        <f>FS!C$1171</f>
        <v>5.1999999999999993</v>
      </c>
      <c r="L2953" s="451"/>
      <c r="M2953" s="533">
        <f>SUM(TrialBalanceA!I61:I63)</f>
        <v>0</v>
      </c>
      <c r="N2953" s="470"/>
      <c r="O2953" s="553">
        <f>SUM(TrialBalanceA!K61:K63)</f>
        <v>0</v>
      </c>
      <c r="P2953" s="459"/>
      <c r="Q2953" s="469"/>
      <c r="R2953" s="512" t="str">
        <f t="shared" si="182"/>
        <v>DELETE</v>
      </c>
      <c r="T2953" s="521"/>
    </row>
    <row r="2954" spans="2:24" ht="31.5" customHeight="1" x14ac:dyDescent="0.45">
      <c r="B2954" s="468"/>
      <c r="C2954" s="450"/>
      <c r="D2954" s="449" t="s">
        <v>82</v>
      </c>
      <c r="J2954" s="451"/>
      <c r="K2954" s="451"/>
      <c r="L2954" s="451"/>
      <c r="M2954" s="533">
        <f>TrialBalanceA!I64</f>
        <v>0</v>
      </c>
      <c r="N2954" s="470"/>
      <c r="O2954" s="553">
        <f>TrialBalanceA!K64</f>
        <v>0</v>
      </c>
      <c r="P2954" s="459"/>
      <c r="Q2954" s="469"/>
      <c r="R2954" s="512" t="str">
        <f t="shared" si="182"/>
        <v>DELETE</v>
      </c>
      <c r="T2954" s="521"/>
    </row>
    <row r="2955" spans="2:24" ht="31.5" customHeight="1" x14ac:dyDescent="0.45">
      <c r="B2955" s="468"/>
      <c r="C2955" s="450"/>
      <c r="D2955" s="449" t="s">
        <v>309</v>
      </c>
      <c r="J2955" s="451"/>
      <c r="K2955" s="451"/>
      <c r="L2955" s="451"/>
      <c r="M2955" s="533">
        <f>SUM(TrialBalanceA!I65:I67)</f>
        <v>0</v>
      </c>
      <c r="N2955" s="470"/>
      <c r="O2955" s="553">
        <f>SUM(TrialBalanceA!K65:K67)</f>
        <v>0</v>
      </c>
      <c r="P2955" s="459"/>
      <c r="Q2955" s="469"/>
      <c r="R2955" s="512" t="str">
        <f t="shared" si="182"/>
        <v>DELETE</v>
      </c>
      <c r="T2955" s="521"/>
    </row>
    <row r="2956" spans="2:24" ht="31.5" customHeight="1" x14ac:dyDescent="0.45">
      <c r="B2956" s="468"/>
      <c r="C2956" s="450"/>
      <c r="D2956" s="449" t="s">
        <v>934</v>
      </c>
      <c r="J2956" s="451"/>
      <c r="K2956" s="451"/>
      <c r="L2956" s="451"/>
      <c r="M2956" s="533">
        <f>SUM(TrialBalanceA!I68:I69)</f>
        <v>0</v>
      </c>
      <c r="N2956" s="470"/>
      <c r="O2956" s="553">
        <f>SUM(TrialBalanceA!K68:K69)</f>
        <v>0</v>
      </c>
      <c r="P2956" s="459"/>
      <c r="Q2956" s="469"/>
      <c r="R2956" s="512" t="str">
        <f t="shared" si="182"/>
        <v>DELETE</v>
      </c>
      <c r="T2956" s="521"/>
    </row>
    <row r="2957" spans="2:24" ht="31.5" customHeight="1" x14ac:dyDescent="0.45">
      <c r="B2957" s="468"/>
      <c r="C2957" s="450"/>
      <c r="D2957" s="449" t="s">
        <v>310</v>
      </c>
      <c r="J2957" s="451"/>
      <c r="K2957" s="451"/>
      <c r="L2957" s="451"/>
      <c r="M2957" s="533">
        <f>TrialBalanceA!I70</f>
        <v>0</v>
      </c>
      <c r="N2957" s="470"/>
      <c r="O2957" s="553">
        <f>TrialBalanceA!K70</f>
        <v>0</v>
      </c>
      <c r="P2957" s="459"/>
      <c r="Q2957" s="469"/>
      <c r="R2957" s="512" t="str">
        <f t="shared" si="182"/>
        <v>DELETE</v>
      </c>
      <c r="T2957" s="521"/>
    </row>
    <row r="2958" spans="2:24" ht="31.5" customHeight="1" x14ac:dyDescent="0.45">
      <c r="B2958" s="468"/>
      <c r="C2958" s="450"/>
      <c r="D2958" s="449" t="s">
        <v>461</v>
      </c>
      <c r="J2958" s="451"/>
      <c r="K2958" s="451"/>
      <c r="L2958" s="451"/>
      <c r="M2958" s="533">
        <f>TrialBalanceA!I71</f>
        <v>0</v>
      </c>
      <c r="N2958" s="470"/>
      <c r="O2958" s="553">
        <f>TrialBalanceA!K71</f>
        <v>0</v>
      </c>
      <c r="P2958" s="459"/>
      <c r="Q2958" s="469"/>
      <c r="R2958" s="512" t="str">
        <f t="shared" si="182"/>
        <v>DELETE</v>
      </c>
      <c r="T2958" s="521"/>
    </row>
    <row r="2959" spans="2:24" ht="31.5" customHeight="1" x14ac:dyDescent="0.45">
      <c r="B2959" s="468"/>
      <c r="C2959" s="450"/>
      <c r="D2959" s="449">
        <f>TrialBalanceA!C72</f>
        <v>0</v>
      </c>
      <c r="J2959" s="451"/>
      <c r="K2959" s="451"/>
      <c r="L2959" s="451"/>
      <c r="M2959" s="533">
        <f>TrialBalanceA!I72</f>
        <v>0</v>
      </c>
      <c r="N2959" s="470"/>
      <c r="O2959" s="553">
        <f>TrialBalanceA!K72</f>
        <v>0</v>
      </c>
      <c r="P2959" s="459"/>
      <c r="Q2959" s="469"/>
      <c r="R2959" s="512" t="str">
        <f t="shared" si="182"/>
        <v>DELETE</v>
      </c>
      <c r="T2959" s="521"/>
    </row>
    <row r="2960" spans="2:24" ht="31.5" customHeight="1" x14ac:dyDescent="0.45">
      <c r="B2960" s="468"/>
      <c r="C2960" s="450"/>
      <c r="D2960" s="449">
        <f>TrialBalanceA!C73</f>
        <v>0</v>
      </c>
      <c r="J2960" s="451"/>
      <c r="K2960" s="451"/>
      <c r="L2960" s="451"/>
      <c r="M2960" s="533">
        <f>TrialBalanceA!I73</f>
        <v>0</v>
      </c>
      <c r="N2960" s="470"/>
      <c r="O2960" s="553">
        <f>TrialBalanceA!K73</f>
        <v>0</v>
      </c>
      <c r="P2960" s="459"/>
      <c r="Q2960" s="469"/>
      <c r="R2960" s="512" t="str">
        <f t="shared" si="182"/>
        <v>DELETE</v>
      </c>
      <c r="T2960" s="521"/>
    </row>
    <row r="2961" spans="2:26" ht="31.5" customHeight="1" x14ac:dyDescent="0.45">
      <c r="B2961" s="468"/>
      <c r="C2961" s="450"/>
      <c r="D2961" s="449">
        <f>TrialBalanceA!C74</f>
        <v>0</v>
      </c>
      <c r="J2961" s="451"/>
      <c r="K2961" s="451"/>
      <c r="L2961" s="451"/>
      <c r="M2961" s="533">
        <f>TrialBalanceA!I74</f>
        <v>0</v>
      </c>
      <c r="N2961" s="470"/>
      <c r="O2961" s="553">
        <f>TrialBalanceA!K74</f>
        <v>0</v>
      </c>
      <c r="P2961" s="459"/>
      <c r="Q2961" s="469"/>
      <c r="R2961" s="512" t="str">
        <f t="shared" si="182"/>
        <v>DELETE</v>
      </c>
      <c r="T2961" s="521"/>
    </row>
    <row r="2962" spans="2:26" ht="31.5" customHeight="1" x14ac:dyDescent="0.45">
      <c r="B2962" s="468"/>
      <c r="C2962" s="450"/>
      <c r="D2962" s="449">
        <f>TrialBalanceA!C75</f>
        <v>0</v>
      </c>
      <c r="J2962" s="451"/>
      <c r="K2962" s="451"/>
      <c r="L2962" s="451"/>
      <c r="M2962" s="533">
        <f>TrialBalanceA!I75</f>
        <v>0</v>
      </c>
      <c r="N2962" s="470"/>
      <c r="O2962" s="553">
        <f>TrialBalanceA!K75</f>
        <v>0</v>
      </c>
      <c r="P2962" s="459"/>
      <c r="Q2962" s="469"/>
      <c r="R2962" s="512" t="str">
        <f t="shared" si="182"/>
        <v>DELETE</v>
      </c>
      <c r="T2962" s="521"/>
    </row>
    <row r="2963" spans="2:26" ht="31.5" customHeight="1" x14ac:dyDescent="0.45">
      <c r="B2963" s="468"/>
      <c r="C2963" s="450"/>
      <c r="D2963" s="449">
        <f>TrialBalanceA!C76</f>
        <v>0</v>
      </c>
      <c r="J2963" s="451"/>
      <c r="K2963" s="451"/>
      <c r="L2963" s="451"/>
      <c r="M2963" s="533">
        <f>TrialBalanceA!I76</f>
        <v>0</v>
      </c>
      <c r="N2963" s="470"/>
      <c r="O2963" s="553">
        <f>TrialBalanceA!K76</f>
        <v>0</v>
      </c>
      <c r="P2963" s="459"/>
      <c r="Q2963" s="469"/>
      <c r="R2963" s="512" t="str">
        <f t="shared" si="182"/>
        <v>DELETE</v>
      </c>
      <c r="T2963" s="521"/>
    </row>
    <row r="2964" spans="2:26" ht="31.5" customHeight="1" x14ac:dyDescent="0.45">
      <c r="B2964" s="468"/>
      <c r="C2964" s="450"/>
      <c r="D2964" s="449">
        <f>TrialBalanceA!C77</f>
        <v>0</v>
      </c>
      <c r="J2964" s="451"/>
      <c r="K2964" s="451"/>
      <c r="L2964" s="451"/>
      <c r="M2964" s="533">
        <f>TrialBalanceA!I77</f>
        <v>0</v>
      </c>
      <c r="N2964" s="470"/>
      <c r="O2964" s="553">
        <f>TrialBalanceA!K77</f>
        <v>0</v>
      </c>
      <c r="P2964" s="459"/>
      <c r="Q2964" s="469"/>
      <c r="R2964" s="512" t="str">
        <f t="shared" si="182"/>
        <v>DELETE</v>
      </c>
      <c r="T2964" s="521"/>
    </row>
    <row r="2965" spans="2:26" ht="31.5" customHeight="1" x14ac:dyDescent="0.45">
      <c r="B2965" s="468"/>
      <c r="C2965" s="450"/>
      <c r="D2965" s="449">
        <f>TrialBalanceA!C78</f>
        <v>0</v>
      </c>
      <c r="J2965" s="451"/>
      <c r="K2965" s="451"/>
      <c r="L2965" s="451"/>
      <c r="M2965" s="533">
        <f>TrialBalanceA!I78</f>
        <v>0</v>
      </c>
      <c r="N2965" s="470"/>
      <c r="O2965" s="553">
        <f>TrialBalanceA!K78</f>
        <v>0</v>
      </c>
      <c r="P2965" s="459"/>
      <c r="Q2965" s="469"/>
      <c r="R2965" s="512" t="str">
        <f t="shared" si="182"/>
        <v>DELETE</v>
      </c>
      <c r="T2965" s="521"/>
    </row>
    <row r="2966" spans="2:26" ht="31.5" customHeight="1" x14ac:dyDescent="0.45">
      <c r="B2966" s="468"/>
      <c r="C2966" s="450"/>
      <c r="D2966" s="449">
        <f>TrialBalanceA!C79</f>
        <v>0</v>
      </c>
      <c r="J2966" s="451"/>
      <c r="K2966" s="451"/>
      <c r="L2966" s="451"/>
      <c r="M2966" s="533">
        <f>TrialBalanceA!I79</f>
        <v>0</v>
      </c>
      <c r="N2966" s="470"/>
      <c r="O2966" s="553">
        <f>TrialBalanceA!K79</f>
        <v>0</v>
      </c>
      <c r="P2966" s="459"/>
      <c r="Q2966" s="469"/>
      <c r="R2966" s="512" t="str">
        <f t="shared" si="182"/>
        <v>DELETE</v>
      </c>
      <c r="T2966" s="521"/>
    </row>
    <row r="2967" spans="2:26" ht="31.5" customHeight="1" x14ac:dyDescent="0.45">
      <c r="B2967" s="468"/>
      <c r="C2967" s="450"/>
      <c r="D2967" s="449">
        <f>TrialBalanceA!C80</f>
        <v>0</v>
      </c>
      <c r="J2967" s="451"/>
      <c r="K2967" s="451"/>
      <c r="L2967" s="451"/>
      <c r="M2967" s="533">
        <f>TrialBalanceA!I80</f>
        <v>0</v>
      </c>
      <c r="N2967" s="470"/>
      <c r="O2967" s="553">
        <f>TrialBalanceA!K80</f>
        <v>0</v>
      </c>
      <c r="P2967" s="459"/>
      <c r="Q2967" s="469"/>
      <c r="R2967" s="512" t="str">
        <f t="shared" si="182"/>
        <v>DELETE</v>
      </c>
      <c r="T2967" s="521"/>
    </row>
    <row r="2968" spans="2:26" ht="31.5" customHeight="1" x14ac:dyDescent="0.45">
      <c r="B2968" s="468"/>
      <c r="C2968" s="450"/>
      <c r="D2968" s="449">
        <f>TrialBalanceA!C81</f>
        <v>0</v>
      </c>
      <c r="J2968" s="451"/>
      <c r="K2968" s="451"/>
      <c r="L2968" s="451"/>
      <c r="M2968" s="533">
        <f>TrialBalanceA!I81</f>
        <v>0</v>
      </c>
      <c r="N2968" s="470"/>
      <c r="O2968" s="553">
        <f>TrialBalanceA!K81</f>
        <v>0</v>
      </c>
      <c r="P2968" s="459"/>
      <c r="Q2968" s="469"/>
      <c r="R2968" s="512" t="str">
        <f t="shared" si="182"/>
        <v>DELETE</v>
      </c>
      <c r="T2968" s="521"/>
    </row>
    <row r="2969" spans="2:26" ht="9" customHeight="1" x14ac:dyDescent="0.45">
      <c r="B2969" s="468"/>
      <c r="C2969" s="450"/>
      <c r="J2969" s="451"/>
      <c r="K2969" s="451"/>
      <c r="L2969" s="451"/>
      <c r="M2969" s="534"/>
      <c r="N2969" s="473"/>
      <c r="O2969" s="554"/>
      <c r="P2969" s="459"/>
      <c r="Q2969" s="469"/>
      <c r="R2969" s="512" t="str">
        <f>R2939</f>
        <v>DELETE</v>
      </c>
      <c r="T2969" s="521"/>
    </row>
    <row r="2970" spans="2:26" ht="9" customHeight="1" x14ac:dyDescent="0.45">
      <c r="B2970" s="468"/>
      <c r="C2970" s="450"/>
      <c r="J2970" s="451"/>
      <c r="K2970" s="451"/>
      <c r="L2970" s="451"/>
      <c r="M2970" s="535"/>
      <c r="N2970" s="473"/>
      <c r="O2970" s="535"/>
      <c r="P2970" s="459"/>
      <c r="Q2970" s="469"/>
      <c r="R2970" s="512" t="str">
        <f t="shared" ref="R2970:R2990" si="183">R$2893</f>
        <v>DELETE</v>
      </c>
      <c r="T2970" s="521"/>
    </row>
    <row r="2971" spans="2:26" ht="9" customHeight="1" x14ac:dyDescent="0.45">
      <c r="B2971" s="468"/>
      <c r="C2971" s="450"/>
      <c r="J2971" s="451"/>
      <c r="K2971" s="451"/>
      <c r="L2971" s="451"/>
      <c r="M2971" s="531"/>
      <c r="N2971" s="470"/>
      <c r="O2971" s="531"/>
      <c r="P2971" s="459"/>
      <c r="Q2971" s="469"/>
      <c r="R2971" s="512" t="str">
        <f t="shared" si="183"/>
        <v>DELETE</v>
      </c>
      <c r="T2971" s="521"/>
    </row>
    <row r="2972" spans="2:26" ht="27.75" customHeight="1" x14ac:dyDescent="0.45">
      <c r="B2972" s="468"/>
      <c r="C2972" s="492" t="str">
        <f>IF((Y2972+Z2972)=3,"OPERATING PROFIT/(LOSS)",(IF((Y2972+Z2972=4),"OPERATING PROFIT","OPERATING LOSS")))</f>
        <v>OPERATING PROFIT</v>
      </c>
      <c r="J2972" s="451"/>
      <c r="K2972" s="451"/>
      <c r="L2972" s="451"/>
      <c r="M2972" s="531">
        <f>SUM(S2905:S2970)</f>
        <v>0</v>
      </c>
      <c r="N2972" s="470"/>
      <c r="O2972" s="531">
        <f>SUM(U2905:U2970)</f>
        <v>0</v>
      </c>
      <c r="P2972" s="459"/>
      <c r="Q2972" s="469"/>
      <c r="R2972" s="512" t="str">
        <f t="shared" si="183"/>
        <v>DELETE</v>
      </c>
      <c r="T2972" s="521"/>
      <c r="Y2972" s="513">
        <f>IF(M2972&lt;0,1,IF(M2972=0,IF(O2972&lt;0,1,2),2))</f>
        <v>2</v>
      </c>
      <c r="Z2972" s="513">
        <f>IF(O2972&lt;0,1,IF(O2972=0,IF(M2972&lt;0,1,2),2))</f>
        <v>2</v>
      </c>
    </row>
    <row r="2973" spans="2:26" ht="31.5" customHeight="1" x14ac:dyDescent="0.45">
      <c r="B2973" s="468"/>
      <c r="C2973" s="450"/>
      <c r="D2973" s="449" t="s">
        <v>312</v>
      </c>
      <c r="J2973" s="451"/>
      <c r="K2973" s="451"/>
      <c r="L2973" s="451"/>
      <c r="M2973" s="531"/>
      <c r="N2973" s="470"/>
      <c r="O2973" s="531"/>
      <c r="P2973" s="459"/>
      <c r="Q2973" s="469"/>
      <c r="R2973" s="512" t="str">
        <f t="shared" si="183"/>
        <v>DELETE</v>
      </c>
      <c r="T2973" s="521"/>
    </row>
    <row r="2974" spans="2:26" ht="31.5" customHeight="1" x14ac:dyDescent="0.45">
      <c r="B2974" s="468"/>
      <c r="C2974" s="450"/>
      <c r="J2974" s="451"/>
      <c r="K2974" s="451"/>
      <c r="L2974" s="451"/>
      <c r="M2974" s="531"/>
      <c r="N2974" s="470"/>
      <c r="O2974" s="531"/>
      <c r="P2974" s="459"/>
      <c r="Q2974" s="469"/>
      <c r="R2974" s="512" t="str">
        <f t="shared" si="183"/>
        <v>DELETE</v>
      </c>
      <c r="T2974" s="521"/>
    </row>
    <row r="2975" spans="2:26" ht="31.5" customHeight="1" x14ac:dyDescent="0.45">
      <c r="B2975" s="468"/>
      <c r="C2975" s="450"/>
      <c r="J2975" s="451"/>
      <c r="K2975" s="451"/>
      <c r="L2975" s="451"/>
      <c r="M2975" s="531"/>
      <c r="N2975" s="470"/>
      <c r="O2975" s="531"/>
      <c r="P2975" s="459"/>
      <c r="Q2975" s="469"/>
      <c r="R2975" s="512" t="str">
        <f t="shared" si="183"/>
        <v>DELETE</v>
      </c>
      <c r="T2975" s="521"/>
    </row>
    <row r="2976" spans="2:26" ht="31.5" customHeight="1" x14ac:dyDescent="0.45">
      <c r="B2976" s="477"/>
      <c r="C2976" s="502"/>
      <c r="D2976" s="461"/>
      <c r="E2976" s="461"/>
      <c r="F2976" s="461"/>
      <c r="G2976" s="461"/>
      <c r="H2976" s="461"/>
      <c r="I2976" s="461"/>
      <c r="J2976" s="483"/>
      <c r="K2976" s="483"/>
      <c r="L2976" s="483"/>
      <c r="M2976" s="535"/>
      <c r="N2976" s="473"/>
      <c r="O2976" s="535"/>
      <c r="P2976" s="484"/>
      <c r="Q2976" s="479"/>
      <c r="R2976" s="512" t="str">
        <f t="shared" si="183"/>
        <v>DELETE</v>
      </c>
      <c r="T2976" s="521"/>
    </row>
    <row r="2977" spans="2:26" ht="31.5" customHeight="1" x14ac:dyDescent="0.45">
      <c r="C2977" s="450"/>
      <c r="J2977" s="451"/>
      <c r="K2977" s="451"/>
      <c r="L2977" s="451"/>
      <c r="M2977" s="531"/>
      <c r="N2977" s="470"/>
      <c r="O2977" s="531"/>
      <c r="P2977" s="459"/>
      <c r="R2977" s="512" t="str">
        <f t="shared" si="183"/>
        <v>DELETE</v>
      </c>
      <c r="T2977" s="521"/>
    </row>
    <row r="2978" spans="2:26" ht="31.5" customHeight="1" x14ac:dyDescent="0.45">
      <c r="C2978" s="450"/>
      <c r="J2978" s="451"/>
      <c r="K2978" s="451"/>
      <c r="L2978" s="451"/>
      <c r="M2978" s="531"/>
      <c r="N2978" s="470"/>
      <c r="O2978" s="531"/>
      <c r="P2978" s="459"/>
      <c r="R2978" s="512" t="str">
        <f t="shared" si="183"/>
        <v>DELETE</v>
      </c>
      <c r="T2978" s="521"/>
    </row>
    <row r="2979" spans="2:26" ht="31.5" customHeight="1" x14ac:dyDescent="0.45">
      <c r="C2979" s="450"/>
      <c r="D2979" s="450" t="str">
        <f>Criteria!E9</f>
        <v>ABC COMPANY (PROPRIETARY) LIMITED</v>
      </c>
      <c r="J2979" s="451"/>
      <c r="K2979" s="451"/>
      <c r="L2979" s="451"/>
      <c r="M2979" s="531"/>
      <c r="N2979" s="470"/>
      <c r="O2979" s="531" t="s">
        <v>121</v>
      </c>
      <c r="P2979" s="459"/>
      <c r="Q2979" s="451">
        <f>MAX($Q$2896:Q2978)+1</f>
        <v>2</v>
      </c>
      <c r="R2979" s="512" t="str">
        <f t="shared" si="183"/>
        <v>DELETE</v>
      </c>
      <c r="T2979" s="521"/>
    </row>
    <row r="2980" spans="2:26" ht="31.5" customHeight="1" x14ac:dyDescent="0.45">
      <c r="C2980" s="450"/>
      <c r="D2980" s="450" t="str">
        <f>CONCATENATE("T/A ",Criteria!E14)</f>
        <v>T/A SEAFRONT RESTAURANT</v>
      </c>
      <c r="J2980" s="451"/>
      <c r="K2980" s="451"/>
      <c r="L2980" s="451"/>
      <c r="M2980" s="531"/>
      <c r="N2980" s="470"/>
      <c r="O2980" s="531"/>
      <c r="P2980" s="459"/>
      <c r="R2980" s="512" t="str">
        <f t="shared" si="183"/>
        <v>DELETE</v>
      </c>
      <c r="T2980" s="521"/>
    </row>
    <row r="2981" spans="2:26" ht="31.5" customHeight="1" x14ac:dyDescent="0.45">
      <c r="C2981" s="450"/>
      <c r="J2981" s="451"/>
      <c r="K2981" s="451"/>
      <c r="L2981" s="451"/>
      <c r="M2981" s="531"/>
      <c r="N2981" s="470"/>
      <c r="O2981" s="531"/>
      <c r="P2981" s="459"/>
      <c r="R2981" s="512" t="str">
        <f t="shared" si="183"/>
        <v>DELETE</v>
      </c>
      <c r="T2981" s="521"/>
    </row>
    <row r="2982" spans="2:26" ht="31.5" customHeight="1" x14ac:dyDescent="0.45">
      <c r="C2982" s="450"/>
      <c r="D2982" s="450" t="s">
        <v>115</v>
      </c>
      <c r="J2982" s="451"/>
      <c r="K2982" s="451"/>
      <c r="L2982" s="451"/>
      <c r="M2982" s="531"/>
      <c r="N2982" s="470"/>
      <c r="O2982" s="531"/>
      <c r="P2982" s="459"/>
      <c r="R2982" s="512" t="str">
        <f t="shared" si="183"/>
        <v>DELETE</v>
      </c>
      <c r="T2982" s="521"/>
    </row>
    <row r="2983" spans="2:26" ht="31.5" customHeight="1" x14ac:dyDescent="0.45">
      <c r="C2983" s="450"/>
      <c r="D2983" s="450" t="str">
        <f>D2900</f>
        <v>29 FEBRUARY 2024</v>
      </c>
      <c r="H2983" s="449" t="s">
        <v>127</v>
      </c>
      <c r="J2983" s="451"/>
      <c r="K2983" s="451"/>
      <c r="L2983" s="451"/>
      <c r="M2983" s="531"/>
      <c r="N2983" s="470"/>
      <c r="O2983" s="531"/>
      <c r="P2983" s="459"/>
      <c r="R2983" s="512" t="str">
        <f t="shared" si="183"/>
        <v>DELETE</v>
      </c>
      <c r="T2983" s="521"/>
    </row>
    <row r="2984" spans="2:26" ht="31.5" customHeight="1" x14ac:dyDescent="0.45">
      <c r="C2984" s="450"/>
      <c r="J2984" s="451"/>
      <c r="K2984" s="483"/>
      <c r="L2984" s="483"/>
      <c r="M2984" s="535"/>
      <c r="N2984" s="473"/>
      <c r="O2984" s="535"/>
      <c r="P2984" s="459"/>
      <c r="R2984" s="512" t="str">
        <f t="shared" si="183"/>
        <v>DELETE</v>
      </c>
      <c r="T2984" s="521"/>
    </row>
    <row r="2985" spans="2:26" ht="31.5" customHeight="1" x14ac:dyDescent="0.45">
      <c r="B2985" s="465"/>
      <c r="C2985" s="503"/>
      <c r="D2985" s="466"/>
      <c r="E2985" s="466"/>
      <c r="F2985" s="466"/>
      <c r="G2985" s="466"/>
      <c r="H2985" s="466"/>
      <c r="I2985" s="466"/>
      <c r="J2985" s="511"/>
      <c r="M2985" s="635"/>
      <c r="N2985" s="621"/>
      <c r="O2985" s="635"/>
      <c r="P2985" s="506"/>
      <c r="Q2985" s="467"/>
      <c r="R2985" s="512" t="str">
        <f t="shared" si="183"/>
        <v>DELETE</v>
      </c>
      <c r="T2985" s="521"/>
    </row>
    <row r="2986" spans="2:26" ht="31.5" customHeight="1" x14ac:dyDescent="0.45">
      <c r="B2986" s="468"/>
      <c r="C2986" s="450"/>
      <c r="J2986" s="451"/>
      <c r="K2986" s="451"/>
      <c r="L2986" s="451"/>
      <c r="M2986" s="525">
        <f>Criteria!E22</f>
        <v>2024</v>
      </c>
      <c r="N2986" s="458"/>
      <c r="O2986" s="525">
        <f>Criteria!E27</f>
        <v>2023</v>
      </c>
      <c r="P2986" s="459"/>
      <c r="Q2986" s="469"/>
      <c r="R2986" s="512" t="str">
        <f t="shared" si="183"/>
        <v>DELETE</v>
      </c>
      <c r="T2986" s="521"/>
    </row>
    <row r="2987" spans="2:26" ht="31.5" customHeight="1" x14ac:dyDescent="0.45">
      <c r="B2987" s="468"/>
      <c r="C2987" s="450"/>
      <c r="J2987" s="451"/>
      <c r="K2987" s="451"/>
      <c r="L2987" s="451"/>
      <c r="M2987" s="531"/>
      <c r="N2987" s="470"/>
      <c r="O2987" s="531"/>
      <c r="P2987" s="459"/>
      <c r="Q2987" s="469"/>
      <c r="R2987" s="512" t="str">
        <f t="shared" si="183"/>
        <v>DELETE</v>
      </c>
      <c r="T2987" s="521"/>
    </row>
    <row r="2988" spans="2:26" ht="31.5" customHeight="1" x14ac:dyDescent="0.45">
      <c r="B2988" s="468"/>
      <c r="C2988" s="492" t="str">
        <f>IF((Y2988+Z2988)=3,"OPERATING PROFIT/(LOSS)",(IF((Y2988+Z2988=4),"OPERATING PROFIT","OPERATING LOSS")))</f>
        <v>OPERATING PROFIT</v>
      </c>
      <c r="J2988" s="451"/>
      <c r="K2988" s="451"/>
      <c r="L2988" s="451"/>
      <c r="M2988" s="531">
        <f>SUM(S2905:S2969)</f>
        <v>0</v>
      </c>
      <c r="N2988" s="470"/>
      <c r="O2988" s="531">
        <f>SUM(U2905:U2969)</f>
        <v>0</v>
      </c>
      <c r="P2988" s="459"/>
      <c r="Q2988" s="469"/>
      <c r="R2988" s="512" t="str">
        <f t="shared" si="183"/>
        <v>DELETE</v>
      </c>
      <c r="T2988" s="521"/>
      <c r="V2988" s="513" t="b">
        <f>M2988=M2972</f>
        <v>1</v>
      </c>
      <c r="X2988" s="513" t="b">
        <f>O2988=O2972</f>
        <v>1</v>
      </c>
      <c r="Y2988" s="513">
        <f>IF(M2988&lt;0,1,IF(M2988=0,IF(O2988&lt;0,1,2),2))</f>
        <v>2</v>
      </c>
      <c r="Z2988" s="513">
        <f>IF(O2988&lt;0,1,IF(O2988=0,IF(M2988&lt;0,1,2),2))</f>
        <v>2</v>
      </c>
    </row>
    <row r="2989" spans="2:26" ht="31.5" customHeight="1" x14ac:dyDescent="0.45">
      <c r="B2989" s="468"/>
      <c r="C2989" s="450"/>
      <c r="D2989" s="449" t="s">
        <v>313</v>
      </c>
      <c r="J2989" s="451"/>
      <c r="K2989" s="451"/>
      <c r="L2989" s="451"/>
      <c r="M2989" s="531"/>
      <c r="N2989" s="470"/>
      <c r="O2989" s="531"/>
      <c r="P2989" s="459"/>
      <c r="Q2989" s="469"/>
      <c r="R2989" s="512" t="str">
        <f t="shared" si="183"/>
        <v>DELETE</v>
      </c>
      <c r="T2989" s="521"/>
    </row>
    <row r="2990" spans="2:26" ht="31.5" customHeight="1" x14ac:dyDescent="0.45">
      <c r="B2990" s="468"/>
      <c r="C2990" s="450"/>
      <c r="J2990" s="451"/>
      <c r="K2990" s="451"/>
      <c r="L2990" s="451"/>
      <c r="M2990" s="531"/>
      <c r="N2990" s="470"/>
      <c r="O2990" s="531"/>
      <c r="P2990" s="459"/>
      <c r="Q2990" s="469"/>
      <c r="R2990" s="512" t="str">
        <f t="shared" si="183"/>
        <v>DELETE</v>
      </c>
      <c r="T2990" s="521"/>
    </row>
    <row r="2991" spans="2:26" ht="31.5" customHeight="1" x14ac:dyDescent="0.45">
      <c r="B2991" s="468"/>
      <c r="C2991" s="450" t="s">
        <v>1307</v>
      </c>
      <c r="J2991" s="451"/>
      <c r="K2991" s="451"/>
      <c r="L2991" s="451"/>
      <c r="M2991" s="531">
        <f>SUM(M2994:M3027)</f>
        <v>0</v>
      </c>
      <c r="N2991" s="470"/>
      <c r="O2991" s="531">
        <f>SUM(O2994:O3027)</f>
        <v>0</v>
      </c>
      <c r="P2991" s="459"/>
      <c r="Q2991" s="469"/>
      <c r="R2991" s="512" t="str">
        <f t="shared" ref="R2991" si="184">IF(R$2893="DELETE","DELETE",IF(M2991+O2991=0,"DELETE"," "))</f>
        <v>DELETE</v>
      </c>
      <c r="S2991" s="517">
        <f>-M2991</f>
        <v>0</v>
      </c>
      <c r="T2991" s="521"/>
      <c r="U2991" s="517">
        <f>-O2991</f>
        <v>0</v>
      </c>
      <c r="V2991" s="517"/>
      <c r="W2991" s="517"/>
      <c r="X2991" s="517"/>
    </row>
    <row r="2992" spans="2:26" ht="9" customHeight="1" x14ac:dyDescent="0.45">
      <c r="B2992" s="468"/>
      <c r="C2992" s="450"/>
      <c r="J2992" s="451"/>
      <c r="K2992" s="451"/>
      <c r="L2992" s="451"/>
      <c r="M2992" s="531"/>
      <c r="N2992" s="470"/>
      <c r="O2992" s="531"/>
      <c r="P2992" s="459"/>
      <c r="Q2992" s="469"/>
      <c r="R2992" s="512" t="str">
        <f>R2991</f>
        <v>DELETE</v>
      </c>
      <c r="T2992" s="521"/>
    </row>
    <row r="2993" spans="2:20" ht="9" customHeight="1" x14ac:dyDescent="0.45">
      <c r="B2993" s="468"/>
      <c r="C2993" s="450"/>
      <c r="J2993" s="451"/>
      <c r="K2993" s="451"/>
      <c r="L2993" s="451"/>
      <c r="M2993" s="532"/>
      <c r="N2993" s="471"/>
      <c r="O2993" s="552"/>
      <c r="P2993" s="459"/>
      <c r="Q2993" s="469"/>
      <c r="R2993" s="512" t="str">
        <f>R2992</f>
        <v>DELETE</v>
      </c>
      <c r="T2993" s="521"/>
    </row>
    <row r="2994" spans="2:20" ht="31.5" customHeight="1" x14ac:dyDescent="0.45">
      <c r="B2994" s="468"/>
      <c r="C2994" s="450"/>
      <c r="D2994" s="449" t="s">
        <v>253</v>
      </c>
      <c r="J2994" s="451"/>
      <c r="K2994" s="451"/>
      <c r="L2994" s="451"/>
      <c r="M2994" s="533">
        <f>SUM(TrialBalanceA!I98:I101)</f>
        <v>0</v>
      </c>
      <c r="N2994" s="470"/>
      <c r="O2994" s="553">
        <f>SUM(TrialBalanceA!K98:K101)</f>
        <v>0</v>
      </c>
      <c r="P2994" s="459"/>
      <c r="Q2994" s="469"/>
      <c r="R2994" s="512" t="str">
        <f t="shared" ref="R2994:R3025" si="185">IF(R$2893="DELETE","DELETE",IF(M2994+O2994=0,"DELETE"," "))</f>
        <v>DELETE</v>
      </c>
      <c r="T2994" s="521"/>
    </row>
    <row r="2995" spans="2:20" ht="31.5" customHeight="1" x14ac:dyDescent="0.45">
      <c r="B2995" s="468"/>
      <c r="C2995" s="450"/>
      <c r="D2995" s="449" t="s">
        <v>257</v>
      </c>
      <c r="J2995" s="451"/>
      <c r="K2995" s="451"/>
      <c r="L2995" s="451"/>
      <c r="M2995" s="533">
        <f>TrialBalanceA!I103</f>
        <v>0</v>
      </c>
      <c r="N2995" s="470"/>
      <c r="O2995" s="553">
        <f>TrialBalanceA!K103</f>
        <v>0</v>
      </c>
      <c r="P2995" s="459"/>
      <c r="Q2995" s="469"/>
      <c r="R2995" s="512" t="str">
        <f t="shared" ref="R2995" si="186">IF(R$2893="DELETE","DELETE",IF(M2995+O2995=0,"DELETE"," "))</f>
        <v>DELETE</v>
      </c>
      <c r="T2995" s="521"/>
    </row>
    <row r="2996" spans="2:20" ht="31.5" customHeight="1" x14ac:dyDescent="0.45">
      <c r="B2996" s="468"/>
      <c r="C2996" s="450"/>
      <c r="D2996" s="449" t="s">
        <v>255</v>
      </c>
      <c r="J2996" s="451"/>
      <c r="K2996" s="451"/>
      <c r="L2996" s="451"/>
      <c r="M2996" s="533">
        <f>TrialBalanceA!I102</f>
        <v>0</v>
      </c>
      <c r="N2996" s="470"/>
      <c r="O2996" s="553">
        <f>TrialBalanceA!K102</f>
        <v>0</v>
      </c>
      <c r="P2996" s="459"/>
      <c r="Q2996" s="469"/>
      <c r="R2996" s="512" t="str">
        <f t="shared" si="185"/>
        <v>DELETE</v>
      </c>
      <c r="T2996" s="521"/>
    </row>
    <row r="2997" spans="2:20" ht="31.5" customHeight="1" x14ac:dyDescent="0.45">
      <c r="B2997" s="468"/>
      <c r="C2997" s="450"/>
      <c r="D2997" s="449" t="s">
        <v>314</v>
      </c>
      <c r="J2997" s="451"/>
      <c r="K2997" s="451"/>
      <c r="L2997" s="451"/>
      <c r="M2997" s="533">
        <f>TrialBalanceA!I104</f>
        <v>0</v>
      </c>
      <c r="N2997" s="470"/>
      <c r="O2997" s="553">
        <f>TrialBalanceA!K104</f>
        <v>0</v>
      </c>
      <c r="P2997" s="459"/>
      <c r="Q2997" s="469"/>
      <c r="R2997" s="512" t="str">
        <f t="shared" si="185"/>
        <v>DELETE</v>
      </c>
      <c r="T2997" s="521"/>
    </row>
    <row r="2998" spans="2:20" ht="31.5" customHeight="1" x14ac:dyDescent="0.45">
      <c r="B2998" s="468"/>
      <c r="C2998" s="450"/>
      <c r="D2998" s="449" t="s">
        <v>260</v>
      </c>
      <c r="J2998" s="451"/>
      <c r="K2998" s="451"/>
      <c r="L2998" s="451"/>
      <c r="M2998" s="533">
        <f>TrialBalanceA!I105</f>
        <v>0</v>
      </c>
      <c r="N2998" s="470"/>
      <c r="O2998" s="553">
        <f>TrialBalanceA!K105</f>
        <v>0</v>
      </c>
      <c r="P2998" s="459"/>
      <c r="Q2998" s="469"/>
      <c r="R2998" s="512" t="str">
        <f t="shared" si="185"/>
        <v>DELETE</v>
      </c>
      <c r="T2998" s="521"/>
    </row>
    <row r="2999" spans="2:20" ht="31.5" customHeight="1" x14ac:dyDescent="0.45">
      <c r="B2999" s="468"/>
      <c r="C2999" s="450"/>
      <c r="D2999" s="449" t="s">
        <v>935</v>
      </c>
      <c r="J2999" s="451"/>
      <c r="K2999" s="451"/>
      <c r="L2999" s="451"/>
      <c r="M2999" s="533">
        <f>TrialBalanceA!I106</f>
        <v>0</v>
      </c>
      <c r="N2999" s="470"/>
      <c r="O2999" s="553">
        <f>TrialBalanceA!K106</f>
        <v>0</v>
      </c>
      <c r="P2999" s="459"/>
      <c r="Q2999" s="469"/>
      <c r="R2999" s="512" t="str">
        <f t="shared" si="185"/>
        <v>DELETE</v>
      </c>
      <c r="T2999" s="521"/>
    </row>
    <row r="3000" spans="2:20" ht="31.5" customHeight="1" x14ac:dyDescent="0.45">
      <c r="B3000" s="468"/>
      <c r="C3000" s="450"/>
      <c r="D3000" s="449" t="s">
        <v>337</v>
      </c>
      <c r="J3000" s="451"/>
      <c r="K3000" s="451">
        <f>C$1203</f>
        <v>5.2999999999999989</v>
      </c>
      <c r="L3000" s="451"/>
      <c r="M3000" s="533">
        <f>SUM(TrialBalanceA!I108:I109)</f>
        <v>0</v>
      </c>
      <c r="N3000" s="470"/>
      <c r="O3000" s="553">
        <f>SUM(TrialBalanceA!K108:K109)</f>
        <v>0</v>
      </c>
      <c r="P3000" s="459"/>
      <c r="Q3000" s="469"/>
      <c r="R3000" s="512" t="str">
        <f t="shared" si="185"/>
        <v>DELETE</v>
      </c>
      <c r="T3000" s="521"/>
    </row>
    <row r="3001" spans="2:20" ht="31.5" customHeight="1" x14ac:dyDescent="0.45">
      <c r="B3001" s="468"/>
      <c r="C3001" s="450"/>
      <c r="D3001" s="449" t="str">
        <f>IF(MAX(Criteria!I41:I45)&gt;1,"Directors' remuneration","Director's remuneration")</f>
        <v>Directors' remuneration</v>
      </c>
      <c r="J3001" s="451"/>
      <c r="K3001" s="451">
        <f>C$1144</f>
        <v>5.0999999999999996</v>
      </c>
      <c r="L3001" s="451"/>
      <c r="M3001" s="533">
        <f>SUM(TrialBalanceA!I111:I115)</f>
        <v>0</v>
      </c>
      <c r="N3001" s="470"/>
      <c r="O3001" s="553">
        <f>SUM(TrialBalanceA!K111:K115)</f>
        <v>0</v>
      </c>
      <c r="P3001" s="459"/>
      <c r="Q3001" s="469"/>
      <c r="R3001" s="512" t="str">
        <f t="shared" si="185"/>
        <v>DELETE</v>
      </c>
      <c r="T3001" s="521"/>
    </row>
    <row r="3002" spans="2:20" ht="31.5" customHeight="1" x14ac:dyDescent="0.45">
      <c r="B3002" s="468"/>
      <c r="C3002" s="450"/>
      <c r="D3002" s="449" t="s">
        <v>315</v>
      </c>
      <c r="J3002" s="451"/>
      <c r="K3002" s="451"/>
      <c r="L3002" s="451"/>
      <c r="M3002" s="533">
        <f>TrialBalanceA!I116</f>
        <v>0</v>
      </c>
      <c r="N3002" s="470"/>
      <c r="O3002" s="553">
        <f>TrialBalanceA!K116</f>
        <v>0</v>
      </c>
      <c r="P3002" s="459"/>
      <c r="Q3002" s="469"/>
      <c r="R3002" s="512" t="str">
        <f t="shared" si="185"/>
        <v>DELETE</v>
      </c>
      <c r="T3002" s="521"/>
    </row>
    <row r="3003" spans="2:20" ht="31.5" customHeight="1" x14ac:dyDescent="0.45">
      <c r="B3003" s="468"/>
      <c r="C3003" s="450"/>
      <c r="D3003" s="449" t="s">
        <v>443</v>
      </c>
      <c r="J3003" s="451"/>
      <c r="K3003" s="451"/>
      <c r="L3003" s="451"/>
      <c r="M3003" s="533">
        <f>TrialBalanceA!I117</f>
        <v>0</v>
      </c>
      <c r="N3003" s="470"/>
      <c r="O3003" s="553">
        <f>TrialBalanceA!K117</f>
        <v>0</v>
      </c>
      <c r="P3003" s="459"/>
      <c r="Q3003" s="469"/>
      <c r="R3003" s="512" t="str">
        <f t="shared" si="185"/>
        <v>DELETE</v>
      </c>
      <c r="T3003" s="521"/>
    </row>
    <row r="3004" spans="2:20" ht="31.5" customHeight="1" x14ac:dyDescent="0.45">
      <c r="B3004" s="468"/>
      <c r="C3004" s="450"/>
      <c r="D3004" s="449" t="s">
        <v>392</v>
      </c>
      <c r="J3004" s="451"/>
      <c r="K3004" s="451"/>
      <c r="L3004" s="451"/>
      <c r="M3004" s="533">
        <f>TrialBalanceA!I118</f>
        <v>0</v>
      </c>
      <c r="N3004" s="470"/>
      <c r="O3004" s="553">
        <f>TrialBalanceA!K118</f>
        <v>0</v>
      </c>
      <c r="P3004" s="459"/>
      <c r="Q3004" s="469"/>
      <c r="R3004" s="512" t="str">
        <f t="shared" si="185"/>
        <v>DELETE</v>
      </c>
      <c r="T3004" s="521"/>
    </row>
    <row r="3005" spans="2:20" ht="31.5" customHeight="1" x14ac:dyDescent="0.45">
      <c r="B3005" s="468"/>
      <c r="C3005" s="450"/>
      <c r="D3005" s="449" t="s">
        <v>445</v>
      </c>
      <c r="J3005" s="451"/>
      <c r="K3005" s="451"/>
      <c r="L3005" s="451"/>
      <c r="M3005" s="533">
        <f>TrialBalanceA!I119</f>
        <v>0</v>
      </c>
      <c r="N3005" s="470"/>
      <c r="O3005" s="553">
        <f>TrialBalanceA!K119</f>
        <v>0</v>
      </c>
      <c r="P3005" s="459"/>
      <c r="Q3005" s="469"/>
      <c r="R3005" s="512" t="str">
        <f t="shared" si="185"/>
        <v>DELETE</v>
      </c>
      <c r="T3005" s="521"/>
    </row>
    <row r="3006" spans="2:20" ht="31.5" customHeight="1" x14ac:dyDescent="0.45">
      <c r="B3006" s="468"/>
      <c r="C3006" s="450"/>
      <c r="D3006" s="449" t="s">
        <v>1486</v>
      </c>
      <c r="J3006" s="451"/>
      <c r="K3006" s="451"/>
      <c r="L3006" s="451"/>
      <c r="M3006" s="533">
        <f>TrialBalanceA!I154</f>
        <v>0</v>
      </c>
      <c r="N3006" s="470"/>
      <c r="O3006" s="553">
        <f>TrialBalanceA!K154</f>
        <v>0</v>
      </c>
      <c r="P3006" s="459"/>
      <c r="Q3006" s="469"/>
      <c r="R3006" s="512" t="str">
        <f>IF(R$2893="DELETE","DELETE",IF(M3006+O3006=0,"DELETE"," "))</f>
        <v>DELETE</v>
      </c>
      <c r="T3006" s="521"/>
    </row>
    <row r="3007" spans="2:20" ht="31.5" customHeight="1" x14ac:dyDescent="0.45">
      <c r="B3007" s="468"/>
      <c r="C3007" s="450"/>
      <c r="D3007" s="449" t="s">
        <v>605</v>
      </c>
      <c r="J3007" s="451"/>
      <c r="K3007" s="451"/>
      <c r="L3007" s="451"/>
      <c r="M3007" s="533">
        <f>TrialBalanceA!I120+TrialBalanceA!I121</f>
        <v>0</v>
      </c>
      <c r="N3007" s="470"/>
      <c r="O3007" s="553">
        <f>TrialBalanceA!K120+TrialBalanceA!K121</f>
        <v>0</v>
      </c>
      <c r="P3007" s="459"/>
      <c r="Q3007" s="469"/>
      <c r="R3007" s="512" t="str">
        <f t="shared" si="185"/>
        <v>DELETE</v>
      </c>
      <c r="T3007" s="521"/>
    </row>
    <row r="3008" spans="2:20" ht="31.5" customHeight="1" x14ac:dyDescent="0.45">
      <c r="B3008" s="468"/>
      <c r="C3008" s="450"/>
      <c r="D3008" s="449" t="s">
        <v>633</v>
      </c>
      <c r="J3008" s="451"/>
      <c r="K3008" s="451"/>
      <c r="L3008" s="451"/>
      <c r="M3008" s="533">
        <f>IF(TrialBalanceA!I93&gt;0,TrialBalanceA!I93,0)</f>
        <v>0</v>
      </c>
      <c r="N3008" s="470"/>
      <c r="O3008" s="553">
        <f>IF(TrialBalanceA!K93&gt;0,TrialBalanceA!K93,0)</f>
        <v>0</v>
      </c>
      <c r="P3008" s="459"/>
      <c r="Q3008" s="469"/>
      <c r="R3008" s="512" t="str">
        <f>IF(R$2893="DELETE","DELETE",IF(M3008+O3008=0,"DELETE"," "))</f>
        <v>DELETE</v>
      </c>
      <c r="T3008" s="521"/>
    </row>
    <row r="3009" spans="2:20" ht="31.5" customHeight="1" x14ac:dyDescent="0.45">
      <c r="B3009" s="468"/>
      <c r="C3009" s="450"/>
      <c r="D3009" s="449" t="s">
        <v>936</v>
      </c>
      <c r="J3009" s="451"/>
      <c r="K3009" s="451"/>
      <c r="L3009" s="451"/>
      <c r="M3009" s="533">
        <f>TrialBalanceA!I122</f>
        <v>0</v>
      </c>
      <c r="N3009" s="470"/>
      <c r="O3009" s="553">
        <f>TrialBalanceA!K122</f>
        <v>0</v>
      </c>
      <c r="P3009" s="459"/>
      <c r="Q3009" s="469"/>
      <c r="R3009" s="512" t="str">
        <f>IF(R$2893="DELETE","DELETE",IF(M3009+O3009=0,"DELETE"," "))</f>
        <v>DELETE</v>
      </c>
      <c r="T3009" s="521"/>
    </row>
    <row r="3010" spans="2:20" ht="31.5" customHeight="1" x14ac:dyDescent="0.45">
      <c r="B3010" s="468"/>
      <c r="C3010" s="450"/>
      <c r="D3010" s="449" t="s">
        <v>316</v>
      </c>
      <c r="J3010" s="451"/>
      <c r="K3010" s="451"/>
      <c r="L3010" s="451"/>
      <c r="M3010" s="533">
        <f>TrialBalanceA!I123</f>
        <v>0</v>
      </c>
      <c r="N3010" s="470"/>
      <c r="O3010" s="553">
        <f>TrialBalanceA!K123</f>
        <v>0</v>
      </c>
      <c r="P3010" s="459"/>
      <c r="Q3010" s="469"/>
      <c r="R3010" s="512" t="str">
        <f t="shared" si="185"/>
        <v>DELETE</v>
      </c>
      <c r="T3010" s="521"/>
    </row>
    <row r="3011" spans="2:20" ht="31.5" customHeight="1" x14ac:dyDescent="0.45">
      <c r="B3011" s="468"/>
      <c r="C3011" s="450"/>
      <c r="D3011" s="449" t="s">
        <v>1554</v>
      </c>
      <c r="J3011" s="451"/>
      <c r="K3011" s="451"/>
      <c r="L3011" s="451"/>
      <c r="M3011" s="533">
        <f>TrialBalanceA!I155</f>
        <v>0</v>
      </c>
      <c r="N3011" s="470"/>
      <c r="O3011" s="553">
        <f>TrialBalanceA!K155</f>
        <v>0</v>
      </c>
      <c r="P3011" s="459"/>
      <c r="Q3011" s="469"/>
      <c r="R3011" s="512" t="str">
        <f t="shared" si="185"/>
        <v>DELETE</v>
      </c>
      <c r="T3011" s="521"/>
    </row>
    <row r="3012" spans="2:20" ht="31.5" customHeight="1" x14ac:dyDescent="0.45">
      <c r="B3012" s="468"/>
      <c r="C3012" s="450"/>
      <c r="D3012" s="449" t="s">
        <v>309</v>
      </c>
      <c r="J3012" s="451"/>
      <c r="K3012" s="451"/>
      <c r="L3012" s="451"/>
      <c r="M3012" s="533">
        <f>SUM(TrialBalanceA!I124:I125)</f>
        <v>0</v>
      </c>
      <c r="N3012" s="470"/>
      <c r="O3012" s="553">
        <f>SUM(TrialBalanceA!K124:K125)</f>
        <v>0</v>
      </c>
      <c r="P3012" s="459"/>
      <c r="Q3012" s="469"/>
      <c r="R3012" s="512" t="str">
        <f t="shared" si="185"/>
        <v>DELETE</v>
      </c>
      <c r="T3012" s="521"/>
    </row>
    <row r="3013" spans="2:20" ht="31.5" customHeight="1" x14ac:dyDescent="0.45">
      <c r="B3013" s="468"/>
      <c r="C3013" s="450"/>
      <c r="D3013" s="449" t="s">
        <v>317</v>
      </c>
      <c r="J3013" s="451"/>
      <c r="K3013" s="451"/>
      <c r="L3013" s="451"/>
      <c r="M3013" s="533">
        <f>TrialBalanceA!I126</f>
        <v>0</v>
      </c>
      <c r="N3013" s="470"/>
      <c r="O3013" s="553">
        <f>TrialBalanceA!K126</f>
        <v>0</v>
      </c>
      <c r="P3013" s="459"/>
      <c r="Q3013" s="469"/>
      <c r="R3013" s="512" t="str">
        <f t="shared" si="185"/>
        <v>DELETE</v>
      </c>
      <c r="T3013" s="521"/>
    </row>
    <row r="3014" spans="2:20" ht="31.5" customHeight="1" x14ac:dyDescent="0.45">
      <c r="B3014" s="468"/>
      <c r="C3014" s="450"/>
      <c r="D3014" s="449" t="s">
        <v>937</v>
      </c>
      <c r="J3014" s="451"/>
      <c r="K3014" s="451"/>
      <c r="L3014" s="451"/>
      <c r="M3014" s="533">
        <f>TrialBalanceA!I127</f>
        <v>0</v>
      </c>
      <c r="N3014" s="470"/>
      <c r="O3014" s="553">
        <f>TrialBalanceA!K127</f>
        <v>0</v>
      </c>
      <c r="P3014" s="459"/>
      <c r="Q3014" s="469"/>
      <c r="R3014" s="512" t="str">
        <f t="shared" si="185"/>
        <v>DELETE</v>
      </c>
      <c r="T3014" s="521"/>
    </row>
    <row r="3015" spans="2:20" ht="31.5" customHeight="1" x14ac:dyDescent="0.45">
      <c r="B3015" s="468"/>
      <c r="C3015" s="450"/>
      <c r="D3015" s="449" t="s">
        <v>99</v>
      </c>
      <c r="J3015" s="451"/>
      <c r="K3015" s="451"/>
      <c r="L3015" s="451"/>
      <c r="M3015" s="533">
        <f>TrialBalanceA!I128</f>
        <v>0</v>
      </c>
      <c r="N3015" s="470"/>
      <c r="O3015" s="553">
        <f>TrialBalanceA!K128</f>
        <v>0</v>
      </c>
      <c r="P3015" s="459"/>
      <c r="Q3015" s="469"/>
      <c r="R3015" s="512" t="str">
        <f t="shared" si="185"/>
        <v>DELETE</v>
      </c>
      <c r="T3015" s="521"/>
    </row>
    <row r="3016" spans="2:20" ht="31.5" customHeight="1" x14ac:dyDescent="0.45">
      <c r="B3016" s="468"/>
      <c r="C3016" s="450"/>
      <c r="D3016" s="449">
        <f>TrialBalanceA!C129</f>
        <v>0</v>
      </c>
      <c r="J3016" s="451"/>
      <c r="K3016" s="451"/>
      <c r="L3016" s="451"/>
      <c r="M3016" s="533">
        <f>TrialBalanceA!I129</f>
        <v>0</v>
      </c>
      <c r="N3016" s="470"/>
      <c r="O3016" s="553">
        <f>TrialBalanceA!K129</f>
        <v>0</v>
      </c>
      <c r="P3016" s="459"/>
      <c r="Q3016" s="469"/>
      <c r="R3016" s="512" t="str">
        <f t="shared" si="185"/>
        <v>DELETE</v>
      </c>
      <c r="T3016" s="521"/>
    </row>
    <row r="3017" spans="2:20" ht="31.5" customHeight="1" x14ac:dyDescent="0.45">
      <c r="B3017" s="468"/>
      <c r="C3017" s="450"/>
      <c r="D3017" s="449">
        <f>TrialBalanceA!C130</f>
        <v>0</v>
      </c>
      <c r="J3017" s="451"/>
      <c r="K3017" s="451"/>
      <c r="L3017" s="451"/>
      <c r="M3017" s="533">
        <f>TrialBalanceA!I130</f>
        <v>0</v>
      </c>
      <c r="N3017" s="470"/>
      <c r="O3017" s="553">
        <f>TrialBalanceA!K130</f>
        <v>0</v>
      </c>
      <c r="P3017" s="459"/>
      <c r="Q3017" s="469"/>
      <c r="R3017" s="512" t="str">
        <f t="shared" si="185"/>
        <v>DELETE</v>
      </c>
      <c r="T3017" s="521"/>
    </row>
    <row r="3018" spans="2:20" ht="31.5" customHeight="1" x14ac:dyDescent="0.45">
      <c r="B3018" s="468"/>
      <c r="C3018" s="450"/>
      <c r="D3018" s="449">
        <f>TrialBalanceA!C131</f>
        <v>0</v>
      </c>
      <c r="J3018" s="451"/>
      <c r="K3018" s="451"/>
      <c r="L3018" s="451"/>
      <c r="M3018" s="533">
        <f>TrialBalanceA!I131</f>
        <v>0</v>
      </c>
      <c r="N3018" s="470"/>
      <c r="O3018" s="553">
        <f>TrialBalanceA!K131</f>
        <v>0</v>
      </c>
      <c r="P3018" s="459"/>
      <c r="Q3018" s="469"/>
      <c r="R3018" s="512" t="str">
        <f t="shared" si="185"/>
        <v>DELETE</v>
      </c>
      <c r="T3018" s="521"/>
    </row>
    <row r="3019" spans="2:20" ht="31.5" customHeight="1" x14ac:dyDescent="0.45">
      <c r="B3019" s="468"/>
      <c r="C3019" s="450"/>
      <c r="D3019" s="449">
        <f>TrialBalanceA!C132</f>
        <v>0</v>
      </c>
      <c r="J3019" s="451"/>
      <c r="K3019" s="451"/>
      <c r="L3019" s="451"/>
      <c r="M3019" s="533">
        <f>TrialBalanceA!I132</f>
        <v>0</v>
      </c>
      <c r="N3019" s="470"/>
      <c r="O3019" s="553">
        <f>TrialBalanceA!K132</f>
        <v>0</v>
      </c>
      <c r="P3019" s="459"/>
      <c r="Q3019" s="469"/>
      <c r="R3019" s="512" t="str">
        <f t="shared" si="185"/>
        <v>DELETE</v>
      </c>
      <c r="T3019" s="521"/>
    </row>
    <row r="3020" spans="2:20" ht="31.5" customHeight="1" x14ac:dyDescent="0.45">
      <c r="B3020" s="468"/>
      <c r="C3020" s="450"/>
      <c r="D3020" s="449">
        <f>TrialBalanceA!C133</f>
        <v>0</v>
      </c>
      <c r="J3020" s="451"/>
      <c r="K3020" s="451"/>
      <c r="L3020" s="451"/>
      <c r="M3020" s="533">
        <f>TrialBalanceA!I133</f>
        <v>0</v>
      </c>
      <c r="N3020" s="470"/>
      <c r="O3020" s="553">
        <f>TrialBalanceA!K133</f>
        <v>0</v>
      </c>
      <c r="P3020" s="459"/>
      <c r="Q3020" s="469"/>
      <c r="R3020" s="512" t="str">
        <f t="shared" si="185"/>
        <v>DELETE</v>
      </c>
      <c r="T3020" s="521"/>
    </row>
    <row r="3021" spans="2:20" ht="31.5" customHeight="1" x14ac:dyDescent="0.45">
      <c r="B3021" s="468"/>
      <c r="C3021" s="450"/>
      <c r="D3021" s="449">
        <f>TrialBalanceA!C134</f>
        <v>0</v>
      </c>
      <c r="J3021" s="451"/>
      <c r="K3021" s="451"/>
      <c r="L3021" s="451"/>
      <c r="M3021" s="533">
        <f>TrialBalanceA!I134</f>
        <v>0</v>
      </c>
      <c r="N3021" s="470"/>
      <c r="O3021" s="553">
        <f>TrialBalanceA!K134</f>
        <v>0</v>
      </c>
      <c r="P3021" s="459"/>
      <c r="Q3021" s="469"/>
      <c r="R3021" s="512" t="str">
        <f t="shared" si="185"/>
        <v>DELETE</v>
      </c>
      <c r="T3021" s="521"/>
    </row>
    <row r="3022" spans="2:20" ht="31.5" customHeight="1" x14ac:dyDescent="0.45">
      <c r="B3022" s="468"/>
      <c r="C3022" s="450"/>
      <c r="D3022" s="449">
        <f>TrialBalanceA!C135</f>
        <v>0</v>
      </c>
      <c r="J3022" s="451"/>
      <c r="K3022" s="451"/>
      <c r="L3022" s="451"/>
      <c r="M3022" s="533">
        <f>TrialBalanceA!I135</f>
        <v>0</v>
      </c>
      <c r="N3022" s="470"/>
      <c r="O3022" s="553">
        <f>TrialBalanceA!K135</f>
        <v>0</v>
      </c>
      <c r="P3022" s="459"/>
      <c r="Q3022" s="469"/>
      <c r="R3022" s="512" t="str">
        <f t="shared" si="185"/>
        <v>DELETE</v>
      </c>
      <c r="T3022" s="521"/>
    </row>
    <row r="3023" spans="2:20" ht="31.5" customHeight="1" x14ac:dyDescent="0.45">
      <c r="B3023" s="468"/>
      <c r="C3023" s="450"/>
      <c r="D3023" s="449">
        <f>TrialBalanceA!C136</f>
        <v>0</v>
      </c>
      <c r="J3023" s="451"/>
      <c r="K3023" s="451"/>
      <c r="L3023" s="451"/>
      <c r="M3023" s="533">
        <f>TrialBalanceA!I136</f>
        <v>0</v>
      </c>
      <c r="N3023" s="470"/>
      <c r="O3023" s="553">
        <f>TrialBalanceA!K136</f>
        <v>0</v>
      </c>
      <c r="P3023" s="459"/>
      <c r="Q3023" s="469"/>
      <c r="R3023" s="512" t="str">
        <f t="shared" si="185"/>
        <v>DELETE</v>
      </c>
      <c r="T3023" s="521"/>
    </row>
    <row r="3024" spans="2:20" ht="31.5" customHeight="1" x14ac:dyDescent="0.45">
      <c r="B3024" s="468"/>
      <c r="C3024" s="450"/>
      <c r="D3024" s="449">
        <f>TrialBalanceA!C137</f>
        <v>0</v>
      </c>
      <c r="J3024" s="451"/>
      <c r="K3024" s="451"/>
      <c r="L3024" s="451"/>
      <c r="M3024" s="533">
        <f>TrialBalanceA!I137</f>
        <v>0</v>
      </c>
      <c r="N3024" s="470"/>
      <c r="O3024" s="553">
        <f>TrialBalanceA!K137</f>
        <v>0</v>
      </c>
      <c r="P3024" s="459"/>
      <c r="Q3024" s="469"/>
      <c r="R3024" s="512" t="str">
        <f t="shared" si="185"/>
        <v>DELETE</v>
      </c>
      <c r="T3024" s="521"/>
    </row>
    <row r="3025" spans="2:26" ht="31.5" customHeight="1" x14ac:dyDescent="0.45">
      <c r="B3025" s="468"/>
      <c r="C3025" s="450"/>
      <c r="D3025" s="449" t="str">
        <f>TrialBalanceA!C138</f>
        <v>Amortisation of prepaid lease agreement</v>
      </c>
      <c r="J3025" s="451"/>
      <c r="K3025" s="451"/>
      <c r="L3025" s="451"/>
      <c r="M3025" s="533">
        <f>TrialBalanceA!I138</f>
        <v>0</v>
      </c>
      <c r="N3025" s="470"/>
      <c r="O3025" s="553">
        <f>TrialBalanceA!K138</f>
        <v>0</v>
      </c>
      <c r="P3025" s="459"/>
      <c r="Q3025" s="469"/>
      <c r="R3025" s="512" t="str">
        <f t="shared" si="185"/>
        <v>DELETE</v>
      </c>
      <c r="T3025" s="521"/>
    </row>
    <row r="3026" spans="2:26" ht="31.5" customHeight="1" x14ac:dyDescent="0.45">
      <c r="B3026" s="468"/>
      <c r="C3026" s="450"/>
      <c r="D3026" s="449" t="str">
        <f>TrialBalanceA!C139</f>
        <v>Amortisation of goodwill</v>
      </c>
      <c r="J3026" s="451"/>
      <c r="K3026" s="451"/>
      <c r="L3026" s="451"/>
      <c r="M3026" s="533">
        <f>TrialBalanceA!I139</f>
        <v>0</v>
      </c>
      <c r="N3026" s="470"/>
      <c r="O3026" s="553">
        <f>TrialBalanceA!K139</f>
        <v>0</v>
      </c>
      <c r="P3026" s="459"/>
      <c r="Q3026" s="469"/>
      <c r="R3026" s="512" t="str">
        <f t="shared" ref="R3026" si="187">IF(R$2893="DELETE","DELETE",IF(M3026+O3026=0,"DELETE"," "))</f>
        <v>DELETE</v>
      </c>
      <c r="T3026" s="521"/>
    </row>
    <row r="3027" spans="2:26" ht="9" customHeight="1" x14ac:dyDescent="0.45">
      <c r="B3027" s="468"/>
      <c r="C3027" s="450"/>
      <c r="J3027" s="451"/>
      <c r="K3027" s="451"/>
      <c r="L3027" s="451"/>
      <c r="M3027" s="534"/>
      <c r="N3027" s="473"/>
      <c r="O3027" s="554"/>
      <c r="P3027" s="459"/>
      <c r="Q3027" s="469"/>
      <c r="R3027" s="512" t="str">
        <f>R2991</f>
        <v>DELETE</v>
      </c>
      <c r="T3027" s="521"/>
    </row>
    <row r="3028" spans="2:26" ht="9" customHeight="1" x14ac:dyDescent="0.45">
      <c r="B3028" s="468"/>
      <c r="C3028" s="450"/>
      <c r="J3028" s="451"/>
      <c r="K3028" s="451"/>
      <c r="L3028" s="451"/>
      <c r="M3028" s="535"/>
      <c r="N3028" s="473"/>
      <c r="O3028" s="535"/>
      <c r="P3028" s="459"/>
      <c r="Q3028" s="469"/>
      <c r="R3028" s="512" t="str">
        <f>R$2893</f>
        <v>DELETE</v>
      </c>
      <c r="T3028" s="521"/>
    </row>
    <row r="3029" spans="2:26" ht="9" customHeight="1" x14ac:dyDescent="0.45">
      <c r="B3029" s="468"/>
      <c r="C3029" s="450"/>
      <c r="J3029" s="451"/>
      <c r="K3029" s="451"/>
      <c r="L3029" s="451"/>
      <c r="M3029" s="531"/>
      <c r="N3029" s="470"/>
      <c r="O3029" s="531"/>
      <c r="P3029" s="459"/>
      <c r="Q3029" s="469"/>
      <c r="R3029" s="512" t="str">
        <f>R$2893</f>
        <v>DELETE</v>
      </c>
      <c r="T3029" s="521"/>
    </row>
    <row r="3030" spans="2:26" ht="31.5" customHeight="1" x14ac:dyDescent="0.45">
      <c r="B3030" s="468"/>
      <c r="C3030" s="492" t="str">
        <f>IF((Y3030+Z3030)=3,"OPERATING PROFIT/(LOSS) FOR THE YEAR",(IF((Y3030+Z3030=4),"OPERATING PROFIT FOR THE YEAR","OPERATING LOSS FOR THE YEAR")))</f>
        <v>OPERATING PROFIT FOR THE YEAR</v>
      </c>
      <c r="J3030" s="451"/>
      <c r="K3030" s="451">
        <f>FS!B1141</f>
        <v>5</v>
      </c>
      <c r="L3030" s="451"/>
      <c r="M3030" s="531">
        <f>SUM(S2905:S3027)</f>
        <v>0</v>
      </c>
      <c r="N3030" s="470"/>
      <c r="O3030" s="531">
        <f>SUM(U2905:U3027)</f>
        <v>0</v>
      </c>
      <c r="P3030" s="459"/>
      <c r="Q3030" s="469"/>
      <c r="R3030" s="512" t="str">
        <f>R$2893</f>
        <v>DELETE</v>
      </c>
      <c r="T3030" s="521"/>
      <c r="Y3030" s="513">
        <f>IF(M3030&lt;0,1,IF(M3030=0,IF(O3030&lt;0,1,2),2))</f>
        <v>2</v>
      </c>
      <c r="Z3030" s="513">
        <f>IF(O3030&lt;0,1,IF(O3030=0,IF(M3030&lt;0,1,2),2))</f>
        <v>2</v>
      </c>
    </row>
    <row r="3031" spans="2:26" ht="31.5" customHeight="1" x14ac:dyDescent="0.45">
      <c r="B3031" s="468"/>
      <c r="C3031" s="450"/>
      <c r="J3031" s="451"/>
      <c r="K3031" s="451"/>
      <c r="L3031" s="451"/>
      <c r="M3031" s="531"/>
      <c r="N3031" s="470"/>
      <c r="O3031" s="531"/>
      <c r="P3031" s="459"/>
      <c r="Q3031" s="469"/>
      <c r="R3031" s="512" t="str">
        <f>R$2893</f>
        <v>DELETE</v>
      </c>
      <c r="T3031" s="521"/>
    </row>
    <row r="3032" spans="2:26" ht="31.5" customHeight="1" x14ac:dyDescent="0.45">
      <c r="B3032" s="468"/>
      <c r="C3032" s="450" t="s">
        <v>139</v>
      </c>
      <c r="J3032" s="451"/>
      <c r="K3032" s="451">
        <f>FS!B1228</f>
        <v>6</v>
      </c>
      <c r="L3032" s="451"/>
      <c r="M3032" s="531">
        <f>SUM(M3035:M3042)</f>
        <v>0</v>
      </c>
      <c r="N3032" s="470"/>
      <c r="O3032" s="531">
        <f>SUM(O3035:O3042)</f>
        <v>0</v>
      </c>
      <c r="P3032" s="459"/>
      <c r="Q3032" s="469"/>
      <c r="R3032" s="512" t="str">
        <f t="shared" ref="R3032" si="188">IF(R$2893="DELETE","DELETE",IF(M3032+O3032=0,"DELETE"," "))</f>
        <v>DELETE</v>
      </c>
      <c r="S3032" s="517">
        <f>M3032</f>
        <v>0</v>
      </c>
      <c r="T3032" s="521"/>
      <c r="U3032" s="517">
        <f>O3032</f>
        <v>0</v>
      </c>
      <c r="V3032" s="517"/>
      <c r="W3032" s="517"/>
      <c r="X3032" s="517"/>
    </row>
    <row r="3033" spans="2:26" ht="9" customHeight="1" x14ac:dyDescent="0.45">
      <c r="B3033" s="468"/>
      <c r="C3033" s="450"/>
      <c r="J3033" s="451"/>
      <c r="K3033" s="451"/>
      <c r="L3033" s="451"/>
      <c r="M3033" s="531"/>
      <c r="N3033" s="470"/>
      <c r="O3033" s="531"/>
      <c r="P3033" s="459"/>
      <c r="Q3033" s="469"/>
      <c r="R3033" s="512" t="str">
        <f>R3032</f>
        <v>DELETE</v>
      </c>
      <c r="T3033" s="521"/>
    </row>
    <row r="3034" spans="2:26" ht="9" customHeight="1" x14ac:dyDescent="0.45">
      <c r="B3034" s="468"/>
      <c r="C3034" s="450"/>
      <c r="J3034" s="451"/>
      <c r="K3034" s="451"/>
      <c r="L3034" s="451"/>
      <c r="M3034" s="532"/>
      <c r="N3034" s="471"/>
      <c r="O3034" s="552"/>
      <c r="P3034" s="459"/>
      <c r="Q3034" s="469"/>
      <c r="R3034" s="512" t="str">
        <f>R3033</f>
        <v>DELETE</v>
      </c>
      <c r="T3034" s="521"/>
    </row>
    <row r="3035" spans="2:26" ht="31.5" customHeight="1" x14ac:dyDescent="0.45">
      <c r="B3035" s="468"/>
      <c r="C3035" s="450"/>
      <c r="D3035" s="449" t="s">
        <v>243</v>
      </c>
      <c r="J3035" s="451"/>
      <c r="K3035" s="451"/>
      <c r="L3035" s="451"/>
      <c r="M3035" s="533">
        <f>-TrialBalanceA!I94</f>
        <v>0</v>
      </c>
      <c r="N3035" s="470"/>
      <c r="O3035" s="553">
        <f>-TrialBalanceA!K94</f>
        <v>0</v>
      </c>
      <c r="P3035" s="459"/>
      <c r="Q3035" s="469"/>
      <c r="R3035" s="512" t="str">
        <f t="shared" ref="R3035:R3040" si="189">IF(R$2893="DELETE","DELETE",IF(M3035+O3035=0,"DELETE"," "))</f>
        <v>DELETE</v>
      </c>
      <c r="T3035" s="521"/>
    </row>
    <row r="3036" spans="2:26" ht="31.5" customHeight="1" x14ac:dyDescent="0.45">
      <c r="B3036" s="468"/>
      <c r="C3036" s="450"/>
      <c r="D3036" s="449" t="s">
        <v>612</v>
      </c>
      <c r="J3036" s="451"/>
      <c r="K3036" s="451"/>
      <c r="L3036" s="451"/>
      <c r="M3036" s="533">
        <f>-SUM(TrialBalanceA!I90:I92)</f>
        <v>0</v>
      </c>
      <c r="N3036" s="470"/>
      <c r="O3036" s="553">
        <f>-SUM(TrialBalanceA!K90:K92)</f>
        <v>0</v>
      </c>
      <c r="P3036" s="459"/>
      <c r="Q3036" s="469"/>
      <c r="R3036" s="512" t="str">
        <f t="shared" si="189"/>
        <v>DELETE</v>
      </c>
      <c r="T3036" s="521"/>
    </row>
    <row r="3037" spans="2:26" ht="31.5" customHeight="1" x14ac:dyDescent="0.45">
      <c r="B3037" s="468"/>
      <c r="C3037" s="450"/>
      <c r="D3037" s="449" t="s">
        <v>613</v>
      </c>
      <c r="J3037" s="451"/>
      <c r="K3037" s="451"/>
      <c r="L3037" s="451"/>
      <c r="M3037" s="550">
        <f>-SUM(TrialBalanceA!I85:I88)</f>
        <v>0</v>
      </c>
      <c r="N3037" s="481"/>
      <c r="O3037" s="557">
        <f>-SUM(TrialBalanceA!K85:K88)</f>
        <v>0</v>
      </c>
      <c r="P3037" s="459"/>
      <c r="Q3037" s="469"/>
      <c r="R3037" s="512" t="str">
        <f t="shared" si="189"/>
        <v>DELETE</v>
      </c>
      <c r="T3037" s="521"/>
    </row>
    <row r="3038" spans="2:26" ht="31.5" customHeight="1" x14ac:dyDescent="0.45">
      <c r="B3038" s="468"/>
      <c r="C3038" s="450"/>
      <c r="D3038" s="449" t="s">
        <v>245</v>
      </c>
      <c r="J3038" s="451"/>
      <c r="K3038" s="451"/>
      <c r="L3038" s="451"/>
      <c r="M3038" s="550">
        <f>-SUM(TrialBalanceA!I95)</f>
        <v>0</v>
      </c>
      <c r="N3038" s="481"/>
      <c r="O3038" s="557">
        <f>-TrialBalanceA!K95</f>
        <v>0</v>
      </c>
      <c r="P3038" s="459"/>
      <c r="Q3038" s="469"/>
      <c r="R3038" s="512" t="str">
        <f t="shared" si="189"/>
        <v>DELETE</v>
      </c>
      <c r="T3038" s="521"/>
    </row>
    <row r="3039" spans="2:26" ht="31.5" customHeight="1" x14ac:dyDescent="0.45">
      <c r="B3039" s="468"/>
      <c r="C3039" s="450"/>
      <c r="D3039" s="449" t="s">
        <v>634</v>
      </c>
      <c r="J3039" s="451"/>
      <c r="K3039" s="451"/>
      <c r="L3039" s="451"/>
      <c r="M3039" s="533">
        <f>IF(TrialBalanceA!I93&lt;0,-TrialBalanceA!I93,0)</f>
        <v>0</v>
      </c>
      <c r="N3039" s="470"/>
      <c r="O3039" s="553">
        <f>IF(TrialBalanceA!K93&lt;0,-TrialBalanceA!K93,0)</f>
        <v>0</v>
      </c>
      <c r="P3039" s="459"/>
      <c r="Q3039" s="469"/>
      <c r="R3039" s="512" t="str">
        <f t="shared" si="189"/>
        <v>DELETE</v>
      </c>
      <c r="T3039" s="521"/>
    </row>
    <row r="3040" spans="2:26" ht="31.5" customHeight="1" x14ac:dyDescent="0.45">
      <c r="B3040" s="468"/>
      <c r="C3040" s="450"/>
      <c r="D3040" s="449" t="s">
        <v>433</v>
      </c>
      <c r="J3040" s="451"/>
      <c r="K3040" s="451"/>
      <c r="L3040" s="451"/>
      <c r="M3040" s="533">
        <f>-TrialBalanceA!I83</f>
        <v>0</v>
      </c>
      <c r="N3040" s="470"/>
      <c r="O3040" s="553">
        <f>-TrialBalanceA!K83</f>
        <v>0</v>
      </c>
      <c r="P3040" s="459"/>
      <c r="Q3040" s="469"/>
      <c r="R3040" s="512" t="str">
        <f t="shared" si="189"/>
        <v>DELETE</v>
      </c>
      <c r="T3040" s="521"/>
    </row>
    <row r="3041" spans="2:26" ht="31.5" customHeight="1" x14ac:dyDescent="0.45">
      <c r="B3041" s="468"/>
      <c r="C3041" s="450"/>
      <c r="D3041" s="449" t="str">
        <f>TrialBalance!C96</f>
        <v>Revaluation of investment property</v>
      </c>
      <c r="J3041" s="451"/>
      <c r="K3041" s="451"/>
      <c r="L3041" s="451"/>
      <c r="M3041" s="533">
        <f>-TrialBalanceA!I96</f>
        <v>0</v>
      </c>
      <c r="N3041" s="470"/>
      <c r="O3041" s="553">
        <f>-TrialBalanceA!K96</f>
        <v>0</v>
      </c>
      <c r="P3041" s="459"/>
      <c r="Q3041" s="469"/>
      <c r="R3041" s="512" t="str">
        <f t="shared" ref="R3041" si="190">IF(R$2893="DELETE","DELETE",IF(M3041+O3041=0,"DELETE"," "))</f>
        <v>DELETE</v>
      </c>
      <c r="T3041" s="521"/>
    </row>
    <row r="3042" spans="2:26" ht="9" customHeight="1" x14ac:dyDescent="0.45">
      <c r="B3042" s="468"/>
      <c r="C3042" s="450"/>
      <c r="J3042" s="451"/>
      <c r="K3042" s="451"/>
      <c r="L3042" s="451"/>
      <c r="M3042" s="534"/>
      <c r="N3042" s="473"/>
      <c r="O3042" s="554"/>
      <c r="P3042" s="459"/>
      <c r="Q3042" s="469"/>
      <c r="R3042" s="512" t="str">
        <f>R3032</f>
        <v>DELETE</v>
      </c>
      <c r="T3042" s="521"/>
    </row>
    <row r="3043" spans="2:26" ht="9" customHeight="1" x14ac:dyDescent="0.45">
      <c r="B3043" s="468"/>
      <c r="C3043" s="450"/>
      <c r="J3043" s="451"/>
      <c r="K3043" s="451"/>
      <c r="L3043" s="451"/>
      <c r="M3043" s="535"/>
      <c r="N3043" s="473"/>
      <c r="O3043" s="535"/>
      <c r="P3043" s="459"/>
      <c r="Q3043" s="469"/>
      <c r="R3043" s="512" t="str">
        <f>R3042</f>
        <v>DELETE</v>
      </c>
      <c r="T3043" s="521"/>
    </row>
    <row r="3044" spans="2:26" ht="9" customHeight="1" x14ac:dyDescent="0.45">
      <c r="B3044" s="468"/>
      <c r="C3044" s="450"/>
      <c r="J3044" s="451"/>
      <c r="K3044" s="451"/>
      <c r="L3044" s="451"/>
      <c r="M3044" s="531"/>
      <c r="N3044" s="470"/>
      <c r="O3044" s="531"/>
      <c r="P3044" s="459"/>
      <c r="Q3044" s="469"/>
      <c r="R3044" s="512" t="str">
        <f>R3043</f>
        <v>DELETE</v>
      </c>
      <c r="T3044" s="521"/>
    </row>
    <row r="3045" spans="2:26" ht="31.5" customHeight="1" x14ac:dyDescent="0.45">
      <c r="B3045" s="468"/>
      <c r="C3045" s="450"/>
      <c r="J3045" s="451"/>
      <c r="K3045" s="451"/>
      <c r="L3045" s="451"/>
      <c r="M3045" s="531">
        <f>SUM(S2905:S3042)</f>
        <v>0</v>
      </c>
      <c r="N3045" s="470"/>
      <c r="O3045" s="531">
        <f>SUM(U2905:U3042)</f>
        <v>0</v>
      </c>
      <c r="P3045" s="459"/>
      <c r="Q3045" s="469"/>
      <c r="R3045" s="512" t="str">
        <f>R3044</f>
        <v>DELETE</v>
      </c>
      <c r="T3045" s="521"/>
    </row>
    <row r="3046" spans="2:26" ht="31.5" customHeight="1" x14ac:dyDescent="0.45">
      <c r="B3046" s="468"/>
      <c r="C3046" s="450"/>
      <c r="J3046" s="451"/>
      <c r="K3046" s="451"/>
      <c r="L3046" s="451"/>
      <c r="M3046" s="531"/>
      <c r="N3046" s="470"/>
      <c r="O3046" s="531"/>
      <c r="P3046" s="459"/>
      <c r="Q3046" s="469"/>
      <c r="R3046" s="512" t="str">
        <f>R3045</f>
        <v>DELETE</v>
      </c>
      <c r="T3046" s="521"/>
    </row>
    <row r="3047" spans="2:26" ht="31.5" customHeight="1" x14ac:dyDescent="0.45">
      <c r="B3047" s="468"/>
      <c r="C3047" s="450" t="s">
        <v>318</v>
      </c>
      <c r="J3047" s="451"/>
      <c r="K3047" s="451">
        <f>FS!B1287</f>
        <v>7</v>
      </c>
      <c r="L3047" s="451"/>
      <c r="M3047" s="531">
        <f>SUM(TrialBalanceA!I142:I152)</f>
        <v>0</v>
      </c>
      <c r="N3047" s="470"/>
      <c r="O3047" s="531">
        <f>SUM(TrialBalanceA!K142:K152)</f>
        <v>0</v>
      </c>
      <c r="P3047" s="459"/>
      <c r="Q3047" s="469"/>
      <c r="R3047" s="512" t="str">
        <f t="shared" ref="R3047" si="191">IF(R$2893="DELETE","DELETE",IF(M3047+O3047=0,"DELETE"," "))</f>
        <v>DELETE</v>
      </c>
      <c r="S3047" s="517">
        <f>-M3047</f>
        <v>0</v>
      </c>
      <c r="T3047" s="521"/>
      <c r="U3047" s="517">
        <f>-O3047</f>
        <v>0</v>
      </c>
      <c r="V3047" s="517"/>
      <c r="W3047" s="517"/>
      <c r="X3047" s="517"/>
    </row>
    <row r="3048" spans="2:26" ht="9" customHeight="1" x14ac:dyDescent="0.45">
      <c r="B3048" s="468"/>
      <c r="C3048" s="450"/>
      <c r="J3048" s="451"/>
      <c r="K3048" s="451"/>
      <c r="L3048" s="451"/>
      <c r="M3048" s="535"/>
      <c r="N3048" s="473"/>
      <c r="O3048" s="535"/>
      <c r="P3048" s="459"/>
      <c r="Q3048" s="469"/>
      <c r="R3048" s="512" t="str">
        <f t="shared" ref="R3048:R3056" si="192">R$2893</f>
        <v>DELETE</v>
      </c>
      <c r="T3048" s="521"/>
    </row>
    <row r="3049" spans="2:26" ht="9" customHeight="1" x14ac:dyDescent="0.45">
      <c r="B3049" s="468"/>
      <c r="C3049" s="450"/>
      <c r="J3049" s="451"/>
      <c r="K3049" s="451"/>
      <c r="L3049" s="451"/>
      <c r="M3049" s="531"/>
      <c r="N3049" s="470"/>
      <c r="O3049" s="531"/>
      <c r="P3049" s="459"/>
      <c r="Q3049" s="469"/>
      <c r="R3049" s="512" t="str">
        <f t="shared" si="192"/>
        <v>DELETE</v>
      </c>
      <c r="T3049" s="521"/>
    </row>
    <row r="3050" spans="2:26" ht="31.5" customHeight="1" x14ac:dyDescent="0.45">
      <c r="B3050" s="468"/>
      <c r="C3050" s="492" t="str">
        <f>IF((Y3050+Z3050)=3,"PROFIT/(LOSS) BEFORE TAXATION",(IF((Y3050+Z3050=4),"PROFIT BEFORE TAXATION","LOSS BEFORE TAXATION")))</f>
        <v>PROFIT BEFORE TAXATION</v>
      </c>
      <c r="J3050" s="451"/>
      <c r="K3050" s="451"/>
      <c r="L3050" s="451"/>
      <c r="M3050" s="531">
        <f>SUM(S2905:S3049)</f>
        <v>0</v>
      </c>
      <c r="N3050" s="470"/>
      <c r="O3050" s="531">
        <f>SUM(U2905:U3049)</f>
        <v>0</v>
      </c>
      <c r="P3050" s="459"/>
      <c r="Q3050" s="469"/>
      <c r="R3050" s="512" t="str">
        <f t="shared" si="192"/>
        <v>DELETE</v>
      </c>
      <c r="T3050" s="521"/>
      <c r="V3050" s="513" t="b">
        <f>M3050=FS!M2737</f>
        <v>1</v>
      </c>
      <c r="X3050" s="513" t="b">
        <f>O3050=FS!O2737</f>
        <v>1</v>
      </c>
      <c r="Y3050" s="513">
        <f>IF(M3050&lt;0,1,IF(M3050=0,IF(O3050&lt;0,1,2),2))</f>
        <v>2</v>
      </c>
      <c r="Z3050" s="513">
        <f>IF(O3050&lt;0,1,IF(O3050=0,IF(M3050&lt;0,1,2),2))</f>
        <v>2</v>
      </c>
    </row>
    <row r="3051" spans="2:26" ht="9" customHeight="1" thickBot="1" x14ac:dyDescent="0.5">
      <c r="B3051" s="468"/>
      <c r="C3051" s="450"/>
      <c r="J3051" s="451"/>
      <c r="K3051" s="451"/>
      <c r="L3051" s="451"/>
      <c r="M3051" s="536"/>
      <c r="N3051" s="474"/>
      <c r="O3051" s="536"/>
      <c r="P3051" s="459"/>
      <c r="Q3051" s="469"/>
      <c r="R3051" s="512" t="str">
        <f t="shared" si="192"/>
        <v>DELETE</v>
      </c>
      <c r="T3051" s="521"/>
    </row>
    <row r="3052" spans="2:26" ht="9" customHeight="1" thickTop="1" x14ac:dyDescent="0.45">
      <c r="B3052" s="468"/>
      <c r="C3052" s="450"/>
      <c r="J3052" s="451"/>
      <c r="K3052" s="451"/>
      <c r="L3052" s="451"/>
      <c r="M3052" s="548"/>
      <c r="N3052" s="491"/>
      <c r="O3052" s="548"/>
      <c r="P3052" s="459"/>
      <c r="Q3052" s="469"/>
      <c r="R3052" s="512" t="str">
        <f t="shared" si="192"/>
        <v>DELETE</v>
      </c>
      <c r="T3052" s="521"/>
    </row>
    <row r="3053" spans="2:26" ht="31.5" customHeight="1" x14ac:dyDescent="0.45">
      <c r="B3053" s="468"/>
      <c r="C3053" s="450"/>
      <c r="J3053" s="451"/>
      <c r="K3053" s="451"/>
      <c r="L3053" s="451"/>
      <c r="M3053" s="531"/>
      <c r="N3053" s="470"/>
      <c r="O3053" s="531"/>
      <c r="P3053" s="459"/>
      <c r="Q3053" s="469"/>
      <c r="R3053" s="512" t="str">
        <f t="shared" si="192"/>
        <v>DELETE</v>
      </c>
      <c r="T3053" s="521"/>
    </row>
    <row r="3054" spans="2:26" ht="31.5" customHeight="1" x14ac:dyDescent="0.45">
      <c r="B3054" s="468"/>
      <c r="C3054" s="450"/>
      <c r="J3054" s="451"/>
      <c r="K3054" s="451"/>
      <c r="L3054" s="451"/>
      <c r="M3054" s="531"/>
      <c r="N3054" s="470"/>
      <c r="O3054" s="531"/>
      <c r="P3054" s="459"/>
      <c r="Q3054" s="469"/>
      <c r="R3054" s="512" t="str">
        <f t="shared" si="192"/>
        <v>DELETE</v>
      </c>
      <c r="T3054" s="521"/>
    </row>
    <row r="3055" spans="2:26" ht="31.5" customHeight="1" x14ac:dyDescent="0.45">
      <c r="B3055" s="477"/>
      <c r="C3055" s="461"/>
      <c r="D3055" s="461"/>
      <c r="E3055" s="461"/>
      <c r="F3055" s="461"/>
      <c r="G3055" s="461"/>
      <c r="H3055" s="461"/>
      <c r="I3055" s="461"/>
      <c r="J3055" s="461"/>
      <c r="K3055" s="461"/>
      <c r="L3055" s="461"/>
      <c r="M3055" s="640"/>
      <c r="N3055" s="646"/>
      <c r="O3055" s="640"/>
      <c r="P3055" s="631"/>
      <c r="Q3055" s="479"/>
      <c r="R3055" s="512" t="str">
        <f t="shared" si="192"/>
        <v>DELETE</v>
      </c>
      <c r="T3055" s="521"/>
    </row>
    <row r="3056" spans="2:26" ht="31.5" customHeight="1" x14ac:dyDescent="0.45">
      <c r="M3056" s="635"/>
      <c r="N3056" s="621"/>
      <c r="O3056" s="635"/>
      <c r="R3056" s="512" t="str">
        <f t="shared" si="192"/>
        <v>DELETE</v>
      </c>
      <c r="T3056" s="521"/>
    </row>
    <row r="3057" spans="2:26" ht="31.5" customHeight="1" x14ac:dyDescent="0.45">
      <c r="M3057" s="635"/>
      <c r="N3057" s="621"/>
      <c r="O3057" s="635"/>
      <c r="R3057" s="512" t="str">
        <f>IF(SUM(U2905:U2909)+SUM(U2925:U2934)+SUM(U3032:U3042)+O3050=0,IF(SUM(S3069:S3071)+SUM(S3089:S3096)+SUM(S3196:S3206)+O3214=0,"DELETE"," "),"DELETE")</f>
        <v>DELETE</v>
      </c>
      <c r="T3057" s="521"/>
      <c r="V3057" s="516"/>
      <c r="W3057" s="516"/>
      <c r="X3057" s="516"/>
      <c r="Y3057" s="521"/>
    </row>
    <row r="3058" spans="2:26" ht="31.5" customHeight="1" x14ac:dyDescent="0.45">
      <c r="D3058" s="450" t="s">
        <v>607</v>
      </c>
      <c r="M3058" s="635"/>
      <c r="N3058" s="621"/>
      <c r="O3058" s="635"/>
      <c r="R3058" s="512" t="str">
        <f t="shared" ref="R3058:R3068" si="193">R$3057</f>
        <v>DELETE</v>
      </c>
      <c r="T3058" s="521"/>
      <c r="V3058" s="515"/>
      <c r="X3058" s="515"/>
      <c r="Z3058" s="515"/>
    </row>
    <row r="3059" spans="2:26" ht="31.5" customHeight="1" x14ac:dyDescent="0.45">
      <c r="M3059" s="635"/>
      <c r="N3059" s="621"/>
      <c r="O3059" s="635"/>
      <c r="R3059" s="512" t="str">
        <f t="shared" si="193"/>
        <v>DELETE</v>
      </c>
      <c r="T3059" s="521"/>
    </row>
    <row r="3060" spans="2:26" ht="31.5" customHeight="1" x14ac:dyDescent="0.45">
      <c r="D3060" s="450" t="str">
        <f>Criteria!E9</f>
        <v>ABC COMPANY (PROPRIETARY) LIMITED</v>
      </c>
      <c r="M3060" s="635"/>
      <c r="N3060" s="621"/>
      <c r="O3060" s="531" t="s">
        <v>121</v>
      </c>
      <c r="Q3060" s="451">
        <v>1</v>
      </c>
      <c r="R3060" s="512" t="str">
        <f t="shared" si="193"/>
        <v>DELETE</v>
      </c>
      <c r="T3060" s="521"/>
    </row>
    <row r="3061" spans="2:26" ht="31.5" customHeight="1" x14ac:dyDescent="0.45">
      <c r="D3061" s="450" t="str">
        <f>CONCATENATE("T/A ",Criteria!E14)</f>
        <v>T/A SEAFRONT RESTAURANT</v>
      </c>
      <c r="M3061" s="635"/>
      <c r="N3061" s="621"/>
      <c r="O3061" s="635"/>
      <c r="R3061" s="512" t="str">
        <f t="shared" si="193"/>
        <v>DELETE</v>
      </c>
      <c r="T3061" s="521"/>
    </row>
    <row r="3062" spans="2:26" ht="31.5" customHeight="1" x14ac:dyDescent="0.45">
      <c r="M3062" s="635"/>
      <c r="N3062" s="621"/>
      <c r="O3062" s="635"/>
      <c r="R3062" s="512" t="str">
        <f t="shared" si="193"/>
        <v>DELETE</v>
      </c>
      <c r="T3062" s="521"/>
    </row>
    <row r="3063" spans="2:26" ht="31.5" customHeight="1" x14ac:dyDescent="0.45">
      <c r="D3063" s="450" t="s">
        <v>115</v>
      </c>
      <c r="M3063" s="635"/>
      <c r="N3063" s="621"/>
      <c r="O3063" s="635"/>
      <c r="R3063" s="512" t="str">
        <f t="shared" si="193"/>
        <v>DELETE</v>
      </c>
      <c r="T3063" s="521"/>
    </row>
    <row r="3064" spans="2:26" ht="31.5" customHeight="1" x14ac:dyDescent="0.45">
      <c r="D3064" s="450" t="str">
        <f>Criteria!E20</f>
        <v>29 FEBRUARY 2024</v>
      </c>
      <c r="M3064" s="635"/>
      <c r="N3064" s="621"/>
      <c r="O3064" s="635"/>
      <c r="R3064" s="512" t="str">
        <f t="shared" si="193"/>
        <v>DELETE</v>
      </c>
      <c r="T3064" s="521"/>
    </row>
    <row r="3065" spans="2:26" ht="31.5" customHeight="1" x14ac:dyDescent="0.45">
      <c r="M3065" s="635"/>
      <c r="N3065" s="621"/>
      <c r="O3065" s="635"/>
      <c r="R3065" s="512" t="str">
        <f t="shared" si="193"/>
        <v>DELETE</v>
      </c>
      <c r="T3065" s="521"/>
    </row>
    <row r="3066" spans="2:26" ht="31.5" customHeight="1" x14ac:dyDescent="0.45">
      <c r="B3066" s="465"/>
      <c r="C3066" s="466"/>
      <c r="D3066" s="466"/>
      <c r="E3066" s="466"/>
      <c r="F3066" s="466"/>
      <c r="G3066" s="466"/>
      <c r="H3066" s="466"/>
      <c r="I3066" s="466"/>
      <c r="J3066" s="466"/>
      <c r="K3066" s="466"/>
      <c r="L3066" s="466"/>
      <c r="M3066" s="648"/>
      <c r="N3066" s="649"/>
      <c r="O3066" s="648"/>
      <c r="P3066" s="643"/>
      <c r="Q3066" s="467"/>
      <c r="R3066" s="512" t="str">
        <f t="shared" si="193"/>
        <v>DELETE</v>
      </c>
      <c r="T3066" s="521"/>
    </row>
    <row r="3067" spans="2:26" ht="31.5" customHeight="1" x14ac:dyDescent="0.45">
      <c r="B3067" s="468"/>
      <c r="J3067" s="451"/>
      <c r="K3067" s="451" t="s">
        <v>129</v>
      </c>
      <c r="L3067" s="452"/>
      <c r="M3067" s="40"/>
      <c r="N3067" s="451"/>
      <c r="O3067" s="525">
        <f>Criteria!E22</f>
        <v>2024</v>
      </c>
      <c r="P3067" s="459"/>
      <c r="Q3067" s="469"/>
      <c r="R3067" s="512" t="str">
        <f t="shared" si="193"/>
        <v>DELETE</v>
      </c>
      <c r="T3067" s="521"/>
    </row>
    <row r="3068" spans="2:26" ht="31.5" customHeight="1" x14ac:dyDescent="0.45">
      <c r="B3068" s="468"/>
      <c r="J3068" s="451"/>
      <c r="K3068" s="451"/>
      <c r="L3068" s="452"/>
      <c r="M3068" s="40"/>
      <c r="N3068" s="451"/>
      <c r="O3068" s="531"/>
      <c r="P3068" s="459"/>
      <c r="Q3068" s="469"/>
      <c r="R3068" s="512" t="str">
        <f t="shared" si="193"/>
        <v>DELETE</v>
      </c>
      <c r="T3068" s="521"/>
    </row>
    <row r="3069" spans="2:26" ht="31.5" customHeight="1" x14ac:dyDescent="0.45">
      <c r="B3069" s="468"/>
      <c r="C3069" s="450" t="s">
        <v>137</v>
      </c>
      <c r="J3069" s="451"/>
      <c r="K3069" s="451"/>
      <c r="L3069" s="452"/>
      <c r="M3069" s="40"/>
      <c r="N3069" s="451"/>
      <c r="O3069" s="531">
        <f>-SUM(TrialBalanceA!I5:I10)</f>
        <v>0</v>
      </c>
      <c r="P3069" s="459"/>
      <c r="Q3069" s="469"/>
      <c r="R3069" s="512" t="str">
        <f>IF(R3057="DELETE","DELETE",IF(O3069=0,IF(O3071=0," ","DELETE")," "))</f>
        <v>DELETE</v>
      </c>
      <c r="S3069" s="517">
        <f>O3069</f>
        <v>0</v>
      </c>
      <c r="T3069" s="521"/>
      <c r="U3069" s="517"/>
      <c r="V3069" s="517"/>
      <c r="W3069" s="517"/>
      <c r="X3069" s="517"/>
    </row>
    <row r="3070" spans="2:26" ht="31.5" customHeight="1" x14ac:dyDescent="0.45">
      <c r="B3070" s="468"/>
      <c r="C3070" s="450"/>
      <c r="J3070" s="451"/>
      <c r="K3070" s="451"/>
      <c r="L3070" s="452"/>
      <c r="M3070" s="40"/>
      <c r="N3070" s="451"/>
      <c r="O3070" s="531"/>
      <c r="P3070" s="459"/>
      <c r="Q3070" s="469"/>
      <c r="R3070" s="512" t="str">
        <f>R3069</f>
        <v>DELETE</v>
      </c>
      <c r="S3070" s="517"/>
      <c r="T3070" s="521"/>
      <c r="U3070" s="517"/>
      <c r="V3070" s="517"/>
      <c r="W3070" s="517"/>
      <c r="X3070" s="517"/>
    </row>
    <row r="3071" spans="2:26" ht="31.5" customHeight="1" x14ac:dyDescent="0.45">
      <c r="B3071" s="468"/>
      <c r="C3071" s="450" t="s">
        <v>606</v>
      </c>
      <c r="J3071" s="451"/>
      <c r="K3071" s="451"/>
      <c r="L3071" s="452"/>
      <c r="M3071" s="40"/>
      <c r="N3071" s="451"/>
      <c r="O3071" s="531">
        <f>-TrialBalanceA!I11</f>
        <v>0</v>
      </c>
      <c r="P3071" s="459"/>
      <c r="Q3071" s="469"/>
      <c r="R3071" s="512" t="str">
        <f>IF(R$3057="DELETE","DELETE",IF(O3071=0,"DELETE"," "))</f>
        <v>DELETE</v>
      </c>
      <c r="S3071" s="517">
        <f>O3071</f>
        <v>0</v>
      </c>
      <c r="T3071" s="521"/>
      <c r="U3071" s="517"/>
      <c r="V3071" s="517"/>
      <c r="W3071" s="517"/>
      <c r="X3071" s="517"/>
    </row>
    <row r="3072" spans="2:26" ht="31.5" customHeight="1" x14ac:dyDescent="0.45">
      <c r="B3072" s="468"/>
      <c r="C3072" s="450"/>
      <c r="J3072" s="451"/>
      <c r="K3072" s="451"/>
      <c r="L3072" s="452"/>
      <c r="M3072" s="40"/>
      <c r="N3072" s="451"/>
      <c r="O3072" s="531"/>
      <c r="P3072" s="459"/>
      <c r="Q3072" s="469"/>
      <c r="R3072" s="512" t="str">
        <f>R3071</f>
        <v>DELETE</v>
      </c>
      <c r="T3072" s="521"/>
    </row>
    <row r="3073" spans="2:24" ht="31.5" customHeight="1" x14ac:dyDescent="0.45">
      <c r="B3073" s="468"/>
      <c r="C3073" s="450" t="s">
        <v>333</v>
      </c>
      <c r="J3073" s="451"/>
      <c r="K3073" s="451"/>
      <c r="L3073" s="452"/>
      <c r="M3073" s="40"/>
      <c r="N3073" s="451"/>
      <c r="O3073" s="531">
        <f>SUM(O3076:O3083)</f>
        <v>0</v>
      </c>
      <c r="P3073" s="459"/>
      <c r="Q3073" s="469"/>
      <c r="R3073" s="512" t="str">
        <f>IF(R$3057="DELETE","DELETE",IF(O3073=0,"DELETE"," "))</f>
        <v>DELETE</v>
      </c>
      <c r="S3073" s="517">
        <f>-O3073</f>
        <v>0</v>
      </c>
      <c r="T3073" s="521"/>
      <c r="U3073" s="517"/>
      <c r="V3073" s="517"/>
      <c r="W3073" s="517"/>
      <c r="X3073" s="517"/>
    </row>
    <row r="3074" spans="2:24" ht="9" customHeight="1" x14ac:dyDescent="0.45">
      <c r="B3074" s="468"/>
      <c r="C3074" s="450"/>
      <c r="J3074" s="451"/>
      <c r="K3074" s="451"/>
      <c r="L3074" s="452"/>
      <c r="M3074" s="40"/>
      <c r="N3074" s="451"/>
      <c r="O3074" s="531"/>
      <c r="P3074" s="459"/>
      <c r="Q3074" s="469"/>
      <c r="R3074" s="512" t="str">
        <f>R3073</f>
        <v>DELETE</v>
      </c>
      <c r="T3074" s="521"/>
    </row>
    <row r="3075" spans="2:24" ht="9" customHeight="1" x14ac:dyDescent="0.45">
      <c r="B3075" s="468"/>
      <c r="C3075" s="450"/>
      <c r="J3075" s="451"/>
      <c r="K3075" s="451"/>
      <c r="L3075" s="452"/>
      <c r="M3075" s="40"/>
      <c r="N3075" s="451"/>
      <c r="O3075" s="558"/>
      <c r="P3075" s="459"/>
      <c r="Q3075" s="469"/>
      <c r="R3075" s="512" t="str">
        <f>R3074</f>
        <v>DELETE</v>
      </c>
      <c r="T3075" s="521"/>
    </row>
    <row r="3076" spans="2:24" ht="31.5" customHeight="1" x14ac:dyDescent="0.45">
      <c r="B3076" s="468"/>
      <c r="C3076" s="450"/>
      <c r="D3076" s="449" t="s">
        <v>608</v>
      </c>
      <c r="J3076" s="451"/>
      <c r="K3076" s="451"/>
      <c r="L3076" s="452"/>
      <c r="M3076" s="40"/>
      <c r="N3076" s="451"/>
      <c r="O3076" s="559">
        <f>SUM(TrialBalanceA!I13:I16)</f>
        <v>0</v>
      </c>
      <c r="P3076" s="459"/>
      <c r="Q3076" s="469"/>
      <c r="R3076" s="512" t="str">
        <f t="shared" ref="R3076:R3083" si="194">IF(R$3057="DELETE","DELETE",IF(O3076=0,"DELETE"," "))</f>
        <v>DELETE</v>
      </c>
      <c r="T3076" s="521"/>
    </row>
    <row r="3077" spans="2:24" ht="31.5" customHeight="1" x14ac:dyDescent="0.45">
      <c r="B3077" s="468"/>
      <c r="C3077" s="450"/>
      <c r="D3077" s="449" t="s">
        <v>334</v>
      </c>
      <c r="J3077" s="451"/>
      <c r="K3077" s="451"/>
      <c r="L3077" s="452"/>
      <c r="M3077" s="40"/>
      <c r="N3077" s="451"/>
      <c r="O3077" s="559">
        <f>TrialBalanceA!I17</f>
        <v>0</v>
      </c>
      <c r="P3077" s="459"/>
      <c r="Q3077" s="469"/>
      <c r="R3077" s="512" t="str">
        <f t="shared" si="194"/>
        <v>DELETE</v>
      </c>
      <c r="T3077" s="521"/>
    </row>
    <row r="3078" spans="2:24" ht="31.5" customHeight="1" x14ac:dyDescent="0.45">
      <c r="B3078" s="468"/>
      <c r="C3078" s="450"/>
      <c r="D3078" s="449">
        <f>TrialBalanceA!C18</f>
        <v>0</v>
      </c>
      <c r="J3078" s="451"/>
      <c r="K3078" s="451"/>
      <c r="L3078" s="452"/>
      <c r="M3078" s="40"/>
      <c r="N3078" s="451"/>
      <c r="O3078" s="559">
        <f>TrialBalanceA!I18</f>
        <v>0</v>
      </c>
      <c r="P3078" s="459"/>
      <c r="Q3078" s="469"/>
      <c r="R3078" s="512" t="str">
        <f t="shared" si="194"/>
        <v>DELETE</v>
      </c>
      <c r="T3078" s="521"/>
    </row>
    <row r="3079" spans="2:24" ht="31.5" customHeight="1" x14ac:dyDescent="0.45">
      <c r="B3079" s="468"/>
      <c r="C3079" s="450"/>
      <c r="D3079" s="449">
        <f>TrialBalanceA!C19</f>
        <v>0</v>
      </c>
      <c r="J3079" s="451"/>
      <c r="K3079" s="451"/>
      <c r="L3079" s="452"/>
      <c r="M3079" s="40"/>
      <c r="N3079" s="451"/>
      <c r="O3079" s="559">
        <f>TrialBalanceA!I19</f>
        <v>0</v>
      </c>
      <c r="P3079" s="459"/>
      <c r="Q3079" s="469"/>
      <c r="R3079" s="512" t="str">
        <f t="shared" si="194"/>
        <v>DELETE</v>
      </c>
      <c r="T3079" s="521"/>
    </row>
    <row r="3080" spans="2:24" ht="31.5" customHeight="1" x14ac:dyDescent="0.45">
      <c r="B3080" s="468"/>
      <c r="C3080" s="450"/>
      <c r="D3080" s="449">
        <f>TrialBalanceA!C20</f>
        <v>0</v>
      </c>
      <c r="J3080" s="451"/>
      <c r="K3080" s="451"/>
      <c r="L3080" s="452"/>
      <c r="M3080" s="40"/>
      <c r="N3080" s="451"/>
      <c r="O3080" s="559">
        <f>TrialBalanceA!I20</f>
        <v>0</v>
      </c>
      <c r="P3080" s="459"/>
      <c r="Q3080" s="469"/>
      <c r="R3080" s="512" t="str">
        <f t="shared" si="194"/>
        <v>DELETE</v>
      </c>
      <c r="T3080" s="521"/>
    </row>
    <row r="3081" spans="2:24" ht="31.5" customHeight="1" x14ac:dyDescent="0.45">
      <c r="B3081" s="468"/>
      <c r="C3081" s="450"/>
      <c r="D3081" s="449">
        <f>TrialBalanceA!C21</f>
        <v>0</v>
      </c>
      <c r="J3081" s="451"/>
      <c r="K3081" s="451"/>
      <c r="L3081" s="452"/>
      <c r="M3081" s="40"/>
      <c r="N3081" s="451"/>
      <c r="O3081" s="559">
        <f>TrialBalanceA!I21</f>
        <v>0</v>
      </c>
      <c r="P3081" s="459"/>
      <c r="Q3081" s="469"/>
      <c r="R3081" s="512" t="str">
        <f t="shared" si="194"/>
        <v>DELETE</v>
      </c>
      <c r="T3081" s="521"/>
    </row>
    <row r="3082" spans="2:24" ht="31.5" customHeight="1" x14ac:dyDescent="0.45">
      <c r="B3082" s="468"/>
      <c r="C3082" s="450"/>
      <c r="D3082" s="449">
        <f>TrialBalanceA!C22</f>
        <v>0</v>
      </c>
      <c r="J3082" s="451"/>
      <c r="K3082" s="451"/>
      <c r="L3082" s="452"/>
      <c r="M3082" s="40"/>
      <c r="N3082" s="451"/>
      <c r="O3082" s="559">
        <f>TrialBalanceA!I22</f>
        <v>0</v>
      </c>
      <c r="P3082" s="459"/>
      <c r="Q3082" s="469"/>
      <c r="R3082" s="512" t="str">
        <f t="shared" si="194"/>
        <v>DELETE</v>
      </c>
      <c r="T3082" s="521"/>
    </row>
    <row r="3083" spans="2:24" ht="31.5" customHeight="1" x14ac:dyDescent="0.45">
      <c r="B3083" s="468"/>
      <c r="C3083" s="450"/>
      <c r="D3083" s="449" t="s">
        <v>609</v>
      </c>
      <c r="J3083" s="451"/>
      <c r="K3083" s="451"/>
      <c r="L3083" s="452"/>
      <c r="M3083" s="40"/>
      <c r="N3083" s="451"/>
      <c r="O3083" s="559">
        <f>SUM(TrialBalanceA!I23:I26)</f>
        <v>0</v>
      </c>
      <c r="P3083" s="459"/>
      <c r="Q3083" s="469"/>
      <c r="R3083" s="512" t="str">
        <f t="shared" si="194"/>
        <v>DELETE</v>
      </c>
      <c r="T3083" s="521"/>
    </row>
    <row r="3084" spans="2:24" ht="9" customHeight="1" x14ac:dyDescent="0.45">
      <c r="B3084" s="468"/>
      <c r="C3084" s="450"/>
      <c r="J3084" s="451"/>
      <c r="K3084" s="451"/>
      <c r="L3084" s="452"/>
      <c r="M3084" s="40"/>
      <c r="N3084" s="451"/>
      <c r="O3084" s="560"/>
      <c r="P3084" s="459"/>
      <c r="Q3084" s="469"/>
      <c r="R3084" s="512" t="str">
        <f>R3073</f>
        <v>DELETE</v>
      </c>
      <c r="T3084" s="521"/>
    </row>
    <row r="3085" spans="2:24" ht="9" customHeight="1" x14ac:dyDescent="0.45">
      <c r="B3085" s="468"/>
      <c r="C3085" s="450"/>
      <c r="J3085" s="451"/>
      <c r="K3085" s="451"/>
      <c r="L3085" s="452"/>
      <c r="M3085" s="40"/>
      <c r="N3085" s="451"/>
      <c r="O3085" s="535"/>
      <c r="P3085" s="459"/>
      <c r="Q3085" s="469"/>
      <c r="R3085" s="512" t="str">
        <f>R3073</f>
        <v>DELETE</v>
      </c>
      <c r="T3085" s="521"/>
    </row>
    <row r="3086" spans="2:24" ht="9" customHeight="1" x14ac:dyDescent="0.45">
      <c r="B3086" s="468"/>
      <c r="C3086" s="450"/>
      <c r="J3086" s="451"/>
      <c r="K3086" s="451"/>
      <c r="L3086" s="452"/>
      <c r="M3086" s="40"/>
      <c r="N3086" s="451"/>
      <c r="O3086" s="531"/>
      <c r="P3086" s="459"/>
      <c r="Q3086" s="469"/>
      <c r="R3086" s="512" t="str">
        <f>R3085</f>
        <v>DELETE</v>
      </c>
      <c r="T3086" s="521"/>
    </row>
    <row r="3087" spans="2:24" ht="31.5" customHeight="1" x14ac:dyDescent="0.45">
      <c r="B3087" s="468"/>
      <c r="C3087" s="492" t="str">
        <f>IF(O3087&lt;0,"GROSS LOSS","GROSS PROFIT")</f>
        <v>GROSS PROFIT</v>
      </c>
      <c r="J3087" s="451"/>
      <c r="K3087" s="451"/>
      <c r="L3087" s="452"/>
      <c r="M3087" s="40"/>
      <c r="N3087" s="451"/>
      <c r="O3087" s="531">
        <f>SUM(S3069:S3084)</f>
        <v>0</v>
      </c>
      <c r="P3087" s="459"/>
      <c r="Q3087" s="469"/>
      <c r="R3087" s="512" t="str">
        <f>R3086</f>
        <v>DELETE</v>
      </c>
      <c r="T3087" s="521"/>
    </row>
    <row r="3088" spans="2:24" ht="31.5" customHeight="1" x14ac:dyDescent="0.45">
      <c r="B3088" s="468"/>
      <c r="C3088" s="450"/>
      <c r="J3088" s="451"/>
      <c r="K3088" s="451"/>
      <c r="L3088" s="452"/>
      <c r="M3088" s="40"/>
      <c r="N3088" s="451"/>
      <c r="O3088" s="531"/>
      <c r="P3088" s="459"/>
      <c r="Q3088" s="469"/>
      <c r="R3088" s="512" t="str">
        <f>R3087</f>
        <v>DELETE</v>
      </c>
      <c r="T3088" s="521"/>
    </row>
    <row r="3089" spans="2:24" ht="31.5" customHeight="1" x14ac:dyDescent="0.45">
      <c r="B3089" s="468"/>
      <c r="C3089" s="450" t="s">
        <v>385</v>
      </c>
      <c r="J3089" s="451"/>
      <c r="K3089" s="451"/>
      <c r="L3089" s="452"/>
      <c r="M3089" s="40"/>
      <c r="N3089" s="451"/>
      <c r="O3089" s="531">
        <f>SUM(O3091:O3098)</f>
        <v>0</v>
      </c>
      <c r="P3089" s="459"/>
      <c r="Q3089" s="469"/>
      <c r="R3089" s="512" t="str">
        <f t="shared" ref="R3089" si="195">IF(R$3057="DELETE","DELETE",IF(O3089=0,"DELETE"," "))</f>
        <v>DELETE</v>
      </c>
      <c r="S3089" s="517">
        <f>O3089</f>
        <v>0</v>
      </c>
      <c r="T3089" s="521"/>
      <c r="U3089" s="517"/>
      <c r="V3089" s="517"/>
      <c r="W3089" s="517"/>
      <c r="X3089" s="517"/>
    </row>
    <row r="3090" spans="2:24" ht="9" customHeight="1" x14ac:dyDescent="0.45">
      <c r="B3090" s="468"/>
      <c r="C3090" s="450"/>
      <c r="J3090" s="451"/>
      <c r="K3090" s="451"/>
      <c r="L3090" s="452"/>
      <c r="M3090" s="40"/>
      <c r="N3090" s="451"/>
      <c r="O3090" s="531"/>
      <c r="P3090" s="459"/>
      <c r="Q3090" s="469"/>
      <c r="R3090" s="512" t="str">
        <f>R3089</f>
        <v>DELETE</v>
      </c>
      <c r="T3090" s="521"/>
    </row>
    <row r="3091" spans="2:24" ht="9" customHeight="1" x14ac:dyDescent="0.45">
      <c r="B3091" s="468"/>
      <c r="C3091" s="450"/>
      <c r="J3091" s="451"/>
      <c r="K3091" s="451"/>
      <c r="L3091" s="452"/>
      <c r="M3091" s="40"/>
      <c r="N3091" s="451"/>
      <c r="O3091" s="558"/>
      <c r="P3091" s="459"/>
      <c r="Q3091" s="469"/>
      <c r="R3091" s="512" t="str">
        <f>R3089</f>
        <v>DELETE</v>
      </c>
      <c r="T3091" s="521"/>
    </row>
    <row r="3092" spans="2:24" ht="31.5" customHeight="1" x14ac:dyDescent="0.45">
      <c r="B3092" s="468"/>
      <c r="C3092" s="450"/>
      <c r="D3092" s="449" t="str">
        <f>TrialBalanceA!C28</f>
        <v>Insurance claims - Seafront Restaurant</v>
      </c>
      <c r="J3092" s="451"/>
      <c r="K3092" s="451"/>
      <c r="L3092" s="452"/>
      <c r="M3092" s="40"/>
      <c r="N3092" s="451"/>
      <c r="O3092" s="559">
        <f>-TrialBalanceA!I28</f>
        <v>0</v>
      </c>
      <c r="P3092" s="459"/>
      <c r="Q3092" s="469"/>
      <c r="R3092" s="512" t="str">
        <f t="shared" ref="R3092:R3096" si="196">IF(R$3057="DELETE","DELETE",IF(O3092=0,"DELETE"," "))</f>
        <v>DELETE</v>
      </c>
      <c r="T3092" s="521"/>
    </row>
    <row r="3093" spans="2:24" ht="31.5" customHeight="1" x14ac:dyDescent="0.45">
      <c r="B3093" s="468"/>
      <c r="C3093" s="450"/>
      <c r="D3093" s="449" t="str">
        <f>TrialBalanceA!C29</f>
        <v>Government grants received</v>
      </c>
      <c r="J3093" s="451"/>
      <c r="K3093" s="451"/>
      <c r="L3093" s="452"/>
      <c r="M3093" s="40"/>
      <c r="N3093" s="451"/>
      <c r="O3093" s="559">
        <f>-TrialBalanceA!I29</f>
        <v>0</v>
      </c>
      <c r="P3093" s="459"/>
      <c r="Q3093" s="469"/>
      <c r="R3093" s="512" t="str">
        <f t="shared" si="196"/>
        <v>DELETE</v>
      </c>
      <c r="T3093" s="521"/>
    </row>
    <row r="3094" spans="2:24" ht="31.5" customHeight="1" x14ac:dyDescent="0.45">
      <c r="B3094" s="468"/>
      <c r="C3094" s="450"/>
      <c r="D3094" s="449">
        <f>TrialBalanceA!C30</f>
        <v>0</v>
      </c>
      <c r="J3094" s="451"/>
      <c r="K3094" s="451"/>
      <c r="L3094" s="452"/>
      <c r="M3094" s="40"/>
      <c r="N3094" s="451"/>
      <c r="O3094" s="559">
        <f>-TrialBalanceA!I30</f>
        <v>0</v>
      </c>
      <c r="P3094" s="459"/>
      <c r="Q3094" s="469"/>
      <c r="R3094" s="512" t="str">
        <f t="shared" si="196"/>
        <v>DELETE</v>
      </c>
      <c r="T3094" s="521"/>
    </row>
    <row r="3095" spans="2:24" ht="31.5" customHeight="1" x14ac:dyDescent="0.45">
      <c r="B3095" s="468"/>
      <c r="C3095" s="450"/>
      <c r="D3095" s="449">
        <f>TrialBalanceA!C31</f>
        <v>0</v>
      </c>
      <c r="J3095" s="451"/>
      <c r="K3095" s="451"/>
      <c r="L3095" s="452"/>
      <c r="M3095" s="40"/>
      <c r="N3095" s="451"/>
      <c r="O3095" s="559">
        <f>-TrialBalanceA!I31</f>
        <v>0</v>
      </c>
      <c r="P3095" s="459"/>
      <c r="Q3095" s="469"/>
      <c r="R3095" s="512" t="str">
        <f t="shared" si="196"/>
        <v>DELETE</v>
      </c>
      <c r="T3095" s="521"/>
    </row>
    <row r="3096" spans="2:24" ht="31.5" customHeight="1" x14ac:dyDescent="0.45">
      <c r="B3096" s="468"/>
      <c r="C3096" s="450"/>
      <c r="D3096" s="449">
        <f>TrialBalanceA!C32</f>
        <v>0</v>
      </c>
      <c r="J3096" s="451"/>
      <c r="K3096" s="451"/>
      <c r="L3096" s="452"/>
      <c r="M3096" s="40"/>
      <c r="N3096" s="451"/>
      <c r="O3096" s="559">
        <f>-TrialBalanceA!I32</f>
        <v>0</v>
      </c>
      <c r="P3096" s="459"/>
      <c r="Q3096" s="469"/>
      <c r="R3096" s="512" t="str">
        <f t="shared" si="196"/>
        <v>DELETE</v>
      </c>
      <c r="T3096" s="521"/>
    </row>
    <row r="3097" spans="2:24" ht="31.5" customHeight="1" x14ac:dyDescent="0.45">
      <c r="B3097" s="468"/>
      <c r="C3097" s="450"/>
      <c r="D3097" s="449" t="str">
        <f>TrialBalanceA!C33</f>
        <v>Recoupment of depreciation</v>
      </c>
      <c r="J3097" s="451"/>
      <c r="K3097" s="451"/>
      <c r="L3097" s="452"/>
      <c r="M3097" s="40"/>
      <c r="N3097" s="451"/>
      <c r="O3097" s="559">
        <f>-TrialBalanceA!I33</f>
        <v>0</v>
      </c>
      <c r="P3097" s="459"/>
      <c r="Q3097" s="469"/>
      <c r="R3097" s="512" t="str">
        <f t="shared" ref="R3097" si="197">IF(R$3057="DELETE","DELETE",IF(O3097=0,"DELETE"," "))</f>
        <v>DELETE</v>
      </c>
      <c r="T3097" s="521"/>
    </row>
    <row r="3098" spans="2:24" ht="9" customHeight="1" x14ac:dyDescent="0.45">
      <c r="B3098" s="468"/>
      <c r="C3098" s="450"/>
      <c r="J3098" s="451"/>
      <c r="K3098" s="451"/>
      <c r="L3098" s="452"/>
      <c r="M3098" s="40"/>
      <c r="N3098" s="451"/>
      <c r="O3098" s="560"/>
      <c r="P3098" s="459"/>
      <c r="Q3098" s="469"/>
      <c r="R3098" s="512" t="str">
        <f>R3089</f>
        <v>DELETE</v>
      </c>
      <c r="T3098" s="521"/>
    </row>
    <row r="3099" spans="2:24" ht="9" customHeight="1" x14ac:dyDescent="0.45">
      <c r="B3099" s="468"/>
      <c r="C3099" s="450"/>
      <c r="J3099" s="451"/>
      <c r="K3099" s="451"/>
      <c r="L3099" s="452"/>
      <c r="M3099" s="40"/>
      <c r="N3099" s="451"/>
      <c r="O3099" s="547"/>
      <c r="P3099" s="459"/>
      <c r="Q3099" s="469"/>
      <c r="R3099" s="512" t="str">
        <f>R3098</f>
        <v>DELETE</v>
      </c>
      <c r="T3099" s="521"/>
    </row>
    <row r="3100" spans="2:24" ht="9" customHeight="1" x14ac:dyDescent="0.45">
      <c r="B3100" s="468"/>
      <c r="C3100" s="450"/>
      <c r="J3100" s="451"/>
      <c r="K3100" s="451"/>
      <c r="L3100" s="452"/>
      <c r="M3100" s="40"/>
      <c r="N3100" s="451"/>
      <c r="O3100" s="531"/>
      <c r="P3100" s="459"/>
      <c r="Q3100" s="469"/>
      <c r="R3100" s="512" t="str">
        <f>R3099</f>
        <v>DELETE</v>
      </c>
      <c r="T3100" s="521"/>
    </row>
    <row r="3101" spans="2:24" ht="31.5" customHeight="1" x14ac:dyDescent="0.45">
      <c r="B3101" s="468"/>
      <c r="C3101" s="450"/>
      <c r="J3101" s="451"/>
      <c r="K3101" s="451"/>
      <c r="L3101" s="452"/>
      <c r="M3101" s="40"/>
      <c r="N3101" s="451"/>
      <c r="O3101" s="531">
        <f>SUM(S3069:S3089)</f>
        <v>0</v>
      </c>
      <c r="P3101" s="459"/>
      <c r="Q3101" s="469"/>
      <c r="R3101" s="512" t="str">
        <f>R3089</f>
        <v>DELETE</v>
      </c>
      <c r="T3101" s="521"/>
    </row>
    <row r="3102" spans="2:24" ht="31.5" customHeight="1" x14ac:dyDescent="0.45">
      <c r="B3102" s="468"/>
      <c r="C3102" s="450"/>
      <c r="J3102" s="451"/>
      <c r="K3102" s="451"/>
      <c r="L3102" s="452"/>
      <c r="M3102" s="40"/>
      <c r="N3102" s="451"/>
      <c r="O3102" s="531"/>
      <c r="P3102" s="459"/>
      <c r="Q3102" s="469"/>
      <c r="R3102" s="512" t="str">
        <f>R3101</f>
        <v>DELETE</v>
      </c>
      <c r="T3102" s="521"/>
    </row>
    <row r="3103" spans="2:24" ht="31.5" customHeight="1" x14ac:dyDescent="0.45">
      <c r="B3103" s="468"/>
      <c r="C3103" s="450" t="s">
        <v>1416</v>
      </c>
      <c r="J3103" s="451"/>
      <c r="K3103" s="451"/>
      <c r="L3103" s="452"/>
      <c r="M3103" s="40"/>
      <c r="N3103" s="451"/>
      <c r="O3103" s="531">
        <f>SUM(O3105:O3133)</f>
        <v>0</v>
      </c>
      <c r="P3103" s="459"/>
      <c r="Q3103" s="469"/>
      <c r="R3103" s="512" t="str">
        <f t="shared" ref="R3103" si="198">IF(R$3057="DELETE","DELETE",IF(O3103=0,"DELETE"," "))</f>
        <v>DELETE</v>
      </c>
      <c r="S3103" s="517">
        <f>-O3103</f>
        <v>0</v>
      </c>
      <c r="T3103" s="521"/>
      <c r="U3103" s="517"/>
      <c r="V3103" s="517"/>
      <c r="W3103" s="517"/>
      <c r="X3103" s="517"/>
    </row>
    <row r="3104" spans="2:24" ht="9" customHeight="1" x14ac:dyDescent="0.45">
      <c r="B3104" s="468"/>
      <c r="C3104" s="450"/>
      <c r="J3104" s="451"/>
      <c r="K3104" s="451"/>
      <c r="L3104" s="452"/>
      <c r="M3104" s="40"/>
      <c r="N3104" s="451"/>
      <c r="O3104" s="531"/>
      <c r="P3104" s="459"/>
      <c r="Q3104" s="469"/>
      <c r="R3104" s="512" t="str">
        <f>R3103</f>
        <v>DELETE</v>
      </c>
      <c r="T3104" s="521"/>
    </row>
    <row r="3105" spans="2:24" ht="9" customHeight="1" x14ac:dyDescent="0.45">
      <c r="B3105" s="468"/>
      <c r="C3105" s="450"/>
      <c r="J3105" s="451"/>
      <c r="K3105" s="451"/>
      <c r="L3105" s="452"/>
      <c r="M3105" s="40"/>
      <c r="N3105" s="451"/>
      <c r="O3105" s="558"/>
      <c r="P3105" s="459"/>
      <c r="Q3105" s="469"/>
      <c r="R3105" s="512" t="str">
        <f>R3104</f>
        <v>DELETE</v>
      </c>
      <c r="T3105" s="521"/>
    </row>
    <row r="3106" spans="2:24" ht="31.5" customHeight="1" x14ac:dyDescent="0.45">
      <c r="B3106" s="468"/>
      <c r="C3106" s="450"/>
      <c r="D3106" s="449" t="s">
        <v>335</v>
      </c>
      <c r="J3106" s="451"/>
      <c r="K3106" s="451"/>
      <c r="L3106" s="452"/>
      <c r="M3106" s="40"/>
      <c r="N3106" s="451"/>
      <c r="O3106" s="559">
        <f>TrialBalanceA!I40</f>
        <v>0</v>
      </c>
      <c r="P3106" s="459"/>
      <c r="Q3106" s="469"/>
      <c r="R3106" s="512" t="str">
        <f t="shared" ref="R3106:R3132" si="199">IF(R$3057="DELETE","DELETE",IF(O3106=0,"DELETE"," "))</f>
        <v>DELETE</v>
      </c>
      <c r="T3106" s="521"/>
    </row>
    <row r="3107" spans="2:24" ht="31.5" customHeight="1" x14ac:dyDescent="0.45">
      <c r="B3107" s="468"/>
      <c r="C3107" s="450"/>
      <c r="D3107" s="449" t="s">
        <v>888</v>
      </c>
      <c r="J3107" s="451"/>
      <c r="K3107" s="451"/>
      <c r="L3107" s="452"/>
      <c r="M3107" s="40"/>
      <c r="N3107" s="451"/>
      <c r="O3107" s="559">
        <f>TrialBalanceA!I41</f>
        <v>0</v>
      </c>
      <c r="P3107" s="459"/>
      <c r="Q3107" s="469"/>
      <c r="R3107" s="512" t="str">
        <f t="shared" si="199"/>
        <v>DELETE</v>
      </c>
      <c r="T3107" s="521"/>
    </row>
    <row r="3108" spans="2:24" ht="31.5" customHeight="1" x14ac:dyDescent="0.45">
      <c r="B3108" s="468"/>
      <c r="C3108" s="450"/>
      <c r="D3108" s="449" t="s">
        <v>336</v>
      </c>
      <c r="J3108" s="451"/>
      <c r="K3108" s="451"/>
      <c r="L3108" s="452"/>
      <c r="M3108" s="40"/>
      <c r="N3108" s="451"/>
      <c r="O3108" s="559">
        <f>TrialBalanceA!I42</f>
        <v>0</v>
      </c>
      <c r="P3108" s="459"/>
      <c r="Q3108" s="469"/>
      <c r="R3108" s="512" t="str">
        <f t="shared" si="199"/>
        <v>DELETE</v>
      </c>
      <c r="T3108" s="521"/>
    </row>
    <row r="3109" spans="2:24" ht="31.5" customHeight="1" x14ac:dyDescent="0.45">
      <c r="B3109" s="468"/>
      <c r="C3109" s="450"/>
      <c r="D3109" s="449" t="s">
        <v>337</v>
      </c>
      <c r="J3109" s="451"/>
      <c r="K3109" s="451">
        <f>C$1203</f>
        <v>5.2999999999999989</v>
      </c>
      <c r="L3109" s="452"/>
      <c r="M3109" s="40"/>
      <c r="N3109" s="451"/>
      <c r="O3109" s="559">
        <f>SUM(TrialBalanceA!I44:I46)</f>
        <v>0</v>
      </c>
      <c r="P3109" s="459"/>
      <c r="Q3109" s="469"/>
      <c r="R3109" s="512" t="str">
        <f t="shared" si="199"/>
        <v>DELETE</v>
      </c>
      <c r="T3109" s="521"/>
    </row>
    <row r="3110" spans="2:24" ht="31.5" customHeight="1" x14ac:dyDescent="0.45">
      <c r="B3110" s="468"/>
      <c r="C3110" s="450"/>
      <c r="D3110" s="449" t="s">
        <v>610</v>
      </c>
      <c r="J3110" s="451"/>
      <c r="K3110" s="451"/>
      <c r="L3110" s="452"/>
      <c r="M3110" s="40"/>
      <c r="N3110" s="451"/>
      <c r="O3110" s="559">
        <f>TrialBalanceA!I47</f>
        <v>0</v>
      </c>
      <c r="P3110" s="459"/>
      <c r="Q3110" s="469"/>
      <c r="R3110" s="512" t="str">
        <f t="shared" si="199"/>
        <v>DELETE</v>
      </c>
      <c r="S3110" s="518"/>
      <c r="T3110" s="521"/>
      <c r="U3110" s="518"/>
      <c r="V3110" s="518"/>
      <c r="W3110" s="518"/>
      <c r="X3110" s="518"/>
    </row>
    <row r="3111" spans="2:24" ht="31.5" customHeight="1" x14ac:dyDescent="0.45">
      <c r="B3111" s="468"/>
      <c r="C3111" s="450"/>
      <c r="D3111" s="449" t="s">
        <v>933</v>
      </c>
      <c r="J3111" s="451"/>
      <c r="K3111" s="451"/>
      <c r="L3111" s="452"/>
      <c r="M3111" s="40"/>
      <c r="N3111" s="451"/>
      <c r="O3111" s="559">
        <f>TrialBalanceA!I48</f>
        <v>0</v>
      </c>
      <c r="P3111" s="459"/>
      <c r="Q3111" s="469"/>
      <c r="R3111" s="512" t="str">
        <f t="shared" si="199"/>
        <v>DELETE</v>
      </c>
      <c r="T3111" s="521"/>
    </row>
    <row r="3112" spans="2:24" ht="31.5" customHeight="1" x14ac:dyDescent="0.45">
      <c r="B3112" s="468"/>
      <c r="C3112" s="450"/>
      <c r="D3112" s="449" t="s">
        <v>74</v>
      </c>
      <c r="J3112" s="451"/>
      <c r="K3112" s="451"/>
      <c r="L3112" s="452"/>
      <c r="M3112" s="40"/>
      <c r="N3112" s="451"/>
      <c r="O3112" s="559">
        <f>TrialBalanceA!I49</f>
        <v>0</v>
      </c>
      <c r="P3112" s="459"/>
      <c r="Q3112" s="469"/>
      <c r="R3112" s="512" t="str">
        <f t="shared" si="199"/>
        <v>DELETE</v>
      </c>
      <c r="T3112" s="521"/>
    </row>
    <row r="3113" spans="2:24" ht="31.5" customHeight="1" x14ac:dyDescent="0.45">
      <c r="B3113" s="468"/>
      <c r="C3113" s="450"/>
      <c r="D3113" s="449" t="s">
        <v>338</v>
      </c>
      <c r="J3113" s="451"/>
      <c r="K3113" s="451"/>
      <c r="L3113" s="452"/>
      <c r="M3113" s="40"/>
      <c r="N3113" s="451"/>
      <c r="O3113" s="559">
        <f>TrialBalanceA!I50</f>
        <v>0</v>
      </c>
      <c r="P3113" s="459"/>
      <c r="Q3113" s="469"/>
      <c r="R3113" s="512" t="str">
        <f t="shared" si="199"/>
        <v>DELETE</v>
      </c>
      <c r="T3113" s="521"/>
    </row>
    <row r="3114" spans="2:24" ht="31.5" customHeight="1" x14ac:dyDescent="0.45">
      <c r="B3114" s="468"/>
      <c r="C3114" s="450"/>
      <c r="D3114" s="449" t="s">
        <v>632</v>
      </c>
      <c r="J3114" s="451"/>
      <c r="K3114" s="451"/>
      <c r="L3114" s="452"/>
      <c r="M3114" s="40"/>
      <c r="N3114" s="451"/>
      <c r="O3114" s="559">
        <f>SUM(TrialBalanceA!I51:I52)</f>
        <v>0</v>
      </c>
      <c r="P3114" s="459"/>
      <c r="Q3114" s="469"/>
      <c r="R3114" s="512" t="str">
        <f t="shared" si="199"/>
        <v>DELETE</v>
      </c>
      <c r="T3114" s="521"/>
    </row>
    <row r="3115" spans="2:24" ht="31.5" customHeight="1" x14ac:dyDescent="0.45">
      <c r="B3115" s="468"/>
      <c r="C3115" s="450"/>
      <c r="D3115" s="449" t="s">
        <v>630</v>
      </c>
      <c r="J3115" s="451"/>
      <c r="K3115" s="451"/>
      <c r="L3115" s="452"/>
      <c r="M3115" s="40"/>
      <c r="N3115" s="451"/>
      <c r="O3115" s="559">
        <f>TrialBalanceA!I53</f>
        <v>0</v>
      </c>
      <c r="P3115" s="459"/>
      <c r="Q3115" s="469"/>
      <c r="R3115" s="512" t="str">
        <f t="shared" si="199"/>
        <v>DELETE</v>
      </c>
      <c r="T3115" s="521"/>
    </row>
    <row r="3116" spans="2:24" ht="31.5" customHeight="1" x14ac:dyDescent="0.45">
      <c r="B3116" s="468"/>
      <c r="C3116" s="450"/>
      <c r="D3116" s="449" t="s">
        <v>611</v>
      </c>
      <c r="J3116" s="451"/>
      <c r="K3116" s="451"/>
      <c r="L3116" s="452"/>
      <c r="M3116" s="40"/>
      <c r="N3116" s="451"/>
      <c r="O3116" s="559">
        <f>SUM(TrialBalanceA!I55:I59)</f>
        <v>0</v>
      </c>
      <c r="P3116" s="459"/>
      <c r="Q3116" s="469"/>
      <c r="R3116" s="512" t="str">
        <f t="shared" si="199"/>
        <v>DELETE</v>
      </c>
      <c r="T3116" s="521"/>
    </row>
    <row r="3117" spans="2:24" ht="31.5" customHeight="1" x14ac:dyDescent="0.45">
      <c r="B3117" s="468"/>
      <c r="C3117" s="450"/>
      <c r="D3117" s="449" t="s">
        <v>590</v>
      </c>
      <c r="J3117" s="451"/>
      <c r="K3117" s="451">
        <f>FS!C$1171</f>
        <v>5.1999999999999993</v>
      </c>
      <c r="L3117" s="452"/>
      <c r="M3117" s="40"/>
      <c r="N3117" s="451"/>
      <c r="O3117" s="559">
        <f>SUM(TrialBalanceA!I61:I63)</f>
        <v>0</v>
      </c>
      <c r="P3117" s="459"/>
      <c r="Q3117" s="469"/>
      <c r="R3117" s="512" t="str">
        <f t="shared" si="199"/>
        <v>DELETE</v>
      </c>
      <c r="T3117" s="521"/>
    </row>
    <row r="3118" spans="2:24" ht="31.5" customHeight="1" x14ac:dyDescent="0.45">
      <c r="B3118" s="468"/>
      <c r="C3118" s="450"/>
      <c r="D3118" s="449" t="s">
        <v>82</v>
      </c>
      <c r="J3118" s="451"/>
      <c r="K3118" s="451"/>
      <c r="L3118" s="452"/>
      <c r="M3118" s="40"/>
      <c r="N3118" s="451"/>
      <c r="O3118" s="559">
        <f>TrialBalanceA!I64</f>
        <v>0</v>
      </c>
      <c r="P3118" s="459"/>
      <c r="Q3118" s="469"/>
      <c r="R3118" s="512" t="str">
        <f t="shared" si="199"/>
        <v>DELETE</v>
      </c>
      <c r="T3118" s="521"/>
    </row>
    <row r="3119" spans="2:24" ht="31.5" customHeight="1" x14ac:dyDescent="0.45">
      <c r="B3119" s="468"/>
      <c r="C3119" s="450"/>
      <c r="D3119" s="449" t="s">
        <v>309</v>
      </c>
      <c r="J3119" s="451"/>
      <c r="K3119" s="451"/>
      <c r="L3119" s="452"/>
      <c r="M3119" s="40"/>
      <c r="N3119" s="451"/>
      <c r="O3119" s="559">
        <f>SUM(TrialBalanceA!I65:I67)</f>
        <v>0</v>
      </c>
      <c r="P3119" s="459"/>
      <c r="Q3119" s="469"/>
      <c r="R3119" s="512" t="str">
        <f t="shared" si="199"/>
        <v>DELETE</v>
      </c>
      <c r="T3119" s="521"/>
    </row>
    <row r="3120" spans="2:24" ht="31.5" customHeight="1" x14ac:dyDescent="0.45">
      <c r="B3120" s="468"/>
      <c r="C3120" s="450"/>
      <c r="D3120" s="449" t="s">
        <v>934</v>
      </c>
      <c r="J3120" s="451"/>
      <c r="K3120" s="451"/>
      <c r="L3120" s="452"/>
      <c r="M3120" s="40"/>
      <c r="N3120" s="451"/>
      <c r="O3120" s="559">
        <f>SUM(TrialBalanceA!I68:I69)</f>
        <v>0</v>
      </c>
      <c r="P3120" s="459"/>
      <c r="Q3120" s="469"/>
      <c r="R3120" s="512" t="str">
        <f t="shared" si="199"/>
        <v>DELETE</v>
      </c>
      <c r="T3120" s="521"/>
    </row>
    <row r="3121" spans="2:20" ht="31.5" customHeight="1" x14ac:dyDescent="0.45">
      <c r="B3121" s="468"/>
      <c r="C3121" s="450"/>
      <c r="D3121" s="449" t="s">
        <v>310</v>
      </c>
      <c r="J3121" s="451"/>
      <c r="K3121" s="451"/>
      <c r="L3121" s="452"/>
      <c r="M3121" s="40"/>
      <c r="N3121" s="451"/>
      <c r="O3121" s="559">
        <f>TrialBalanceA!I70</f>
        <v>0</v>
      </c>
      <c r="P3121" s="459"/>
      <c r="Q3121" s="469"/>
      <c r="R3121" s="512" t="str">
        <f t="shared" si="199"/>
        <v>DELETE</v>
      </c>
      <c r="T3121" s="521"/>
    </row>
    <row r="3122" spans="2:20" ht="31.5" customHeight="1" x14ac:dyDescent="0.45">
      <c r="B3122" s="468"/>
      <c r="C3122" s="450"/>
      <c r="D3122" s="449" t="s">
        <v>461</v>
      </c>
      <c r="J3122" s="451"/>
      <c r="K3122" s="451"/>
      <c r="L3122" s="452"/>
      <c r="M3122" s="40"/>
      <c r="N3122" s="451"/>
      <c r="O3122" s="559">
        <f>TrialBalanceA!I71</f>
        <v>0</v>
      </c>
      <c r="P3122" s="459"/>
      <c r="Q3122" s="469"/>
      <c r="R3122" s="512" t="str">
        <f t="shared" si="199"/>
        <v>DELETE</v>
      </c>
      <c r="T3122" s="521"/>
    </row>
    <row r="3123" spans="2:20" ht="31.5" customHeight="1" x14ac:dyDescent="0.45">
      <c r="B3123" s="468"/>
      <c r="C3123" s="450"/>
      <c r="D3123" s="449">
        <f>TrialBalanceA!C72</f>
        <v>0</v>
      </c>
      <c r="J3123" s="451"/>
      <c r="K3123" s="451"/>
      <c r="L3123" s="452"/>
      <c r="M3123" s="40"/>
      <c r="N3123" s="451"/>
      <c r="O3123" s="559">
        <f>TrialBalanceA!I72</f>
        <v>0</v>
      </c>
      <c r="P3123" s="459"/>
      <c r="Q3123" s="469"/>
      <c r="R3123" s="512" t="str">
        <f t="shared" si="199"/>
        <v>DELETE</v>
      </c>
      <c r="T3123" s="521"/>
    </row>
    <row r="3124" spans="2:20" ht="31.5" customHeight="1" x14ac:dyDescent="0.45">
      <c r="B3124" s="468"/>
      <c r="C3124" s="450"/>
      <c r="D3124" s="449">
        <f>TrialBalanceA!C73</f>
        <v>0</v>
      </c>
      <c r="J3124" s="451"/>
      <c r="K3124" s="451"/>
      <c r="L3124" s="452"/>
      <c r="M3124" s="40"/>
      <c r="N3124" s="451"/>
      <c r="O3124" s="559">
        <f>TrialBalanceA!I73</f>
        <v>0</v>
      </c>
      <c r="P3124" s="459"/>
      <c r="Q3124" s="469"/>
      <c r="R3124" s="512" t="str">
        <f t="shared" si="199"/>
        <v>DELETE</v>
      </c>
      <c r="T3124" s="521"/>
    </row>
    <row r="3125" spans="2:20" ht="31.5" customHeight="1" x14ac:dyDescent="0.45">
      <c r="B3125" s="468"/>
      <c r="C3125" s="450"/>
      <c r="D3125" s="449">
        <f>TrialBalanceA!C74</f>
        <v>0</v>
      </c>
      <c r="J3125" s="451"/>
      <c r="K3125" s="451"/>
      <c r="L3125" s="452"/>
      <c r="M3125" s="40"/>
      <c r="N3125" s="451"/>
      <c r="O3125" s="559">
        <f>TrialBalanceA!I74</f>
        <v>0</v>
      </c>
      <c r="P3125" s="459"/>
      <c r="Q3125" s="469"/>
      <c r="R3125" s="512" t="str">
        <f t="shared" si="199"/>
        <v>DELETE</v>
      </c>
      <c r="T3125" s="521"/>
    </row>
    <row r="3126" spans="2:20" ht="31.5" customHeight="1" x14ac:dyDescent="0.45">
      <c r="B3126" s="468"/>
      <c r="C3126" s="450"/>
      <c r="D3126" s="449">
        <f>TrialBalanceA!C75</f>
        <v>0</v>
      </c>
      <c r="J3126" s="451"/>
      <c r="K3126" s="451"/>
      <c r="L3126" s="452"/>
      <c r="M3126" s="40"/>
      <c r="N3126" s="451"/>
      <c r="O3126" s="559">
        <f>TrialBalanceA!I75</f>
        <v>0</v>
      </c>
      <c r="P3126" s="459"/>
      <c r="Q3126" s="469"/>
      <c r="R3126" s="512" t="str">
        <f t="shared" si="199"/>
        <v>DELETE</v>
      </c>
      <c r="T3126" s="521"/>
    </row>
    <row r="3127" spans="2:20" ht="31.5" customHeight="1" x14ac:dyDescent="0.45">
      <c r="B3127" s="468"/>
      <c r="C3127" s="450"/>
      <c r="D3127" s="449">
        <f>TrialBalanceA!C76</f>
        <v>0</v>
      </c>
      <c r="J3127" s="451"/>
      <c r="K3127" s="451"/>
      <c r="L3127" s="452"/>
      <c r="M3127" s="40"/>
      <c r="N3127" s="451"/>
      <c r="O3127" s="559">
        <f>TrialBalanceA!I76</f>
        <v>0</v>
      </c>
      <c r="P3127" s="459"/>
      <c r="Q3127" s="469"/>
      <c r="R3127" s="512" t="str">
        <f t="shared" si="199"/>
        <v>DELETE</v>
      </c>
      <c r="T3127" s="521"/>
    </row>
    <row r="3128" spans="2:20" ht="31.5" customHeight="1" x14ac:dyDescent="0.45">
      <c r="B3128" s="468"/>
      <c r="C3128" s="450"/>
      <c r="D3128" s="449">
        <f>TrialBalanceA!C77</f>
        <v>0</v>
      </c>
      <c r="J3128" s="451"/>
      <c r="K3128" s="451"/>
      <c r="L3128" s="452"/>
      <c r="M3128" s="40"/>
      <c r="N3128" s="451"/>
      <c r="O3128" s="559">
        <f>TrialBalanceA!I77</f>
        <v>0</v>
      </c>
      <c r="P3128" s="459"/>
      <c r="Q3128" s="469"/>
      <c r="R3128" s="512" t="str">
        <f t="shared" si="199"/>
        <v>DELETE</v>
      </c>
      <c r="T3128" s="521"/>
    </row>
    <row r="3129" spans="2:20" ht="31.5" customHeight="1" x14ac:dyDescent="0.45">
      <c r="B3129" s="468"/>
      <c r="C3129" s="450"/>
      <c r="D3129" s="449">
        <f>TrialBalanceA!C78</f>
        <v>0</v>
      </c>
      <c r="J3129" s="451"/>
      <c r="K3129" s="451"/>
      <c r="L3129" s="452"/>
      <c r="M3129" s="40"/>
      <c r="N3129" s="451"/>
      <c r="O3129" s="559">
        <f>TrialBalanceA!I78</f>
        <v>0</v>
      </c>
      <c r="P3129" s="459"/>
      <c r="Q3129" s="469"/>
      <c r="R3129" s="512" t="str">
        <f t="shared" si="199"/>
        <v>DELETE</v>
      </c>
      <c r="T3129" s="521"/>
    </row>
    <row r="3130" spans="2:20" ht="31.5" customHeight="1" x14ac:dyDescent="0.45">
      <c r="B3130" s="468"/>
      <c r="C3130" s="450"/>
      <c r="D3130" s="449">
        <f>TrialBalanceA!C79</f>
        <v>0</v>
      </c>
      <c r="J3130" s="451"/>
      <c r="K3130" s="451"/>
      <c r="L3130" s="452"/>
      <c r="M3130" s="40"/>
      <c r="N3130" s="451"/>
      <c r="O3130" s="559">
        <f>TrialBalanceA!I79</f>
        <v>0</v>
      </c>
      <c r="P3130" s="459"/>
      <c r="Q3130" s="469"/>
      <c r="R3130" s="512" t="str">
        <f t="shared" si="199"/>
        <v>DELETE</v>
      </c>
      <c r="T3130" s="521"/>
    </row>
    <row r="3131" spans="2:20" ht="31.5" customHeight="1" x14ac:dyDescent="0.45">
      <c r="B3131" s="468"/>
      <c r="C3131" s="450"/>
      <c r="D3131" s="449">
        <f>TrialBalanceA!C80</f>
        <v>0</v>
      </c>
      <c r="J3131" s="451"/>
      <c r="K3131" s="451"/>
      <c r="L3131" s="452"/>
      <c r="M3131" s="40"/>
      <c r="N3131" s="451"/>
      <c r="O3131" s="559">
        <f>TrialBalanceA!I80</f>
        <v>0</v>
      </c>
      <c r="P3131" s="459"/>
      <c r="Q3131" s="469"/>
      <c r="R3131" s="512" t="str">
        <f t="shared" si="199"/>
        <v>DELETE</v>
      </c>
      <c r="T3131" s="521"/>
    </row>
    <row r="3132" spans="2:20" ht="31.5" customHeight="1" x14ac:dyDescent="0.45">
      <c r="B3132" s="468"/>
      <c r="C3132" s="450"/>
      <c r="D3132" s="449">
        <f>TrialBalanceA!C81</f>
        <v>0</v>
      </c>
      <c r="J3132" s="451"/>
      <c r="K3132" s="451"/>
      <c r="L3132" s="452"/>
      <c r="M3132" s="40"/>
      <c r="N3132" s="451"/>
      <c r="O3132" s="559">
        <f>TrialBalanceA!I81</f>
        <v>0</v>
      </c>
      <c r="P3132" s="459"/>
      <c r="Q3132" s="469"/>
      <c r="R3132" s="512" t="str">
        <f t="shared" si="199"/>
        <v>DELETE</v>
      </c>
      <c r="T3132" s="521"/>
    </row>
    <row r="3133" spans="2:20" ht="9" customHeight="1" x14ac:dyDescent="0.45">
      <c r="B3133" s="468"/>
      <c r="C3133" s="450"/>
      <c r="J3133" s="451"/>
      <c r="K3133" s="451"/>
      <c r="L3133" s="452"/>
      <c r="M3133" s="40"/>
      <c r="N3133" s="451"/>
      <c r="O3133" s="560"/>
      <c r="P3133" s="459"/>
      <c r="Q3133" s="469"/>
      <c r="R3133" s="512" t="str">
        <f>R3103</f>
        <v>DELETE</v>
      </c>
      <c r="T3133" s="521"/>
    </row>
    <row r="3134" spans="2:20" ht="9" customHeight="1" x14ac:dyDescent="0.45">
      <c r="B3134" s="468"/>
      <c r="C3134" s="450"/>
      <c r="J3134" s="451"/>
      <c r="K3134" s="451"/>
      <c r="L3134" s="452"/>
      <c r="M3134" s="40"/>
      <c r="N3134" s="451"/>
      <c r="O3134" s="535"/>
      <c r="P3134" s="459"/>
      <c r="Q3134" s="469"/>
      <c r="R3134" s="512" t="str">
        <f t="shared" ref="R3134:R3154" si="200">R$3057</f>
        <v>DELETE</v>
      </c>
      <c r="T3134" s="521"/>
    </row>
    <row r="3135" spans="2:20" ht="9" customHeight="1" x14ac:dyDescent="0.45">
      <c r="B3135" s="468"/>
      <c r="C3135" s="450"/>
      <c r="J3135" s="451"/>
      <c r="K3135" s="451"/>
      <c r="L3135" s="452"/>
      <c r="M3135" s="40"/>
      <c r="N3135" s="451"/>
      <c r="O3135" s="531"/>
      <c r="P3135" s="459"/>
      <c r="Q3135" s="469"/>
      <c r="R3135" s="512" t="str">
        <f t="shared" si="200"/>
        <v>DELETE</v>
      </c>
      <c r="T3135" s="521"/>
    </row>
    <row r="3136" spans="2:20" ht="27.75" customHeight="1" x14ac:dyDescent="0.45">
      <c r="B3136" s="468"/>
      <c r="C3136" s="492" t="str">
        <f>IF(O3136&lt;0,"OPERATING LOSS","OPERATING PROFIT")</f>
        <v>OPERATING PROFIT</v>
      </c>
      <c r="J3136" s="451"/>
      <c r="K3136" s="451"/>
      <c r="L3136" s="452"/>
      <c r="M3136" s="40"/>
      <c r="N3136" s="451"/>
      <c r="O3136" s="531">
        <f>SUM(S3069:S3134)</f>
        <v>0</v>
      </c>
      <c r="P3136" s="459"/>
      <c r="Q3136" s="469"/>
      <c r="R3136" s="512" t="str">
        <f t="shared" si="200"/>
        <v>DELETE</v>
      </c>
      <c r="T3136" s="521"/>
    </row>
    <row r="3137" spans="2:22" ht="31.5" customHeight="1" x14ac:dyDescent="0.45">
      <c r="B3137" s="468"/>
      <c r="C3137" s="450"/>
      <c r="D3137" s="449" t="s">
        <v>312</v>
      </c>
      <c r="J3137" s="451"/>
      <c r="K3137" s="451"/>
      <c r="L3137" s="452"/>
      <c r="M3137" s="40"/>
      <c r="N3137" s="451"/>
      <c r="O3137" s="531"/>
      <c r="P3137" s="459"/>
      <c r="Q3137" s="469"/>
      <c r="R3137" s="512" t="str">
        <f t="shared" si="200"/>
        <v>DELETE</v>
      </c>
      <c r="T3137" s="521"/>
    </row>
    <row r="3138" spans="2:22" ht="31.5" customHeight="1" x14ac:dyDescent="0.45">
      <c r="B3138" s="468"/>
      <c r="C3138" s="450"/>
      <c r="J3138" s="451"/>
      <c r="K3138" s="451"/>
      <c r="L3138" s="452"/>
      <c r="M3138" s="40"/>
      <c r="N3138" s="451"/>
      <c r="O3138" s="531"/>
      <c r="P3138" s="459"/>
      <c r="Q3138" s="469"/>
      <c r="R3138" s="512" t="str">
        <f t="shared" si="200"/>
        <v>DELETE</v>
      </c>
      <c r="T3138" s="521"/>
    </row>
    <row r="3139" spans="2:22" ht="31.5" customHeight="1" x14ac:dyDescent="0.45">
      <c r="B3139" s="468"/>
      <c r="C3139" s="450"/>
      <c r="J3139" s="451"/>
      <c r="K3139" s="451"/>
      <c r="L3139" s="452"/>
      <c r="M3139" s="40"/>
      <c r="N3139" s="451"/>
      <c r="O3139" s="531"/>
      <c r="P3139" s="459"/>
      <c r="Q3139" s="469"/>
      <c r="R3139" s="512" t="str">
        <f t="shared" si="200"/>
        <v>DELETE</v>
      </c>
      <c r="T3139" s="521"/>
    </row>
    <row r="3140" spans="2:22" ht="31.5" customHeight="1" x14ac:dyDescent="0.45">
      <c r="B3140" s="477"/>
      <c r="C3140" s="502"/>
      <c r="D3140" s="461"/>
      <c r="E3140" s="461"/>
      <c r="F3140" s="461"/>
      <c r="G3140" s="461"/>
      <c r="H3140" s="461"/>
      <c r="I3140" s="461"/>
      <c r="J3140" s="483"/>
      <c r="K3140" s="483"/>
      <c r="L3140" s="483"/>
      <c r="M3140" s="535"/>
      <c r="N3140" s="473"/>
      <c r="O3140" s="535"/>
      <c r="P3140" s="484"/>
      <c r="Q3140" s="479"/>
      <c r="R3140" s="512" t="str">
        <f t="shared" si="200"/>
        <v>DELETE</v>
      </c>
      <c r="T3140" s="521"/>
    </row>
    <row r="3141" spans="2:22" ht="31.5" customHeight="1" x14ac:dyDescent="0.45">
      <c r="C3141" s="450"/>
      <c r="J3141" s="451"/>
      <c r="K3141" s="451"/>
      <c r="L3141" s="451"/>
      <c r="M3141" s="531"/>
      <c r="N3141" s="470"/>
      <c r="O3141" s="531"/>
      <c r="P3141" s="459"/>
      <c r="R3141" s="512" t="str">
        <f t="shared" si="200"/>
        <v>DELETE</v>
      </c>
      <c r="T3141" s="521"/>
    </row>
    <row r="3142" spans="2:22" ht="31.5" customHeight="1" x14ac:dyDescent="0.45">
      <c r="C3142" s="450"/>
      <c r="J3142" s="451"/>
      <c r="K3142" s="451"/>
      <c r="L3142" s="451"/>
      <c r="M3142" s="531"/>
      <c r="N3142" s="470"/>
      <c r="O3142" s="531"/>
      <c r="P3142" s="459"/>
      <c r="R3142" s="512" t="str">
        <f t="shared" si="200"/>
        <v>DELETE</v>
      </c>
      <c r="T3142" s="521"/>
    </row>
    <row r="3143" spans="2:22" ht="31.5" customHeight="1" x14ac:dyDescent="0.45">
      <c r="C3143" s="450"/>
      <c r="D3143" s="450" t="str">
        <f>Criteria!E9</f>
        <v>ABC COMPANY (PROPRIETARY) LIMITED</v>
      </c>
      <c r="J3143" s="451"/>
      <c r="K3143" s="451"/>
      <c r="L3143" s="451"/>
      <c r="M3143" s="531"/>
      <c r="N3143" s="470"/>
      <c r="O3143" s="531" t="s">
        <v>121</v>
      </c>
      <c r="P3143" s="459"/>
      <c r="Q3143" s="451">
        <f>MAX($Q$3060:Q3142)+1</f>
        <v>2</v>
      </c>
      <c r="R3143" s="512" t="str">
        <f t="shared" si="200"/>
        <v>DELETE</v>
      </c>
      <c r="T3143" s="521"/>
    </row>
    <row r="3144" spans="2:22" ht="31.5" customHeight="1" x14ac:dyDescent="0.45">
      <c r="C3144" s="450"/>
      <c r="D3144" s="450" t="str">
        <f>CONCATENATE("T/A ",Criteria!E14)</f>
        <v>T/A SEAFRONT RESTAURANT</v>
      </c>
      <c r="J3144" s="451"/>
      <c r="K3144" s="451"/>
      <c r="L3144" s="451"/>
      <c r="M3144" s="531"/>
      <c r="N3144" s="470"/>
      <c r="O3144" s="531"/>
      <c r="P3144" s="459"/>
      <c r="R3144" s="512" t="str">
        <f t="shared" si="200"/>
        <v>DELETE</v>
      </c>
      <c r="T3144" s="521"/>
    </row>
    <row r="3145" spans="2:22" ht="31.5" customHeight="1" x14ac:dyDescent="0.45">
      <c r="C3145" s="450"/>
      <c r="J3145" s="451"/>
      <c r="K3145" s="451"/>
      <c r="L3145" s="451"/>
      <c r="M3145" s="531"/>
      <c r="N3145" s="470"/>
      <c r="O3145" s="531"/>
      <c r="P3145" s="459"/>
      <c r="R3145" s="512" t="str">
        <f t="shared" si="200"/>
        <v>DELETE</v>
      </c>
      <c r="T3145" s="521"/>
    </row>
    <row r="3146" spans="2:22" ht="31.5" customHeight="1" x14ac:dyDescent="0.45">
      <c r="C3146" s="450"/>
      <c r="D3146" s="450" t="s">
        <v>115</v>
      </c>
      <c r="J3146" s="451"/>
      <c r="K3146" s="451"/>
      <c r="L3146" s="451"/>
      <c r="M3146" s="531"/>
      <c r="N3146" s="470"/>
      <c r="O3146" s="531"/>
      <c r="P3146" s="459"/>
      <c r="R3146" s="512" t="str">
        <f t="shared" si="200"/>
        <v>DELETE</v>
      </c>
      <c r="T3146" s="521"/>
    </row>
    <row r="3147" spans="2:22" ht="31.5" customHeight="1" x14ac:dyDescent="0.45">
      <c r="C3147" s="450"/>
      <c r="D3147" s="450" t="str">
        <f>D3064</f>
        <v>29 FEBRUARY 2024</v>
      </c>
      <c r="H3147" s="449" t="s">
        <v>127</v>
      </c>
      <c r="J3147" s="451"/>
      <c r="K3147" s="451"/>
      <c r="L3147" s="451"/>
      <c r="M3147" s="531"/>
      <c r="N3147" s="470"/>
      <c r="O3147" s="531"/>
      <c r="P3147" s="459"/>
      <c r="R3147" s="512" t="str">
        <f t="shared" si="200"/>
        <v>DELETE</v>
      </c>
      <c r="T3147" s="521"/>
    </row>
    <row r="3148" spans="2:22" ht="31.5" customHeight="1" x14ac:dyDescent="0.45">
      <c r="C3148" s="450"/>
      <c r="J3148" s="451"/>
      <c r="K3148" s="483"/>
      <c r="L3148" s="483"/>
      <c r="M3148" s="535"/>
      <c r="N3148" s="473"/>
      <c r="O3148" s="535"/>
      <c r="P3148" s="459"/>
      <c r="R3148" s="512" t="str">
        <f t="shared" si="200"/>
        <v>DELETE</v>
      </c>
      <c r="T3148" s="521"/>
    </row>
    <row r="3149" spans="2:22" ht="31.5" customHeight="1" x14ac:dyDescent="0.45">
      <c r="B3149" s="465"/>
      <c r="C3149" s="503"/>
      <c r="D3149" s="466"/>
      <c r="E3149" s="466"/>
      <c r="F3149" s="466"/>
      <c r="G3149" s="466"/>
      <c r="H3149" s="466"/>
      <c r="I3149" s="466"/>
      <c r="J3149" s="511"/>
      <c r="M3149" s="635"/>
      <c r="N3149" s="621"/>
      <c r="O3149" s="635"/>
      <c r="P3149" s="506"/>
      <c r="Q3149" s="467"/>
      <c r="R3149" s="512" t="str">
        <f t="shared" si="200"/>
        <v>DELETE</v>
      </c>
      <c r="T3149" s="521"/>
    </row>
    <row r="3150" spans="2:22" ht="31.5" customHeight="1" x14ac:dyDescent="0.45">
      <c r="B3150" s="468"/>
      <c r="C3150" s="450"/>
      <c r="J3150" s="451"/>
      <c r="K3150" s="451"/>
      <c r="L3150" s="451"/>
      <c r="M3150" s="40"/>
      <c r="N3150" s="458"/>
      <c r="O3150" s="525">
        <f>Criteria!E22</f>
        <v>2024</v>
      </c>
      <c r="P3150" s="459"/>
      <c r="Q3150" s="469"/>
      <c r="R3150" s="512" t="str">
        <f t="shared" si="200"/>
        <v>DELETE</v>
      </c>
      <c r="T3150" s="521"/>
    </row>
    <row r="3151" spans="2:22" ht="31.5" customHeight="1" x14ac:dyDescent="0.45">
      <c r="B3151" s="468"/>
      <c r="C3151" s="450"/>
      <c r="J3151" s="451"/>
      <c r="K3151" s="451"/>
      <c r="L3151" s="451"/>
      <c r="M3151" s="531"/>
      <c r="N3151" s="470"/>
      <c r="O3151" s="531"/>
      <c r="P3151" s="459"/>
      <c r="Q3151" s="469"/>
      <c r="R3151" s="512" t="str">
        <f t="shared" si="200"/>
        <v>DELETE</v>
      </c>
      <c r="T3151" s="521"/>
    </row>
    <row r="3152" spans="2:22" ht="31.5" customHeight="1" x14ac:dyDescent="0.45">
      <c r="B3152" s="468"/>
      <c r="C3152" s="492" t="str">
        <f>IF(O3152&lt;0,"OPERATING LOSS","OPERATING PROFIT")</f>
        <v>OPERATING PROFIT</v>
      </c>
      <c r="J3152" s="451"/>
      <c r="K3152" s="451"/>
      <c r="L3152" s="452"/>
      <c r="M3152" s="40"/>
      <c r="N3152" s="451"/>
      <c r="O3152" s="531">
        <f>SUM(S3069:S3133)</f>
        <v>0</v>
      </c>
      <c r="P3152" s="459"/>
      <c r="Q3152" s="469"/>
      <c r="R3152" s="512" t="str">
        <f t="shared" si="200"/>
        <v>DELETE</v>
      </c>
      <c r="T3152" s="521"/>
      <c r="V3152" s="513" t="b">
        <f>O3152=O3136</f>
        <v>1</v>
      </c>
    </row>
    <row r="3153" spans="2:24" ht="31.5" customHeight="1" x14ac:dyDescent="0.45">
      <c r="B3153" s="468"/>
      <c r="C3153" s="450"/>
      <c r="D3153" s="449" t="s">
        <v>313</v>
      </c>
      <c r="J3153" s="451"/>
      <c r="K3153" s="451"/>
      <c r="L3153" s="452"/>
      <c r="M3153" s="40"/>
      <c r="N3153" s="451"/>
      <c r="O3153" s="531"/>
      <c r="P3153" s="459"/>
      <c r="Q3153" s="469"/>
      <c r="R3153" s="512" t="str">
        <f t="shared" si="200"/>
        <v>DELETE</v>
      </c>
      <c r="T3153" s="521"/>
    </row>
    <row r="3154" spans="2:24" ht="31.5" customHeight="1" x14ac:dyDescent="0.45">
      <c r="B3154" s="468"/>
      <c r="C3154" s="450"/>
      <c r="J3154" s="451"/>
      <c r="K3154" s="451"/>
      <c r="L3154" s="452"/>
      <c r="M3154" s="40"/>
      <c r="N3154" s="451"/>
      <c r="O3154" s="531"/>
      <c r="P3154" s="459"/>
      <c r="Q3154" s="469"/>
      <c r="R3154" s="512" t="str">
        <f t="shared" si="200"/>
        <v>DELETE</v>
      </c>
      <c r="T3154" s="521"/>
    </row>
    <row r="3155" spans="2:24" ht="31.5" customHeight="1" x14ac:dyDescent="0.45">
      <c r="B3155" s="468"/>
      <c r="C3155" s="450" t="s">
        <v>1307</v>
      </c>
      <c r="J3155" s="451"/>
      <c r="K3155" s="451"/>
      <c r="L3155" s="452"/>
      <c r="M3155" s="40"/>
      <c r="N3155" s="451"/>
      <c r="O3155" s="531">
        <f>SUM(O3158:O3191)</f>
        <v>0</v>
      </c>
      <c r="P3155" s="459"/>
      <c r="Q3155" s="469"/>
      <c r="R3155" s="512" t="str">
        <f t="shared" ref="R3155" si="201">IF(R$3057="DELETE","DELETE",IF(O3155=0,"DELETE"," "))</f>
        <v>DELETE</v>
      </c>
      <c r="S3155" s="517">
        <f>-O3155</f>
        <v>0</v>
      </c>
      <c r="T3155" s="521"/>
      <c r="U3155" s="517"/>
      <c r="V3155" s="517"/>
      <c r="W3155" s="517"/>
      <c r="X3155" s="517"/>
    </row>
    <row r="3156" spans="2:24" ht="9" customHeight="1" x14ac:dyDescent="0.45">
      <c r="B3156" s="468"/>
      <c r="C3156" s="450"/>
      <c r="J3156" s="451"/>
      <c r="K3156" s="451"/>
      <c r="L3156" s="452"/>
      <c r="M3156" s="40"/>
      <c r="N3156" s="451"/>
      <c r="O3156" s="531"/>
      <c r="P3156" s="459"/>
      <c r="Q3156" s="469"/>
      <c r="R3156" s="512" t="str">
        <f>R3155</f>
        <v>DELETE</v>
      </c>
      <c r="T3156" s="521"/>
    </row>
    <row r="3157" spans="2:24" ht="9" customHeight="1" x14ac:dyDescent="0.45">
      <c r="B3157" s="468"/>
      <c r="C3157" s="450"/>
      <c r="J3157" s="451"/>
      <c r="K3157" s="451"/>
      <c r="L3157" s="452"/>
      <c r="M3157" s="40"/>
      <c r="N3157" s="451"/>
      <c r="O3157" s="558"/>
      <c r="P3157" s="459"/>
      <c r="Q3157" s="469"/>
      <c r="R3157" s="512" t="str">
        <f>R3156</f>
        <v>DELETE</v>
      </c>
      <c r="T3157" s="521"/>
    </row>
    <row r="3158" spans="2:24" ht="31.5" customHeight="1" x14ac:dyDescent="0.45">
      <c r="B3158" s="468"/>
      <c r="C3158" s="450"/>
      <c r="D3158" s="449" t="s">
        <v>253</v>
      </c>
      <c r="J3158" s="451"/>
      <c r="K3158" s="451"/>
      <c r="L3158" s="452"/>
      <c r="M3158" s="40"/>
      <c r="N3158" s="451"/>
      <c r="O3158" s="559">
        <f>SUM(TrialBalanceA!I98:I101)</f>
        <v>0</v>
      </c>
      <c r="P3158" s="459"/>
      <c r="Q3158" s="469"/>
      <c r="R3158" s="512" t="str">
        <f t="shared" ref="R3158:R3189" si="202">IF(R$3057="DELETE","DELETE",IF(O3158=0,"DELETE"," "))</f>
        <v>DELETE</v>
      </c>
      <c r="T3158" s="521"/>
    </row>
    <row r="3159" spans="2:24" ht="31.5" customHeight="1" x14ac:dyDescent="0.45">
      <c r="B3159" s="468"/>
      <c r="C3159" s="450"/>
      <c r="D3159" s="449" t="s">
        <v>257</v>
      </c>
      <c r="J3159" s="451"/>
      <c r="K3159" s="451"/>
      <c r="L3159" s="452"/>
      <c r="M3159" s="40"/>
      <c r="N3159" s="451"/>
      <c r="O3159" s="559">
        <f>TrialBalanceA!I103</f>
        <v>0</v>
      </c>
      <c r="P3159" s="459"/>
      <c r="Q3159" s="469"/>
      <c r="R3159" s="512" t="str">
        <f>IF(R$3057="DELETE","DELETE",IF(O3159=0,"DELETE"," "))</f>
        <v>DELETE</v>
      </c>
      <c r="T3159" s="521"/>
    </row>
    <row r="3160" spans="2:24" ht="31.5" customHeight="1" x14ac:dyDescent="0.45">
      <c r="B3160" s="468"/>
      <c r="C3160" s="450"/>
      <c r="D3160" s="449" t="s">
        <v>255</v>
      </c>
      <c r="J3160" s="451"/>
      <c r="K3160" s="451"/>
      <c r="L3160" s="452"/>
      <c r="M3160" s="40"/>
      <c r="N3160" s="451"/>
      <c r="O3160" s="559">
        <f>TrialBalanceA!I102</f>
        <v>0</v>
      </c>
      <c r="P3160" s="459"/>
      <c r="Q3160" s="469"/>
      <c r="R3160" s="512" t="str">
        <f>IF(R$3057="DELETE","DELETE",IF(O3160=0,"DELETE"," "))</f>
        <v>DELETE</v>
      </c>
      <c r="T3160" s="521"/>
    </row>
    <row r="3161" spans="2:24" ht="31.5" customHeight="1" x14ac:dyDescent="0.45">
      <c r="B3161" s="468"/>
      <c r="C3161" s="450"/>
      <c r="D3161" s="449" t="s">
        <v>314</v>
      </c>
      <c r="J3161" s="451"/>
      <c r="K3161" s="451"/>
      <c r="L3161" s="452"/>
      <c r="M3161" s="40"/>
      <c r="N3161" s="451"/>
      <c r="O3161" s="559">
        <f>TrialBalanceA!I104</f>
        <v>0</v>
      </c>
      <c r="P3161" s="459"/>
      <c r="Q3161" s="469"/>
      <c r="R3161" s="512" t="str">
        <f t="shared" si="202"/>
        <v>DELETE</v>
      </c>
      <c r="T3161" s="521"/>
    </row>
    <row r="3162" spans="2:24" ht="31.5" customHeight="1" x14ac:dyDescent="0.45">
      <c r="B3162" s="468"/>
      <c r="C3162" s="450"/>
      <c r="D3162" s="449" t="s">
        <v>260</v>
      </c>
      <c r="J3162" s="451"/>
      <c r="K3162" s="451"/>
      <c r="L3162" s="452"/>
      <c r="M3162" s="40"/>
      <c r="N3162" s="451"/>
      <c r="O3162" s="559">
        <f>TrialBalanceA!I105</f>
        <v>0</v>
      </c>
      <c r="P3162" s="459"/>
      <c r="Q3162" s="469"/>
      <c r="R3162" s="512" t="str">
        <f t="shared" si="202"/>
        <v>DELETE</v>
      </c>
      <c r="T3162" s="521"/>
    </row>
    <row r="3163" spans="2:24" ht="31.5" customHeight="1" x14ac:dyDescent="0.45">
      <c r="B3163" s="468"/>
      <c r="C3163" s="450"/>
      <c r="D3163" s="449" t="s">
        <v>935</v>
      </c>
      <c r="J3163" s="451"/>
      <c r="K3163" s="451"/>
      <c r="L3163" s="452"/>
      <c r="M3163" s="40"/>
      <c r="N3163" s="451"/>
      <c r="O3163" s="559">
        <f>TrialBalanceA!I106</f>
        <v>0</v>
      </c>
      <c r="P3163" s="459"/>
      <c r="Q3163" s="469"/>
      <c r="R3163" s="512" t="str">
        <f t="shared" si="202"/>
        <v>DELETE</v>
      </c>
      <c r="T3163" s="521"/>
    </row>
    <row r="3164" spans="2:24" ht="31.5" customHeight="1" x14ac:dyDescent="0.45">
      <c r="B3164" s="468"/>
      <c r="C3164" s="450"/>
      <c r="D3164" s="449" t="s">
        <v>337</v>
      </c>
      <c r="J3164" s="451"/>
      <c r="K3164" s="451">
        <f>C$1203</f>
        <v>5.2999999999999989</v>
      </c>
      <c r="L3164" s="452"/>
      <c r="M3164" s="40"/>
      <c r="N3164" s="451"/>
      <c r="O3164" s="559">
        <f>SUM(TrialBalanceA!I108:I109)</f>
        <v>0</v>
      </c>
      <c r="P3164" s="459"/>
      <c r="Q3164" s="469"/>
      <c r="R3164" s="512" t="str">
        <f t="shared" si="202"/>
        <v>DELETE</v>
      </c>
      <c r="T3164" s="521"/>
    </row>
    <row r="3165" spans="2:24" ht="31.5" customHeight="1" x14ac:dyDescent="0.45">
      <c r="B3165" s="468"/>
      <c r="C3165" s="450"/>
      <c r="D3165" s="449" t="str">
        <f>IF(MAX(Criteria!I41:I45)&gt;1,"Directors' remuneration","Director's remuneration")</f>
        <v>Directors' remuneration</v>
      </c>
      <c r="J3165" s="451"/>
      <c r="K3165" s="451">
        <f>C$1144</f>
        <v>5.0999999999999996</v>
      </c>
      <c r="L3165" s="452"/>
      <c r="M3165" s="40"/>
      <c r="N3165" s="451"/>
      <c r="O3165" s="559">
        <f>SUM(TrialBalanceA!I111:I115)</f>
        <v>0</v>
      </c>
      <c r="P3165" s="459"/>
      <c r="Q3165" s="469"/>
      <c r="R3165" s="512" t="str">
        <f t="shared" si="202"/>
        <v>DELETE</v>
      </c>
      <c r="T3165" s="521"/>
    </row>
    <row r="3166" spans="2:24" ht="31.5" customHeight="1" x14ac:dyDescent="0.45">
      <c r="B3166" s="468"/>
      <c r="C3166" s="450"/>
      <c r="D3166" s="449" t="s">
        <v>315</v>
      </c>
      <c r="J3166" s="451"/>
      <c r="K3166" s="451"/>
      <c r="L3166" s="452"/>
      <c r="M3166" s="40"/>
      <c r="N3166" s="451"/>
      <c r="O3166" s="559">
        <f>TrialBalanceA!I116</f>
        <v>0</v>
      </c>
      <c r="P3166" s="459"/>
      <c r="Q3166" s="469"/>
      <c r="R3166" s="512" t="str">
        <f t="shared" si="202"/>
        <v>DELETE</v>
      </c>
      <c r="T3166" s="521"/>
    </row>
    <row r="3167" spans="2:24" ht="31.5" customHeight="1" x14ac:dyDescent="0.45">
      <c r="B3167" s="468"/>
      <c r="C3167" s="450"/>
      <c r="D3167" s="449" t="s">
        <v>443</v>
      </c>
      <c r="J3167" s="451"/>
      <c r="K3167" s="451"/>
      <c r="L3167" s="452"/>
      <c r="M3167" s="40"/>
      <c r="N3167" s="451"/>
      <c r="O3167" s="559">
        <f>TrialBalanceA!I117</f>
        <v>0</v>
      </c>
      <c r="P3167" s="459"/>
      <c r="Q3167" s="469"/>
      <c r="R3167" s="512" t="str">
        <f t="shared" si="202"/>
        <v>DELETE</v>
      </c>
      <c r="T3167" s="521"/>
    </row>
    <row r="3168" spans="2:24" ht="31.5" customHeight="1" x14ac:dyDescent="0.45">
      <c r="B3168" s="468"/>
      <c r="C3168" s="450"/>
      <c r="D3168" s="449" t="s">
        <v>392</v>
      </c>
      <c r="J3168" s="451"/>
      <c r="K3168" s="451"/>
      <c r="L3168" s="452"/>
      <c r="M3168" s="40"/>
      <c r="N3168" s="451"/>
      <c r="O3168" s="559">
        <f>TrialBalanceA!I118</f>
        <v>0</v>
      </c>
      <c r="P3168" s="459"/>
      <c r="Q3168" s="469"/>
      <c r="R3168" s="512" t="str">
        <f t="shared" si="202"/>
        <v>DELETE</v>
      </c>
      <c r="T3168" s="521"/>
    </row>
    <row r="3169" spans="2:20" ht="31.5" customHeight="1" x14ac:dyDescent="0.45">
      <c r="B3169" s="468"/>
      <c r="C3169" s="450"/>
      <c r="D3169" s="449" t="s">
        <v>445</v>
      </c>
      <c r="J3169" s="451"/>
      <c r="K3169" s="451"/>
      <c r="L3169" s="452"/>
      <c r="M3169" s="40"/>
      <c r="N3169" s="451"/>
      <c r="O3169" s="559">
        <f>TrialBalanceA!I119</f>
        <v>0</v>
      </c>
      <c r="P3169" s="459"/>
      <c r="Q3169" s="469"/>
      <c r="R3169" s="512" t="str">
        <f t="shared" si="202"/>
        <v>DELETE</v>
      </c>
      <c r="T3169" s="521"/>
    </row>
    <row r="3170" spans="2:20" ht="31.5" customHeight="1" x14ac:dyDescent="0.45">
      <c r="B3170" s="468"/>
      <c r="C3170" s="450"/>
      <c r="D3170" s="449" t="s">
        <v>1486</v>
      </c>
      <c r="J3170" s="451"/>
      <c r="K3170" s="451"/>
      <c r="L3170" s="452"/>
      <c r="M3170" s="40"/>
      <c r="N3170" s="451"/>
      <c r="O3170" s="559">
        <f>TrialBalanceA!I154</f>
        <v>0</v>
      </c>
      <c r="P3170" s="459"/>
      <c r="Q3170" s="469"/>
      <c r="R3170" s="512" t="str">
        <f>IF(R$3057="DELETE","DELETE",IF(O3170=0,"DELETE"," "))</f>
        <v>DELETE</v>
      </c>
      <c r="T3170" s="521"/>
    </row>
    <row r="3171" spans="2:20" ht="31.5" customHeight="1" x14ac:dyDescent="0.45">
      <c r="B3171" s="468"/>
      <c r="C3171" s="450"/>
      <c r="D3171" s="449" t="s">
        <v>605</v>
      </c>
      <c r="J3171" s="451"/>
      <c r="K3171" s="451"/>
      <c r="L3171" s="452"/>
      <c r="M3171" s="40"/>
      <c r="N3171" s="451"/>
      <c r="O3171" s="559">
        <f>TrialBalanceA!I120+TrialBalanceA!I121</f>
        <v>0</v>
      </c>
      <c r="P3171" s="459"/>
      <c r="Q3171" s="469"/>
      <c r="R3171" s="512" t="str">
        <f t="shared" si="202"/>
        <v>DELETE</v>
      </c>
      <c r="T3171" s="521"/>
    </row>
    <row r="3172" spans="2:20" ht="31.5" customHeight="1" x14ac:dyDescent="0.45">
      <c r="B3172" s="468"/>
      <c r="C3172" s="450"/>
      <c r="D3172" s="449" t="s">
        <v>633</v>
      </c>
      <c r="J3172" s="451"/>
      <c r="K3172" s="451"/>
      <c r="L3172" s="452"/>
      <c r="M3172" s="40"/>
      <c r="N3172" s="451"/>
      <c r="O3172" s="559">
        <f>IF(TrialBalanceA!I93&gt;0,TrialBalanceA!I93,0)</f>
        <v>0</v>
      </c>
      <c r="P3172" s="459"/>
      <c r="Q3172" s="469"/>
      <c r="R3172" s="512" t="str">
        <f>IF(R$3057="DELETE","DELETE",IF(O3172=0,"DELETE"," "))</f>
        <v>DELETE</v>
      </c>
      <c r="T3172" s="521"/>
    </row>
    <row r="3173" spans="2:20" ht="31.5" customHeight="1" x14ac:dyDescent="0.45">
      <c r="B3173" s="468"/>
      <c r="C3173" s="450"/>
      <c r="D3173" s="449" t="s">
        <v>936</v>
      </c>
      <c r="J3173" s="451"/>
      <c r="K3173" s="451"/>
      <c r="L3173" s="452"/>
      <c r="M3173" s="40"/>
      <c r="N3173" s="451"/>
      <c r="O3173" s="559">
        <f>TrialBalanceA!I122</f>
        <v>0</v>
      </c>
      <c r="P3173" s="459"/>
      <c r="Q3173" s="469"/>
      <c r="R3173" s="512" t="str">
        <f>IF(R$3057="DELETE","DELETE",IF(O3173=0,"DELETE"," "))</f>
        <v>DELETE</v>
      </c>
      <c r="T3173" s="521"/>
    </row>
    <row r="3174" spans="2:20" ht="31.5" customHeight="1" x14ac:dyDescent="0.45">
      <c r="B3174" s="468"/>
      <c r="C3174" s="450"/>
      <c r="D3174" s="449" t="s">
        <v>316</v>
      </c>
      <c r="J3174" s="451"/>
      <c r="K3174" s="451"/>
      <c r="L3174" s="452"/>
      <c r="M3174" s="40"/>
      <c r="N3174" s="451"/>
      <c r="O3174" s="559">
        <f>TrialBalanceA!I123</f>
        <v>0</v>
      </c>
      <c r="P3174" s="459"/>
      <c r="Q3174" s="469"/>
      <c r="R3174" s="512" t="str">
        <f t="shared" si="202"/>
        <v>DELETE</v>
      </c>
      <c r="T3174" s="521"/>
    </row>
    <row r="3175" spans="2:20" ht="31.5" customHeight="1" x14ac:dyDescent="0.45">
      <c r="B3175" s="468"/>
      <c r="C3175" s="450"/>
      <c r="D3175" s="449" t="s">
        <v>1554</v>
      </c>
      <c r="J3175" s="451"/>
      <c r="K3175" s="451"/>
      <c r="L3175" s="452"/>
      <c r="M3175" s="40"/>
      <c r="N3175" s="451"/>
      <c r="O3175" s="559">
        <f>TrialBalanceA!I155</f>
        <v>0</v>
      </c>
      <c r="P3175" s="459"/>
      <c r="Q3175" s="469"/>
      <c r="R3175" s="512" t="str">
        <f t="shared" si="202"/>
        <v>DELETE</v>
      </c>
      <c r="T3175" s="521"/>
    </row>
    <row r="3176" spans="2:20" ht="31.5" customHeight="1" x14ac:dyDescent="0.45">
      <c r="B3176" s="468"/>
      <c r="C3176" s="450"/>
      <c r="D3176" s="449" t="s">
        <v>309</v>
      </c>
      <c r="J3176" s="451"/>
      <c r="K3176" s="451"/>
      <c r="L3176" s="452"/>
      <c r="M3176" s="40"/>
      <c r="N3176" s="451"/>
      <c r="O3176" s="559">
        <f>SUM(TrialBalanceA!I124:I125)</f>
        <v>0</v>
      </c>
      <c r="P3176" s="459"/>
      <c r="Q3176" s="469"/>
      <c r="R3176" s="512" t="str">
        <f t="shared" si="202"/>
        <v>DELETE</v>
      </c>
      <c r="T3176" s="521"/>
    </row>
    <row r="3177" spans="2:20" ht="31.5" customHeight="1" x14ac:dyDescent="0.45">
      <c r="B3177" s="468"/>
      <c r="C3177" s="450"/>
      <c r="D3177" s="449" t="s">
        <v>317</v>
      </c>
      <c r="J3177" s="451"/>
      <c r="K3177" s="451"/>
      <c r="L3177" s="452"/>
      <c r="M3177" s="40"/>
      <c r="N3177" s="451"/>
      <c r="O3177" s="559">
        <f>TrialBalanceA!I126</f>
        <v>0</v>
      </c>
      <c r="P3177" s="459"/>
      <c r="Q3177" s="469"/>
      <c r="R3177" s="512" t="str">
        <f t="shared" si="202"/>
        <v>DELETE</v>
      </c>
      <c r="T3177" s="521"/>
    </row>
    <row r="3178" spans="2:20" ht="31.5" customHeight="1" x14ac:dyDescent="0.45">
      <c r="B3178" s="468"/>
      <c r="C3178" s="450"/>
      <c r="D3178" s="449" t="s">
        <v>937</v>
      </c>
      <c r="J3178" s="451"/>
      <c r="K3178" s="451"/>
      <c r="L3178" s="452"/>
      <c r="M3178" s="40"/>
      <c r="N3178" s="451"/>
      <c r="O3178" s="559">
        <f>TrialBalanceA!I127</f>
        <v>0</v>
      </c>
      <c r="P3178" s="459"/>
      <c r="Q3178" s="469"/>
      <c r="R3178" s="512" t="str">
        <f t="shared" si="202"/>
        <v>DELETE</v>
      </c>
      <c r="T3178" s="521"/>
    </row>
    <row r="3179" spans="2:20" ht="31.5" customHeight="1" x14ac:dyDescent="0.45">
      <c r="B3179" s="468"/>
      <c r="C3179" s="450"/>
      <c r="D3179" s="449" t="s">
        <v>99</v>
      </c>
      <c r="J3179" s="451"/>
      <c r="K3179" s="451"/>
      <c r="L3179" s="452"/>
      <c r="M3179" s="40"/>
      <c r="N3179" s="451"/>
      <c r="O3179" s="559">
        <f>TrialBalanceA!I128</f>
        <v>0</v>
      </c>
      <c r="P3179" s="459"/>
      <c r="Q3179" s="469"/>
      <c r="R3179" s="512" t="str">
        <f t="shared" si="202"/>
        <v>DELETE</v>
      </c>
      <c r="T3179" s="521"/>
    </row>
    <row r="3180" spans="2:20" ht="31.5" customHeight="1" x14ac:dyDescent="0.45">
      <c r="B3180" s="468"/>
      <c r="C3180" s="450"/>
      <c r="D3180" s="449">
        <f>TrialBalanceA!C129</f>
        <v>0</v>
      </c>
      <c r="J3180" s="451"/>
      <c r="K3180" s="451"/>
      <c r="L3180" s="452"/>
      <c r="M3180" s="40"/>
      <c r="N3180" s="451"/>
      <c r="O3180" s="559">
        <f>TrialBalanceA!I129</f>
        <v>0</v>
      </c>
      <c r="P3180" s="459"/>
      <c r="Q3180" s="469"/>
      <c r="R3180" s="512" t="str">
        <f t="shared" si="202"/>
        <v>DELETE</v>
      </c>
      <c r="T3180" s="521"/>
    </row>
    <row r="3181" spans="2:20" ht="31.5" customHeight="1" x14ac:dyDescent="0.45">
      <c r="B3181" s="468"/>
      <c r="C3181" s="450"/>
      <c r="D3181" s="449">
        <f>TrialBalanceA!C130</f>
        <v>0</v>
      </c>
      <c r="J3181" s="451"/>
      <c r="K3181" s="451"/>
      <c r="L3181" s="452"/>
      <c r="M3181" s="40"/>
      <c r="N3181" s="451"/>
      <c r="O3181" s="559">
        <f>TrialBalanceA!I130</f>
        <v>0</v>
      </c>
      <c r="P3181" s="459"/>
      <c r="Q3181" s="469"/>
      <c r="R3181" s="512" t="str">
        <f t="shared" si="202"/>
        <v>DELETE</v>
      </c>
      <c r="T3181" s="521"/>
    </row>
    <row r="3182" spans="2:20" ht="31.5" customHeight="1" x14ac:dyDescent="0.45">
      <c r="B3182" s="468"/>
      <c r="C3182" s="450"/>
      <c r="D3182" s="449">
        <f>TrialBalanceA!C131</f>
        <v>0</v>
      </c>
      <c r="J3182" s="451"/>
      <c r="K3182" s="451"/>
      <c r="L3182" s="452"/>
      <c r="M3182" s="40"/>
      <c r="N3182" s="451"/>
      <c r="O3182" s="559">
        <f>TrialBalanceA!I131</f>
        <v>0</v>
      </c>
      <c r="P3182" s="459"/>
      <c r="Q3182" s="469"/>
      <c r="R3182" s="512" t="str">
        <f t="shared" si="202"/>
        <v>DELETE</v>
      </c>
      <c r="T3182" s="521"/>
    </row>
    <row r="3183" spans="2:20" ht="31.5" customHeight="1" x14ac:dyDescent="0.45">
      <c r="B3183" s="468"/>
      <c r="C3183" s="450"/>
      <c r="D3183" s="449">
        <f>TrialBalanceA!C132</f>
        <v>0</v>
      </c>
      <c r="J3183" s="451"/>
      <c r="K3183" s="451"/>
      <c r="L3183" s="452"/>
      <c r="M3183" s="40"/>
      <c r="N3183" s="451"/>
      <c r="O3183" s="559">
        <f>TrialBalanceA!I132</f>
        <v>0</v>
      </c>
      <c r="P3183" s="459"/>
      <c r="Q3183" s="469"/>
      <c r="R3183" s="512" t="str">
        <f t="shared" si="202"/>
        <v>DELETE</v>
      </c>
      <c r="T3183" s="521"/>
    </row>
    <row r="3184" spans="2:20" ht="31.5" customHeight="1" x14ac:dyDescent="0.45">
      <c r="B3184" s="468"/>
      <c r="C3184" s="450"/>
      <c r="D3184" s="449">
        <f>TrialBalanceA!C133</f>
        <v>0</v>
      </c>
      <c r="J3184" s="451"/>
      <c r="K3184" s="451"/>
      <c r="L3184" s="452"/>
      <c r="M3184" s="40"/>
      <c r="N3184" s="451"/>
      <c r="O3184" s="559">
        <f>TrialBalanceA!I133</f>
        <v>0</v>
      </c>
      <c r="P3184" s="459"/>
      <c r="Q3184" s="469"/>
      <c r="R3184" s="512" t="str">
        <f t="shared" si="202"/>
        <v>DELETE</v>
      </c>
      <c r="T3184" s="521"/>
    </row>
    <row r="3185" spans="2:24" ht="31.5" customHeight="1" x14ac:dyDescent="0.45">
      <c r="B3185" s="468"/>
      <c r="C3185" s="450"/>
      <c r="D3185" s="449">
        <f>TrialBalanceA!C134</f>
        <v>0</v>
      </c>
      <c r="J3185" s="451"/>
      <c r="K3185" s="451"/>
      <c r="L3185" s="452"/>
      <c r="M3185" s="40"/>
      <c r="N3185" s="451"/>
      <c r="O3185" s="559">
        <f>TrialBalanceA!I134</f>
        <v>0</v>
      </c>
      <c r="P3185" s="459"/>
      <c r="Q3185" s="469"/>
      <c r="R3185" s="512" t="str">
        <f t="shared" si="202"/>
        <v>DELETE</v>
      </c>
      <c r="T3185" s="521"/>
    </row>
    <row r="3186" spans="2:24" ht="31.5" customHeight="1" x14ac:dyDescent="0.45">
      <c r="B3186" s="468"/>
      <c r="C3186" s="450"/>
      <c r="D3186" s="449">
        <f>TrialBalanceA!C135</f>
        <v>0</v>
      </c>
      <c r="J3186" s="451"/>
      <c r="K3186" s="451"/>
      <c r="L3186" s="452"/>
      <c r="M3186" s="40"/>
      <c r="N3186" s="451"/>
      <c r="O3186" s="559">
        <f>TrialBalanceA!I135</f>
        <v>0</v>
      </c>
      <c r="P3186" s="459"/>
      <c r="Q3186" s="469"/>
      <c r="R3186" s="512" t="str">
        <f t="shared" si="202"/>
        <v>DELETE</v>
      </c>
      <c r="T3186" s="521"/>
    </row>
    <row r="3187" spans="2:24" ht="31.5" customHeight="1" x14ac:dyDescent="0.45">
      <c r="B3187" s="468"/>
      <c r="C3187" s="450"/>
      <c r="D3187" s="449">
        <f>TrialBalanceA!C136</f>
        <v>0</v>
      </c>
      <c r="J3187" s="451"/>
      <c r="K3187" s="451"/>
      <c r="L3187" s="452"/>
      <c r="M3187" s="40"/>
      <c r="N3187" s="451"/>
      <c r="O3187" s="559">
        <f>TrialBalanceA!I136</f>
        <v>0</v>
      </c>
      <c r="P3187" s="459"/>
      <c r="Q3187" s="469"/>
      <c r="R3187" s="512" t="str">
        <f t="shared" si="202"/>
        <v>DELETE</v>
      </c>
      <c r="T3187" s="521"/>
    </row>
    <row r="3188" spans="2:24" ht="31.5" customHeight="1" x14ac:dyDescent="0.45">
      <c r="B3188" s="468"/>
      <c r="C3188" s="450"/>
      <c r="D3188" s="449">
        <f>TrialBalanceA!C137</f>
        <v>0</v>
      </c>
      <c r="J3188" s="451"/>
      <c r="K3188" s="451"/>
      <c r="L3188" s="452"/>
      <c r="M3188" s="40"/>
      <c r="N3188" s="451"/>
      <c r="O3188" s="559">
        <f>TrialBalanceA!I137</f>
        <v>0</v>
      </c>
      <c r="P3188" s="459"/>
      <c r="Q3188" s="469"/>
      <c r="R3188" s="512" t="str">
        <f t="shared" si="202"/>
        <v>DELETE</v>
      </c>
      <c r="T3188" s="521"/>
    </row>
    <row r="3189" spans="2:24" ht="31.5" customHeight="1" x14ac:dyDescent="0.45">
      <c r="B3189" s="468"/>
      <c r="C3189" s="450"/>
      <c r="D3189" s="449" t="str">
        <f>TrialBalanceA!C138</f>
        <v>Amortisation of prepaid lease agreement</v>
      </c>
      <c r="J3189" s="451"/>
      <c r="K3189" s="451"/>
      <c r="L3189" s="452"/>
      <c r="M3189" s="40"/>
      <c r="N3189" s="451"/>
      <c r="O3189" s="559">
        <f>TrialBalanceA!I138</f>
        <v>0</v>
      </c>
      <c r="P3189" s="459"/>
      <c r="Q3189" s="469"/>
      <c r="R3189" s="512" t="str">
        <f t="shared" si="202"/>
        <v>DELETE</v>
      </c>
      <c r="T3189" s="521"/>
    </row>
    <row r="3190" spans="2:24" ht="31.5" customHeight="1" x14ac:dyDescent="0.45">
      <c r="B3190" s="468"/>
      <c r="C3190" s="450"/>
      <c r="D3190" s="449" t="str">
        <f>TrialBalanceA!C139</f>
        <v>Amortisation of goodwill</v>
      </c>
      <c r="J3190" s="451"/>
      <c r="K3190" s="451"/>
      <c r="L3190" s="452"/>
      <c r="M3190" s="40"/>
      <c r="N3190" s="451"/>
      <c r="O3190" s="559">
        <f>TrialBalanceA!I139</f>
        <v>0</v>
      </c>
      <c r="P3190" s="459"/>
      <c r="Q3190" s="469"/>
      <c r="R3190" s="512" t="str">
        <f t="shared" ref="R3190" si="203">IF(R$3057="DELETE","DELETE",IF(O3190=0,"DELETE"," "))</f>
        <v>DELETE</v>
      </c>
      <c r="T3190" s="521"/>
    </row>
    <row r="3191" spans="2:24" ht="9" customHeight="1" x14ac:dyDescent="0.45">
      <c r="B3191" s="468"/>
      <c r="C3191" s="450"/>
      <c r="J3191" s="451"/>
      <c r="K3191" s="451"/>
      <c r="L3191" s="452"/>
      <c r="M3191" s="40"/>
      <c r="N3191" s="451"/>
      <c r="O3191" s="560"/>
      <c r="P3191" s="459"/>
      <c r="Q3191" s="469"/>
      <c r="R3191" s="512" t="str">
        <f>R3155</f>
        <v>DELETE</v>
      </c>
      <c r="T3191" s="521"/>
    </row>
    <row r="3192" spans="2:24" ht="9" customHeight="1" x14ac:dyDescent="0.45">
      <c r="B3192" s="468"/>
      <c r="C3192" s="450"/>
      <c r="J3192" s="451"/>
      <c r="K3192" s="451"/>
      <c r="L3192" s="452"/>
      <c r="M3192" s="40"/>
      <c r="N3192" s="451"/>
      <c r="O3192" s="535"/>
      <c r="P3192" s="459"/>
      <c r="Q3192" s="469"/>
      <c r="R3192" s="512" t="str">
        <f>R$3057</f>
        <v>DELETE</v>
      </c>
      <c r="T3192" s="521"/>
    </row>
    <row r="3193" spans="2:24" ht="9" customHeight="1" x14ac:dyDescent="0.45">
      <c r="B3193" s="468"/>
      <c r="C3193" s="450"/>
      <c r="J3193" s="451"/>
      <c r="K3193" s="451"/>
      <c r="L3193" s="452"/>
      <c r="M3193" s="40"/>
      <c r="N3193" s="451"/>
      <c r="O3193" s="531"/>
      <c r="P3193" s="459"/>
      <c r="Q3193" s="469"/>
      <c r="R3193" s="512" t="str">
        <f>R$3057</f>
        <v>DELETE</v>
      </c>
      <c r="T3193" s="521"/>
    </row>
    <row r="3194" spans="2:24" ht="31.5" customHeight="1" x14ac:dyDescent="0.45">
      <c r="B3194" s="468"/>
      <c r="C3194" s="492" t="str">
        <f>IF(O3194&lt;0,"OPERATING LOSS FOR THE YEAR","OPERATING PROFIT FOR THE YEAR")</f>
        <v>OPERATING PROFIT FOR THE YEAR</v>
      </c>
      <c r="J3194" s="451"/>
      <c r="K3194" s="451">
        <f>FS!B1141</f>
        <v>5</v>
      </c>
      <c r="L3194" s="452"/>
      <c r="M3194" s="40"/>
      <c r="N3194" s="451"/>
      <c r="O3194" s="531">
        <f>SUM(S3069:S3191)</f>
        <v>0</v>
      </c>
      <c r="P3194" s="459"/>
      <c r="Q3194" s="469"/>
      <c r="R3194" s="512" t="str">
        <f>R$3057</f>
        <v>DELETE</v>
      </c>
      <c r="T3194" s="521"/>
    </row>
    <row r="3195" spans="2:24" ht="31.5" customHeight="1" x14ac:dyDescent="0.45">
      <c r="B3195" s="468"/>
      <c r="C3195" s="450"/>
      <c r="J3195" s="451"/>
      <c r="K3195" s="451"/>
      <c r="L3195" s="452"/>
      <c r="M3195" s="40"/>
      <c r="N3195" s="451"/>
      <c r="O3195" s="531"/>
      <c r="P3195" s="459"/>
      <c r="Q3195" s="469"/>
      <c r="R3195" s="512" t="str">
        <f>R$3057</f>
        <v>DELETE</v>
      </c>
      <c r="T3195" s="521"/>
    </row>
    <row r="3196" spans="2:24" ht="31.5" customHeight="1" x14ac:dyDescent="0.45">
      <c r="B3196" s="468"/>
      <c r="C3196" s="450" t="s">
        <v>139</v>
      </c>
      <c r="J3196" s="451"/>
      <c r="K3196" s="451">
        <f>FS!B1228</f>
        <v>6</v>
      </c>
      <c r="L3196" s="452"/>
      <c r="M3196" s="40"/>
      <c r="N3196" s="451"/>
      <c r="O3196" s="531">
        <f>SUM(O3199:O3206)</f>
        <v>0</v>
      </c>
      <c r="P3196" s="459"/>
      <c r="Q3196" s="469"/>
      <c r="R3196" s="512" t="str">
        <f t="shared" ref="R3196" si="204">IF(R$3057="DELETE","DELETE",IF(O3196=0,"DELETE"," "))</f>
        <v>DELETE</v>
      </c>
      <c r="S3196" s="517">
        <f>O3196</f>
        <v>0</v>
      </c>
      <c r="T3196" s="521"/>
      <c r="U3196" s="517"/>
      <c r="V3196" s="517"/>
      <c r="W3196" s="517"/>
      <c r="X3196" s="517"/>
    </row>
    <row r="3197" spans="2:24" ht="9" customHeight="1" x14ac:dyDescent="0.45">
      <c r="B3197" s="468"/>
      <c r="C3197" s="450"/>
      <c r="J3197" s="451"/>
      <c r="K3197" s="451"/>
      <c r="L3197" s="452"/>
      <c r="M3197" s="40"/>
      <c r="N3197" s="451"/>
      <c r="O3197" s="531"/>
      <c r="P3197" s="459"/>
      <c r="Q3197" s="469"/>
      <c r="R3197" s="512" t="str">
        <f>R3196</f>
        <v>DELETE</v>
      </c>
      <c r="T3197" s="521"/>
    </row>
    <row r="3198" spans="2:24" ht="9" customHeight="1" x14ac:dyDescent="0.45">
      <c r="B3198" s="468"/>
      <c r="C3198" s="450"/>
      <c r="J3198" s="451"/>
      <c r="K3198" s="451"/>
      <c r="L3198" s="452"/>
      <c r="M3198" s="40"/>
      <c r="N3198" s="451"/>
      <c r="O3198" s="558"/>
      <c r="P3198" s="459"/>
      <c r="Q3198" s="469"/>
      <c r="R3198" s="512" t="str">
        <f>R3197</f>
        <v>DELETE</v>
      </c>
      <c r="T3198" s="521"/>
    </row>
    <row r="3199" spans="2:24" ht="31.5" customHeight="1" x14ac:dyDescent="0.45">
      <c r="B3199" s="468"/>
      <c r="C3199" s="450"/>
      <c r="D3199" s="449" t="s">
        <v>243</v>
      </c>
      <c r="J3199" s="451"/>
      <c r="K3199" s="451"/>
      <c r="L3199" s="452"/>
      <c r="M3199" s="40"/>
      <c r="N3199" s="451"/>
      <c r="O3199" s="559">
        <f>-TrialBalanceA!I94</f>
        <v>0</v>
      </c>
      <c r="P3199" s="459"/>
      <c r="Q3199" s="469"/>
      <c r="R3199" s="512" t="str">
        <f t="shared" ref="R3199:R3204" si="205">IF(R$3057="DELETE","DELETE",IF(O3199=0,"DELETE"," "))</f>
        <v>DELETE</v>
      </c>
      <c r="T3199" s="521"/>
    </row>
    <row r="3200" spans="2:24" ht="31.5" customHeight="1" x14ac:dyDescent="0.45">
      <c r="B3200" s="468"/>
      <c r="C3200" s="450"/>
      <c r="D3200" s="449" t="s">
        <v>612</v>
      </c>
      <c r="J3200" s="451"/>
      <c r="K3200" s="451"/>
      <c r="L3200" s="452"/>
      <c r="M3200" s="40"/>
      <c r="N3200" s="451"/>
      <c r="O3200" s="559">
        <f>-SUM(TrialBalanceA!I90:I92)</f>
        <v>0</v>
      </c>
      <c r="P3200" s="459"/>
      <c r="Q3200" s="469"/>
      <c r="R3200" s="512" t="str">
        <f t="shared" si="205"/>
        <v>DELETE</v>
      </c>
      <c r="T3200" s="521"/>
    </row>
    <row r="3201" spans="2:24" ht="31.5" customHeight="1" x14ac:dyDescent="0.45">
      <c r="B3201" s="468"/>
      <c r="C3201" s="450"/>
      <c r="D3201" s="449" t="s">
        <v>613</v>
      </c>
      <c r="J3201" s="451"/>
      <c r="K3201" s="451"/>
      <c r="L3201" s="452"/>
      <c r="M3201" s="40"/>
      <c r="N3201" s="451"/>
      <c r="O3201" s="561">
        <f>-SUM(TrialBalanceA!I85:I88)</f>
        <v>0</v>
      </c>
      <c r="P3201" s="459"/>
      <c r="Q3201" s="469"/>
      <c r="R3201" s="512" t="str">
        <f t="shared" si="205"/>
        <v>DELETE</v>
      </c>
      <c r="T3201" s="521"/>
    </row>
    <row r="3202" spans="2:24" ht="31.5" customHeight="1" x14ac:dyDescent="0.45">
      <c r="B3202" s="468"/>
      <c r="C3202" s="450"/>
      <c r="D3202" s="449" t="s">
        <v>245</v>
      </c>
      <c r="J3202" s="451"/>
      <c r="K3202" s="451"/>
      <c r="L3202" s="452"/>
      <c r="M3202" s="40"/>
      <c r="N3202" s="451"/>
      <c r="O3202" s="561">
        <f>-SUM(TrialBalanceA!I95)</f>
        <v>0</v>
      </c>
      <c r="P3202" s="459"/>
      <c r="Q3202" s="469"/>
      <c r="R3202" s="512" t="str">
        <f t="shared" si="205"/>
        <v>DELETE</v>
      </c>
      <c r="T3202" s="521"/>
    </row>
    <row r="3203" spans="2:24" ht="31.5" customHeight="1" x14ac:dyDescent="0.45">
      <c r="B3203" s="468"/>
      <c r="C3203" s="450"/>
      <c r="D3203" s="449" t="s">
        <v>634</v>
      </c>
      <c r="J3203" s="451"/>
      <c r="K3203" s="451"/>
      <c r="L3203" s="452"/>
      <c r="M3203" s="40"/>
      <c r="N3203" s="451"/>
      <c r="O3203" s="559">
        <f>IF(TrialBalanceA!I93&lt;0,-TrialBalanceA!I93,0)</f>
        <v>0</v>
      </c>
      <c r="P3203" s="459"/>
      <c r="Q3203" s="469"/>
      <c r="R3203" s="512" t="str">
        <f t="shared" si="205"/>
        <v>DELETE</v>
      </c>
      <c r="T3203" s="521"/>
    </row>
    <row r="3204" spans="2:24" ht="31.5" customHeight="1" x14ac:dyDescent="0.45">
      <c r="B3204" s="468"/>
      <c r="C3204" s="450"/>
      <c r="D3204" s="449" t="s">
        <v>433</v>
      </c>
      <c r="J3204" s="451"/>
      <c r="K3204" s="451"/>
      <c r="L3204" s="452"/>
      <c r="M3204" s="40"/>
      <c r="N3204" s="451"/>
      <c r="O3204" s="559">
        <f>-TrialBalanceA!I83</f>
        <v>0</v>
      </c>
      <c r="P3204" s="459"/>
      <c r="Q3204" s="469"/>
      <c r="R3204" s="512" t="str">
        <f t="shared" si="205"/>
        <v>DELETE</v>
      </c>
      <c r="T3204" s="521"/>
    </row>
    <row r="3205" spans="2:24" ht="31.5" customHeight="1" x14ac:dyDescent="0.45">
      <c r="B3205" s="468"/>
      <c r="C3205" s="450"/>
      <c r="D3205" s="449" t="str">
        <f>TrialBalance!C96</f>
        <v>Revaluation of investment property</v>
      </c>
      <c r="J3205" s="451"/>
      <c r="K3205" s="451"/>
      <c r="L3205" s="452"/>
      <c r="M3205" s="40"/>
      <c r="N3205" s="451"/>
      <c r="O3205" s="559">
        <f>-TrialBalanceA!I96</f>
        <v>0</v>
      </c>
      <c r="P3205" s="459"/>
      <c r="Q3205" s="469"/>
      <c r="R3205" s="512" t="str">
        <f t="shared" ref="R3205" si="206">IF(R$3057="DELETE","DELETE",IF(O3205=0,"DELETE"," "))</f>
        <v>DELETE</v>
      </c>
      <c r="T3205" s="521"/>
    </row>
    <row r="3206" spans="2:24" ht="9" customHeight="1" x14ac:dyDescent="0.45">
      <c r="B3206" s="468"/>
      <c r="C3206" s="450"/>
      <c r="J3206" s="451"/>
      <c r="K3206" s="451"/>
      <c r="L3206" s="452"/>
      <c r="M3206" s="40"/>
      <c r="N3206" s="451"/>
      <c r="O3206" s="560"/>
      <c r="P3206" s="459"/>
      <c r="Q3206" s="469"/>
      <c r="R3206" s="512" t="str">
        <f>R3196</f>
        <v>DELETE</v>
      </c>
      <c r="T3206" s="521"/>
    </row>
    <row r="3207" spans="2:24" ht="9" customHeight="1" x14ac:dyDescent="0.45">
      <c r="B3207" s="468"/>
      <c r="C3207" s="450"/>
      <c r="J3207" s="451"/>
      <c r="K3207" s="451"/>
      <c r="L3207" s="452"/>
      <c r="M3207" s="40"/>
      <c r="N3207" s="451"/>
      <c r="O3207" s="535"/>
      <c r="P3207" s="459"/>
      <c r="Q3207" s="469"/>
      <c r="R3207" s="512" t="str">
        <f>R3206</f>
        <v>DELETE</v>
      </c>
      <c r="T3207" s="521"/>
    </row>
    <row r="3208" spans="2:24" ht="9" customHeight="1" x14ac:dyDescent="0.45">
      <c r="B3208" s="468"/>
      <c r="C3208" s="450"/>
      <c r="J3208" s="451"/>
      <c r="K3208" s="451"/>
      <c r="L3208" s="452"/>
      <c r="M3208" s="40"/>
      <c r="N3208" s="451"/>
      <c r="O3208" s="531"/>
      <c r="P3208" s="459"/>
      <c r="Q3208" s="469"/>
      <c r="R3208" s="512" t="str">
        <f>R3207</f>
        <v>DELETE</v>
      </c>
      <c r="T3208" s="521"/>
    </row>
    <row r="3209" spans="2:24" ht="31.5" customHeight="1" x14ac:dyDescent="0.45">
      <c r="B3209" s="468"/>
      <c r="C3209" s="450"/>
      <c r="J3209" s="451"/>
      <c r="K3209" s="451"/>
      <c r="L3209" s="452"/>
      <c r="M3209" s="40"/>
      <c r="N3209" s="451"/>
      <c r="O3209" s="531">
        <f>SUM(S3069:S3206)</f>
        <v>0</v>
      </c>
      <c r="P3209" s="459"/>
      <c r="Q3209" s="469"/>
      <c r="R3209" s="512" t="str">
        <f>R3208</f>
        <v>DELETE</v>
      </c>
      <c r="T3209" s="521"/>
    </row>
    <row r="3210" spans="2:24" ht="31.5" customHeight="1" x14ac:dyDescent="0.45">
      <c r="B3210" s="468"/>
      <c r="C3210" s="450"/>
      <c r="J3210" s="451"/>
      <c r="K3210" s="451"/>
      <c r="L3210" s="452"/>
      <c r="M3210" s="40"/>
      <c r="N3210" s="451"/>
      <c r="O3210" s="531"/>
      <c r="P3210" s="459"/>
      <c r="Q3210" s="469"/>
      <c r="R3210" s="512" t="str">
        <f>R3209</f>
        <v>DELETE</v>
      </c>
      <c r="T3210" s="521"/>
    </row>
    <row r="3211" spans="2:24" ht="31.5" customHeight="1" x14ac:dyDescent="0.45">
      <c r="B3211" s="468"/>
      <c r="C3211" s="450" t="s">
        <v>318</v>
      </c>
      <c r="J3211" s="451"/>
      <c r="K3211" s="451">
        <f>FS!B1287</f>
        <v>7</v>
      </c>
      <c r="L3211" s="452"/>
      <c r="M3211" s="40"/>
      <c r="N3211" s="451"/>
      <c r="O3211" s="531">
        <f>SUM(TrialBalanceA!I142:I152)</f>
        <v>0</v>
      </c>
      <c r="P3211" s="459"/>
      <c r="Q3211" s="469"/>
      <c r="R3211" s="512" t="str">
        <f t="shared" ref="R3211" si="207">IF(R$3057="DELETE","DELETE",IF(O3211=0,"DELETE"," "))</f>
        <v>DELETE</v>
      </c>
      <c r="S3211" s="517">
        <f>-O3211</f>
        <v>0</v>
      </c>
      <c r="T3211" s="521"/>
      <c r="U3211" s="517"/>
      <c r="V3211" s="517"/>
      <c r="W3211" s="517"/>
      <c r="X3211" s="517"/>
    </row>
    <row r="3212" spans="2:24" ht="9" customHeight="1" x14ac:dyDescent="0.45">
      <c r="B3212" s="468"/>
      <c r="C3212" s="450"/>
      <c r="J3212" s="451"/>
      <c r="K3212" s="451"/>
      <c r="L3212" s="452"/>
      <c r="M3212" s="40"/>
      <c r="N3212" s="451"/>
      <c r="O3212" s="535"/>
      <c r="P3212" s="459"/>
      <c r="Q3212" s="469"/>
      <c r="R3212" s="512" t="str">
        <f t="shared" ref="R3212:R3220" si="208">R$3057</f>
        <v>DELETE</v>
      </c>
      <c r="T3212" s="521"/>
    </row>
    <row r="3213" spans="2:24" ht="9" customHeight="1" x14ac:dyDescent="0.45">
      <c r="B3213" s="468"/>
      <c r="C3213" s="450"/>
      <c r="J3213" s="451"/>
      <c r="K3213" s="451"/>
      <c r="L3213" s="452"/>
      <c r="M3213" s="40"/>
      <c r="N3213" s="451"/>
      <c r="O3213" s="531"/>
      <c r="P3213" s="459"/>
      <c r="Q3213" s="469"/>
      <c r="R3213" s="512" t="str">
        <f t="shared" si="208"/>
        <v>DELETE</v>
      </c>
      <c r="T3213" s="521"/>
    </row>
    <row r="3214" spans="2:24" ht="31.5" customHeight="1" x14ac:dyDescent="0.45">
      <c r="B3214" s="468"/>
      <c r="C3214" s="492" t="str">
        <f>IF(O3214&lt;0,"NET LOSS BEFORE TAXATION","NET PROFIT BEFORE TAXATION")</f>
        <v>NET PROFIT BEFORE TAXATION</v>
      </c>
      <c r="J3214" s="451"/>
      <c r="K3214" s="451"/>
      <c r="L3214" s="452"/>
      <c r="M3214" s="40"/>
      <c r="N3214" s="451"/>
      <c r="O3214" s="531">
        <f>SUM(S3069:S3213)</f>
        <v>0</v>
      </c>
      <c r="P3214" s="459"/>
      <c r="Q3214" s="469"/>
      <c r="R3214" s="512" t="str">
        <f t="shared" si="208"/>
        <v>DELETE</v>
      </c>
      <c r="T3214" s="521"/>
      <c r="V3214" s="513" t="b">
        <f>O3214=FS!M2737</f>
        <v>1</v>
      </c>
    </row>
    <row r="3215" spans="2:24" ht="9" customHeight="1" thickBot="1" x14ac:dyDescent="0.5">
      <c r="B3215" s="468"/>
      <c r="C3215" s="450"/>
      <c r="J3215" s="451"/>
      <c r="K3215" s="451"/>
      <c r="L3215" s="452"/>
      <c r="M3215" s="40"/>
      <c r="N3215" s="451"/>
      <c r="O3215" s="536"/>
      <c r="P3215" s="459"/>
      <c r="Q3215" s="469"/>
      <c r="R3215" s="512" t="str">
        <f t="shared" si="208"/>
        <v>DELETE</v>
      </c>
      <c r="T3215" s="521"/>
    </row>
    <row r="3216" spans="2:24" ht="9" customHeight="1" thickTop="1" x14ac:dyDescent="0.45">
      <c r="B3216" s="468"/>
      <c r="C3216" s="450"/>
      <c r="J3216" s="451"/>
      <c r="K3216" s="451"/>
      <c r="L3216" s="452"/>
      <c r="M3216" s="40"/>
      <c r="N3216" s="451"/>
      <c r="O3216" s="548"/>
      <c r="P3216" s="459"/>
      <c r="Q3216" s="469"/>
      <c r="R3216" s="512" t="str">
        <f t="shared" si="208"/>
        <v>DELETE</v>
      </c>
      <c r="T3216" s="521"/>
    </row>
    <row r="3217" spans="2:24" ht="31.5" customHeight="1" x14ac:dyDescent="0.45">
      <c r="B3217" s="468"/>
      <c r="C3217" s="450"/>
      <c r="J3217" s="451"/>
      <c r="K3217" s="451"/>
      <c r="L3217" s="452"/>
      <c r="M3217" s="40"/>
      <c r="N3217" s="451"/>
      <c r="O3217" s="531"/>
      <c r="P3217" s="459"/>
      <c r="Q3217" s="469"/>
      <c r="R3217" s="512" t="str">
        <f t="shared" si="208"/>
        <v>DELETE</v>
      </c>
      <c r="T3217" s="521"/>
    </row>
    <row r="3218" spans="2:24" ht="31.5" customHeight="1" x14ac:dyDescent="0.45">
      <c r="B3218" s="468"/>
      <c r="C3218" s="450"/>
      <c r="J3218" s="451"/>
      <c r="K3218" s="451"/>
      <c r="L3218" s="451"/>
      <c r="M3218" s="531"/>
      <c r="N3218" s="470"/>
      <c r="O3218" s="531"/>
      <c r="P3218" s="459"/>
      <c r="Q3218" s="469"/>
      <c r="R3218" s="512" t="str">
        <f t="shared" si="208"/>
        <v>DELETE</v>
      </c>
      <c r="T3218" s="521"/>
    </row>
    <row r="3219" spans="2:24" ht="31.5" customHeight="1" x14ac:dyDescent="0.45">
      <c r="B3219" s="477"/>
      <c r="C3219" s="461"/>
      <c r="D3219" s="461"/>
      <c r="E3219" s="461"/>
      <c r="F3219" s="461"/>
      <c r="G3219" s="461"/>
      <c r="H3219" s="461"/>
      <c r="I3219" s="461"/>
      <c r="J3219" s="461"/>
      <c r="K3219" s="461"/>
      <c r="L3219" s="461"/>
      <c r="M3219" s="640"/>
      <c r="N3219" s="646"/>
      <c r="O3219" s="640"/>
      <c r="P3219" s="631"/>
      <c r="Q3219" s="479"/>
      <c r="R3219" s="512" t="str">
        <f t="shared" si="208"/>
        <v>DELETE</v>
      </c>
      <c r="T3219" s="521"/>
    </row>
    <row r="3220" spans="2:24" ht="31.5" customHeight="1" x14ac:dyDescent="0.45">
      <c r="M3220" s="635"/>
      <c r="N3220" s="621"/>
      <c r="O3220" s="635"/>
      <c r="R3220" s="512" t="str">
        <f t="shared" si="208"/>
        <v>DELETE</v>
      </c>
      <c r="T3220" s="521"/>
    </row>
    <row r="3221" spans="2:24" ht="31.5" customHeight="1" x14ac:dyDescent="0.45">
      <c r="M3221" s="635"/>
      <c r="N3221" s="621"/>
      <c r="O3221" s="635"/>
      <c r="R3221" s="512" t="str">
        <f>IF(SUM(U3233:U3235)+SUM(U3253:U3260)+SUM(U3360:U3370)+O3378=0,"DELETE",IF(SUM(S3233:S3235)+SUM(U3233:U3235)+SUM(S3253:S3260)+SUM(U3253:U3260)+SUM(S3360:S3370)+SUM(U3360:U3370)+M3378+O3378=0,"DELETE"," "))</f>
        <v>DELETE</v>
      </c>
      <c r="T3221" s="521"/>
      <c r="V3221" s="516"/>
      <c r="W3221" s="516"/>
      <c r="X3221" s="516"/>
    </row>
    <row r="3222" spans="2:24" ht="31.5" customHeight="1" x14ac:dyDescent="0.45">
      <c r="D3222" s="450" t="s">
        <v>751</v>
      </c>
      <c r="M3222" s="635"/>
      <c r="N3222" s="621"/>
      <c r="O3222" s="635"/>
      <c r="R3222" s="512" t="str">
        <f>R$3221</f>
        <v>DELETE</v>
      </c>
      <c r="T3222" s="521"/>
      <c r="V3222" s="515"/>
      <c r="X3222" s="515"/>
    </row>
    <row r="3223" spans="2:24" ht="31.5" customHeight="1" x14ac:dyDescent="0.45">
      <c r="M3223" s="635"/>
      <c r="N3223" s="621"/>
      <c r="O3223" s="635"/>
      <c r="R3223" s="512" t="str">
        <f t="shared" ref="R3223:R3232" si="209">R$3221</f>
        <v>DELETE</v>
      </c>
      <c r="T3223" s="521"/>
    </row>
    <row r="3224" spans="2:24" ht="31.5" customHeight="1" x14ac:dyDescent="0.45">
      <c r="D3224" s="450" t="str">
        <f>Criteria!E9</f>
        <v>ABC COMPANY (PROPRIETARY) LIMITED</v>
      </c>
      <c r="M3224" s="635"/>
      <c r="N3224" s="621"/>
      <c r="O3224" s="531" t="s">
        <v>121</v>
      </c>
      <c r="Q3224" s="451">
        <v>1</v>
      </c>
      <c r="R3224" s="512" t="str">
        <f t="shared" si="209"/>
        <v>DELETE</v>
      </c>
      <c r="T3224" s="521"/>
    </row>
    <row r="3225" spans="2:24" ht="31.5" customHeight="1" x14ac:dyDescent="0.45">
      <c r="D3225" s="450" t="str">
        <f>CONCATENATE("T/A ",Criteria!E15)</f>
        <v>T/A RENTAL PROPERTIES</v>
      </c>
      <c r="M3225" s="635"/>
      <c r="N3225" s="621"/>
      <c r="O3225" s="635"/>
      <c r="R3225" s="512" t="str">
        <f t="shared" si="209"/>
        <v>DELETE</v>
      </c>
      <c r="T3225" s="521"/>
    </row>
    <row r="3226" spans="2:24" ht="31.5" customHeight="1" x14ac:dyDescent="0.45">
      <c r="M3226" s="635"/>
      <c r="N3226" s="621"/>
      <c r="O3226" s="635"/>
      <c r="R3226" s="512" t="str">
        <f t="shared" si="209"/>
        <v>DELETE</v>
      </c>
      <c r="T3226" s="521"/>
    </row>
    <row r="3227" spans="2:24" ht="31.5" customHeight="1" x14ac:dyDescent="0.45">
      <c r="D3227" s="450" t="s">
        <v>115</v>
      </c>
      <c r="M3227" s="635"/>
      <c r="N3227" s="621"/>
      <c r="O3227" s="635"/>
      <c r="R3227" s="512" t="str">
        <f t="shared" si="209"/>
        <v>DELETE</v>
      </c>
      <c r="T3227" s="521"/>
    </row>
    <row r="3228" spans="2:24" ht="31.5" customHeight="1" x14ac:dyDescent="0.45">
      <c r="D3228" s="450" t="str">
        <f>Criteria!E20</f>
        <v>29 FEBRUARY 2024</v>
      </c>
      <c r="M3228" s="635"/>
      <c r="N3228" s="621"/>
      <c r="O3228" s="635"/>
      <c r="R3228" s="512" t="str">
        <f t="shared" si="209"/>
        <v>DELETE</v>
      </c>
      <c r="T3228" s="521"/>
    </row>
    <row r="3229" spans="2:24" ht="31.5" customHeight="1" x14ac:dyDescent="0.45">
      <c r="M3229" s="635"/>
      <c r="N3229" s="621"/>
      <c r="O3229" s="635"/>
      <c r="R3229" s="512" t="str">
        <f t="shared" si="209"/>
        <v>DELETE</v>
      </c>
      <c r="T3229" s="521"/>
    </row>
    <row r="3230" spans="2:24" ht="31.5" customHeight="1" x14ac:dyDescent="0.45">
      <c r="B3230" s="465"/>
      <c r="C3230" s="466"/>
      <c r="D3230" s="466"/>
      <c r="E3230" s="466"/>
      <c r="F3230" s="466"/>
      <c r="G3230" s="466"/>
      <c r="H3230" s="466"/>
      <c r="I3230" s="466"/>
      <c r="J3230" s="466"/>
      <c r="K3230" s="466"/>
      <c r="L3230" s="466"/>
      <c r="M3230" s="648"/>
      <c r="N3230" s="649"/>
      <c r="O3230" s="648"/>
      <c r="P3230" s="643"/>
      <c r="Q3230" s="467"/>
      <c r="R3230" s="512" t="str">
        <f t="shared" si="209"/>
        <v>DELETE</v>
      </c>
      <c r="T3230" s="521"/>
    </row>
    <row r="3231" spans="2:24" ht="31.5" customHeight="1" x14ac:dyDescent="0.45">
      <c r="B3231" s="468"/>
      <c r="J3231" s="451"/>
      <c r="K3231" s="451" t="s">
        <v>129</v>
      </c>
      <c r="L3231" s="451"/>
      <c r="M3231" s="525">
        <f>Criteria!E22</f>
        <v>2024</v>
      </c>
      <c r="N3231" s="458"/>
      <c r="O3231" s="525">
        <f>Criteria!E27</f>
        <v>2023</v>
      </c>
      <c r="P3231" s="459"/>
      <c r="Q3231" s="469"/>
      <c r="R3231" s="512" t="str">
        <f t="shared" si="209"/>
        <v>DELETE</v>
      </c>
      <c r="T3231" s="521"/>
    </row>
    <row r="3232" spans="2:24" ht="31.5" customHeight="1" x14ac:dyDescent="0.45">
      <c r="B3232" s="468"/>
      <c r="J3232" s="451"/>
      <c r="K3232" s="451"/>
      <c r="L3232" s="451"/>
      <c r="M3232" s="531"/>
      <c r="N3232" s="470"/>
      <c r="O3232" s="531"/>
      <c r="P3232" s="459"/>
      <c r="Q3232" s="469"/>
      <c r="R3232" s="512" t="str">
        <f t="shared" si="209"/>
        <v>DELETE</v>
      </c>
      <c r="T3232" s="521"/>
    </row>
    <row r="3233" spans="2:24" ht="31.5" customHeight="1" x14ac:dyDescent="0.45">
      <c r="B3233" s="468"/>
      <c r="C3233" s="450" t="s">
        <v>137</v>
      </c>
      <c r="J3233" s="451"/>
      <c r="K3233" s="451"/>
      <c r="L3233" s="451"/>
      <c r="M3233" s="531">
        <f>-SUM(TrialBalanceB!I5:I10)</f>
        <v>0</v>
      </c>
      <c r="N3233" s="470"/>
      <c r="O3233" s="531">
        <f>-SUM(TrialBalanceB!K5:K10)</f>
        <v>0</v>
      </c>
      <c r="P3233" s="459"/>
      <c r="Q3233" s="469"/>
      <c r="R3233" s="512" t="str">
        <f>IF(R3221="DELETE","DELETE",IF(M3233+O3233=0,IF(M3235+O3235=0," ","DELETE")," "))</f>
        <v>DELETE</v>
      </c>
      <c r="S3233" s="517">
        <f>M3233</f>
        <v>0</v>
      </c>
      <c r="T3233" s="521"/>
      <c r="U3233" s="517">
        <f>O3233</f>
        <v>0</v>
      </c>
      <c r="V3233" s="517"/>
      <c r="W3233" s="517"/>
      <c r="X3233" s="517"/>
    </row>
    <row r="3234" spans="2:24" ht="31.5" customHeight="1" x14ac:dyDescent="0.45">
      <c r="B3234" s="468"/>
      <c r="C3234" s="450"/>
      <c r="J3234" s="451"/>
      <c r="K3234" s="451"/>
      <c r="L3234" s="451"/>
      <c r="M3234" s="531"/>
      <c r="N3234" s="470"/>
      <c r="O3234" s="531"/>
      <c r="P3234" s="459"/>
      <c r="Q3234" s="469"/>
      <c r="R3234" s="512" t="str">
        <f>R3233</f>
        <v>DELETE</v>
      </c>
      <c r="S3234" s="517"/>
      <c r="T3234" s="521"/>
      <c r="U3234" s="517"/>
      <c r="V3234" s="517"/>
      <c r="W3234" s="517"/>
      <c r="X3234" s="517"/>
    </row>
    <row r="3235" spans="2:24" ht="31.5" customHeight="1" x14ac:dyDescent="0.45">
      <c r="B3235" s="468"/>
      <c r="C3235" s="450" t="s">
        <v>606</v>
      </c>
      <c r="J3235" s="451"/>
      <c r="K3235" s="451"/>
      <c r="L3235" s="451"/>
      <c r="M3235" s="531">
        <f>-TrialBalanceB!I11</f>
        <v>0</v>
      </c>
      <c r="N3235" s="470"/>
      <c r="O3235" s="531">
        <f>-TrialBalanceB!K11</f>
        <v>0</v>
      </c>
      <c r="P3235" s="459"/>
      <c r="Q3235" s="469"/>
      <c r="R3235" s="512" t="str">
        <f>IF(R$3221="DELETE","DELETE",IF(M3235+O3235=0,"DELETE"," "))</f>
        <v>DELETE</v>
      </c>
      <c r="S3235" s="517">
        <f>M3235</f>
        <v>0</v>
      </c>
      <c r="T3235" s="521"/>
      <c r="U3235" s="517">
        <f>O3235</f>
        <v>0</v>
      </c>
      <c r="V3235" s="517"/>
      <c r="W3235" s="517"/>
      <c r="X3235" s="517"/>
    </row>
    <row r="3236" spans="2:24" ht="31.5" customHeight="1" x14ac:dyDescent="0.45">
      <c r="B3236" s="468"/>
      <c r="C3236" s="450"/>
      <c r="J3236" s="451"/>
      <c r="K3236" s="451"/>
      <c r="L3236" s="451"/>
      <c r="M3236" s="531"/>
      <c r="N3236" s="470"/>
      <c r="O3236" s="531"/>
      <c r="P3236" s="459"/>
      <c r="Q3236" s="469"/>
      <c r="R3236" s="512" t="str">
        <f>R3235</f>
        <v>DELETE</v>
      </c>
      <c r="T3236" s="521"/>
    </row>
    <row r="3237" spans="2:24" ht="31.5" customHeight="1" x14ac:dyDescent="0.45">
      <c r="B3237" s="468"/>
      <c r="C3237" s="450" t="s">
        <v>333</v>
      </c>
      <c r="J3237" s="451"/>
      <c r="K3237" s="451"/>
      <c r="L3237" s="451"/>
      <c r="M3237" s="531">
        <f>SUM(M3240:M3247)</f>
        <v>0</v>
      </c>
      <c r="N3237" s="470"/>
      <c r="O3237" s="531">
        <f>SUM(O3240:O3247)</f>
        <v>0</v>
      </c>
      <c r="P3237" s="459"/>
      <c r="Q3237" s="469"/>
      <c r="R3237" s="512" t="str">
        <f>IF(R$3221="DELETE","DELETE",IF(M3237=0,IF(O3237=0,"DELETE"," ")," "))</f>
        <v>DELETE</v>
      </c>
      <c r="S3237" s="517">
        <f>-M3237</f>
        <v>0</v>
      </c>
      <c r="T3237" s="521"/>
      <c r="U3237" s="517">
        <f>-O3237</f>
        <v>0</v>
      </c>
      <c r="V3237" s="517"/>
      <c r="W3237" s="517"/>
      <c r="X3237" s="517"/>
    </row>
    <row r="3238" spans="2:24" ht="9" customHeight="1" x14ac:dyDescent="0.45">
      <c r="B3238" s="468"/>
      <c r="C3238" s="450"/>
      <c r="J3238" s="451"/>
      <c r="K3238" s="451"/>
      <c r="L3238" s="451"/>
      <c r="M3238" s="531"/>
      <c r="N3238" s="470"/>
      <c r="O3238" s="531"/>
      <c r="P3238" s="459"/>
      <c r="Q3238" s="469"/>
      <c r="R3238" s="512" t="str">
        <f>R3237</f>
        <v>DELETE</v>
      </c>
      <c r="T3238" s="521"/>
    </row>
    <row r="3239" spans="2:24" ht="9" customHeight="1" x14ac:dyDescent="0.45">
      <c r="B3239" s="468"/>
      <c r="C3239" s="450"/>
      <c r="J3239" s="451"/>
      <c r="K3239" s="451"/>
      <c r="L3239" s="451"/>
      <c r="M3239" s="532"/>
      <c r="N3239" s="471"/>
      <c r="O3239" s="552"/>
      <c r="P3239" s="459"/>
      <c r="Q3239" s="469"/>
      <c r="R3239" s="512" t="str">
        <f>R3238</f>
        <v>DELETE</v>
      </c>
      <c r="T3239" s="521"/>
    </row>
    <row r="3240" spans="2:24" ht="31.5" customHeight="1" x14ac:dyDescent="0.45">
      <c r="B3240" s="468"/>
      <c r="C3240" s="450"/>
      <c r="D3240" s="449" t="s">
        <v>608</v>
      </c>
      <c r="J3240" s="451"/>
      <c r="K3240" s="451"/>
      <c r="L3240" s="451"/>
      <c r="M3240" s="533">
        <f>SUM(TrialBalanceB!I13:I16)</f>
        <v>0</v>
      </c>
      <c r="N3240" s="470"/>
      <c r="O3240" s="553">
        <f>SUM(TrialBalanceB!K13:K16)</f>
        <v>0</v>
      </c>
      <c r="P3240" s="459"/>
      <c r="Q3240" s="469"/>
      <c r="R3240" s="512" t="str">
        <f t="shared" ref="R3240:R3247" si="210">IF(R$3221="DELETE","DELETE",IF(M3240+O3240=0,"DELETE"," "))</f>
        <v>DELETE</v>
      </c>
      <c r="T3240" s="521"/>
    </row>
    <row r="3241" spans="2:24" ht="31.5" customHeight="1" x14ac:dyDescent="0.45">
      <c r="B3241" s="468"/>
      <c r="C3241" s="450"/>
      <c r="D3241" s="449" t="s">
        <v>334</v>
      </c>
      <c r="J3241" s="451"/>
      <c r="K3241" s="451"/>
      <c r="L3241" s="451"/>
      <c r="M3241" s="533">
        <f>TrialBalanceB!I17</f>
        <v>0</v>
      </c>
      <c r="N3241" s="470"/>
      <c r="O3241" s="553">
        <f>TrialBalanceB!K17</f>
        <v>0</v>
      </c>
      <c r="P3241" s="459"/>
      <c r="Q3241" s="469"/>
      <c r="R3241" s="512" t="str">
        <f t="shared" si="210"/>
        <v>DELETE</v>
      </c>
      <c r="T3241" s="521"/>
    </row>
    <row r="3242" spans="2:24" ht="31.5" customHeight="1" x14ac:dyDescent="0.45">
      <c r="B3242" s="468"/>
      <c r="C3242" s="450"/>
      <c r="D3242" s="449">
        <f>TrialBalanceB!C18</f>
        <v>0</v>
      </c>
      <c r="J3242" s="451"/>
      <c r="K3242" s="451"/>
      <c r="L3242" s="451"/>
      <c r="M3242" s="533">
        <f>TrialBalanceB!I18</f>
        <v>0</v>
      </c>
      <c r="N3242" s="470"/>
      <c r="O3242" s="553">
        <f>TrialBalanceB!K18</f>
        <v>0</v>
      </c>
      <c r="P3242" s="459"/>
      <c r="Q3242" s="469"/>
      <c r="R3242" s="512" t="str">
        <f t="shared" si="210"/>
        <v>DELETE</v>
      </c>
      <c r="T3242" s="521"/>
    </row>
    <row r="3243" spans="2:24" ht="31.5" customHeight="1" x14ac:dyDescent="0.45">
      <c r="B3243" s="468"/>
      <c r="C3243" s="450"/>
      <c r="D3243" s="449">
        <f>TrialBalanceB!C19</f>
        <v>0</v>
      </c>
      <c r="J3243" s="451"/>
      <c r="K3243" s="451"/>
      <c r="L3243" s="451"/>
      <c r="M3243" s="533">
        <f>TrialBalanceB!I19</f>
        <v>0</v>
      </c>
      <c r="N3243" s="470"/>
      <c r="O3243" s="553">
        <f>TrialBalanceB!K19</f>
        <v>0</v>
      </c>
      <c r="P3243" s="459"/>
      <c r="Q3243" s="469"/>
      <c r="R3243" s="512" t="str">
        <f t="shared" si="210"/>
        <v>DELETE</v>
      </c>
      <c r="T3243" s="521"/>
    </row>
    <row r="3244" spans="2:24" ht="31.5" customHeight="1" x14ac:dyDescent="0.45">
      <c r="B3244" s="468"/>
      <c r="C3244" s="450"/>
      <c r="D3244" s="449">
        <f>TrialBalanceB!C20</f>
        <v>0</v>
      </c>
      <c r="J3244" s="451"/>
      <c r="K3244" s="451"/>
      <c r="L3244" s="451"/>
      <c r="M3244" s="533">
        <f>TrialBalanceB!I20</f>
        <v>0</v>
      </c>
      <c r="N3244" s="470"/>
      <c r="O3244" s="553">
        <f>TrialBalanceB!K20</f>
        <v>0</v>
      </c>
      <c r="P3244" s="459"/>
      <c r="Q3244" s="469"/>
      <c r="R3244" s="512" t="str">
        <f t="shared" si="210"/>
        <v>DELETE</v>
      </c>
      <c r="T3244" s="521"/>
    </row>
    <row r="3245" spans="2:24" ht="31.5" customHeight="1" x14ac:dyDescent="0.45">
      <c r="B3245" s="468"/>
      <c r="C3245" s="450"/>
      <c r="D3245" s="449">
        <f>TrialBalanceB!C21</f>
        <v>0</v>
      </c>
      <c r="J3245" s="451"/>
      <c r="K3245" s="451"/>
      <c r="L3245" s="451"/>
      <c r="M3245" s="533">
        <f>TrialBalanceB!I21</f>
        <v>0</v>
      </c>
      <c r="N3245" s="470"/>
      <c r="O3245" s="553">
        <f>TrialBalanceB!K21</f>
        <v>0</v>
      </c>
      <c r="P3245" s="459"/>
      <c r="Q3245" s="469"/>
      <c r="R3245" s="512" t="str">
        <f t="shared" si="210"/>
        <v>DELETE</v>
      </c>
      <c r="T3245" s="521"/>
    </row>
    <row r="3246" spans="2:24" ht="31.5" customHeight="1" x14ac:dyDescent="0.45">
      <c r="B3246" s="468"/>
      <c r="C3246" s="450"/>
      <c r="D3246" s="449">
        <f>TrialBalanceB!C22</f>
        <v>0</v>
      </c>
      <c r="J3246" s="451"/>
      <c r="K3246" s="451"/>
      <c r="L3246" s="451"/>
      <c r="M3246" s="533">
        <f>TrialBalanceB!I22</f>
        <v>0</v>
      </c>
      <c r="N3246" s="470"/>
      <c r="O3246" s="553">
        <f>TrialBalanceB!K22</f>
        <v>0</v>
      </c>
      <c r="P3246" s="459"/>
      <c r="Q3246" s="469"/>
      <c r="R3246" s="512" t="str">
        <f t="shared" si="210"/>
        <v>DELETE</v>
      </c>
      <c r="T3246" s="521"/>
    </row>
    <row r="3247" spans="2:24" ht="31.5" customHeight="1" x14ac:dyDescent="0.45">
      <c r="B3247" s="468"/>
      <c r="C3247" s="450"/>
      <c r="D3247" s="449" t="s">
        <v>609</v>
      </c>
      <c r="J3247" s="451"/>
      <c r="K3247" s="451"/>
      <c r="L3247" s="451"/>
      <c r="M3247" s="533">
        <f>SUM(TrialBalanceB!I23:I26)</f>
        <v>0</v>
      </c>
      <c r="N3247" s="470"/>
      <c r="O3247" s="553">
        <f>SUM(TrialBalanceB!K23:K26)</f>
        <v>0</v>
      </c>
      <c r="P3247" s="459"/>
      <c r="Q3247" s="469"/>
      <c r="R3247" s="512" t="str">
        <f t="shared" si="210"/>
        <v>DELETE</v>
      </c>
      <c r="T3247" s="521"/>
    </row>
    <row r="3248" spans="2:24" ht="9" customHeight="1" x14ac:dyDescent="0.45">
      <c r="B3248" s="468"/>
      <c r="C3248" s="450"/>
      <c r="J3248" s="451"/>
      <c r="K3248" s="451"/>
      <c r="L3248" s="451"/>
      <c r="M3248" s="534"/>
      <c r="N3248" s="473"/>
      <c r="O3248" s="554"/>
      <c r="P3248" s="459"/>
      <c r="Q3248" s="469"/>
      <c r="R3248" s="512" t="str">
        <f>R3237</f>
        <v>DELETE</v>
      </c>
      <c r="T3248" s="521"/>
    </row>
    <row r="3249" spans="2:26" ht="9" customHeight="1" x14ac:dyDescent="0.45">
      <c r="B3249" s="468"/>
      <c r="C3249" s="450"/>
      <c r="J3249" s="451"/>
      <c r="K3249" s="451"/>
      <c r="L3249" s="451"/>
      <c r="M3249" s="535"/>
      <c r="N3249" s="473"/>
      <c r="O3249" s="535"/>
      <c r="P3249" s="459"/>
      <c r="Q3249" s="469"/>
      <c r="R3249" s="512" t="str">
        <f>R3237</f>
        <v>DELETE</v>
      </c>
      <c r="T3249" s="521"/>
    </row>
    <row r="3250" spans="2:26" ht="9" customHeight="1" x14ac:dyDescent="0.45">
      <c r="B3250" s="468"/>
      <c r="C3250" s="450"/>
      <c r="J3250" s="451"/>
      <c r="K3250" s="451"/>
      <c r="L3250" s="451"/>
      <c r="M3250" s="531"/>
      <c r="N3250" s="470"/>
      <c r="O3250" s="531"/>
      <c r="P3250" s="459"/>
      <c r="Q3250" s="469"/>
      <c r="R3250" s="512" t="str">
        <f>R3249</f>
        <v>DELETE</v>
      </c>
      <c r="T3250" s="521"/>
    </row>
    <row r="3251" spans="2:26" ht="31.5" customHeight="1" x14ac:dyDescent="0.45">
      <c r="B3251" s="468"/>
      <c r="C3251" s="492" t="str">
        <f>IF((Y3251+Z3251)=3,"GROSS PROFIT/(LOSS)",(IF((Y3251+Z3251=4),"GROSS PROFIT","GROSS LOSS")))</f>
        <v>GROSS PROFIT</v>
      </c>
      <c r="J3251" s="451"/>
      <c r="K3251" s="451"/>
      <c r="L3251" s="451"/>
      <c r="M3251" s="531">
        <f>SUM(S3233:S3248)</f>
        <v>0</v>
      </c>
      <c r="N3251" s="470"/>
      <c r="O3251" s="531">
        <f>SUM(U3233:U3248)</f>
        <v>0</v>
      </c>
      <c r="P3251" s="459"/>
      <c r="Q3251" s="469"/>
      <c r="R3251" s="512" t="str">
        <f>R3250</f>
        <v>DELETE</v>
      </c>
      <c r="T3251" s="521"/>
      <c r="Y3251" s="513">
        <f>IF(M3251&lt;0,1,IF(M3251=0,IF(O3251&lt;0,1,2),2))</f>
        <v>2</v>
      </c>
      <c r="Z3251" s="513">
        <f>IF(O3251&lt;0,1,IF(O3251=0,IF(M3251&lt;0,1,2),2))</f>
        <v>2</v>
      </c>
    </row>
    <row r="3252" spans="2:26" ht="31.5" customHeight="1" x14ac:dyDescent="0.45">
      <c r="B3252" s="468"/>
      <c r="C3252" s="450"/>
      <c r="J3252" s="451"/>
      <c r="K3252" s="451"/>
      <c r="L3252" s="451"/>
      <c r="M3252" s="531"/>
      <c r="N3252" s="470"/>
      <c r="O3252" s="531"/>
      <c r="P3252" s="459"/>
      <c r="Q3252" s="469"/>
      <c r="R3252" s="512" t="str">
        <f>R3251</f>
        <v>DELETE</v>
      </c>
      <c r="T3252" s="521"/>
    </row>
    <row r="3253" spans="2:26" ht="31.5" customHeight="1" x14ac:dyDescent="0.45">
      <c r="B3253" s="468"/>
      <c r="C3253" s="450" t="s">
        <v>385</v>
      </c>
      <c r="J3253" s="451"/>
      <c r="K3253" s="451"/>
      <c r="L3253" s="451"/>
      <c r="M3253" s="531">
        <f>SUM(M3255:M3262)</f>
        <v>0</v>
      </c>
      <c r="N3253" s="470"/>
      <c r="O3253" s="531">
        <f>SUM(O3255:O3262)</f>
        <v>0</v>
      </c>
      <c r="P3253" s="459"/>
      <c r="Q3253" s="469"/>
      <c r="R3253" s="512" t="str">
        <f t="shared" ref="R3253" si="211">IF(R$3221="DELETE","DELETE",IF(M3253+O3253=0,"DELETE"," "))</f>
        <v>DELETE</v>
      </c>
      <c r="S3253" s="517">
        <f>M3253</f>
        <v>0</v>
      </c>
      <c r="T3253" s="521"/>
      <c r="U3253" s="517">
        <f>O3253</f>
        <v>0</v>
      </c>
    </row>
    <row r="3254" spans="2:26" ht="9" customHeight="1" x14ac:dyDescent="0.45">
      <c r="B3254" s="468"/>
      <c r="C3254" s="450"/>
      <c r="J3254" s="451"/>
      <c r="K3254" s="451"/>
      <c r="L3254" s="451"/>
      <c r="M3254" s="531"/>
      <c r="N3254" s="470"/>
      <c r="O3254" s="531"/>
      <c r="P3254" s="459"/>
      <c r="Q3254" s="469"/>
      <c r="R3254" s="512" t="str">
        <f>R3253</f>
        <v>DELETE</v>
      </c>
      <c r="T3254" s="521"/>
    </row>
    <row r="3255" spans="2:26" ht="9" customHeight="1" x14ac:dyDescent="0.45">
      <c r="B3255" s="468"/>
      <c r="C3255" s="450"/>
      <c r="J3255" s="451"/>
      <c r="K3255" s="451"/>
      <c r="L3255" s="451"/>
      <c r="M3255" s="532"/>
      <c r="N3255" s="471"/>
      <c r="O3255" s="552"/>
      <c r="P3255" s="459"/>
      <c r="Q3255" s="469"/>
      <c r="R3255" s="512" t="str">
        <f>R3253</f>
        <v>DELETE</v>
      </c>
      <c r="T3255" s="521"/>
    </row>
    <row r="3256" spans="2:26" ht="31.5" customHeight="1" x14ac:dyDescent="0.45">
      <c r="B3256" s="468"/>
      <c r="C3256" s="450"/>
      <c r="D3256" s="449" t="str">
        <f>TrialBalanceB!C28</f>
        <v>Insurance claims - Rental Properties</v>
      </c>
      <c r="J3256" s="451"/>
      <c r="K3256" s="451"/>
      <c r="L3256" s="451"/>
      <c r="M3256" s="533">
        <f>-TrialBalanceB!I28</f>
        <v>0</v>
      </c>
      <c r="N3256" s="470"/>
      <c r="O3256" s="553">
        <f>-TrialBalanceB!K28</f>
        <v>0</v>
      </c>
      <c r="P3256" s="459"/>
      <c r="Q3256" s="469"/>
      <c r="R3256" s="512" t="str">
        <f t="shared" ref="R3256:R3260" si="212">IF(R$3221="DELETE","DELETE",IF(M3256+O3256=0,"DELETE"," "))</f>
        <v>DELETE</v>
      </c>
      <c r="T3256" s="521"/>
    </row>
    <row r="3257" spans="2:26" ht="31.5" customHeight="1" x14ac:dyDescent="0.45">
      <c r="B3257" s="468"/>
      <c r="C3257" s="450"/>
      <c r="D3257" s="449" t="str">
        <f>TrialBalanceB!C29</f>
        <v>Government grants received</v>
      </c>
      <c r="J3257" s="451"/>
      <c r="K3257" s="451"/>
      <c r="L3257" s="451"/>
      <c r="M3257" s="533">
        <f>-TrialBalanceB!I29</f>
        <v>0</v>
      </c>
      <c r="N3257" s="470"/>
      <c r="O3257" s="553">
        <f>-TrialBalanceB!K29</f>
        <v>0</v>
      </c>
      <c r="P3257" s="459"/>
      <c r="Q3257" s="469"/>
      <c r="R3257" s="512" t="str">
        <f t="shared" si="212"/>
        <v>DELETE</v>
      </c>
      <c r="T3257" s="521"/>
    </row>
    <row r="3258" spans="2:26" ht="31.5" customHeight="1" x14ac:dyDescent="0.45">
      <c r="B3258" s="468"/>
      <c r="C3258" s="450"/>
      <c r="D3258" s="449">
        <f>TrialBalanceB!C30</f>
        <v>0</v>
      </c>
      <c r="J3258" s="451"/>
      <c r="K3258" s="451"/>
      <c r="L3258" s="451"/>
      <c r="M3258" s="533">
        <f>-TrialBalanceB!I30</f>
        <v>0</v>
      </c>
      <c r="N3258" s="470"/>
      <c r="O3258" s="553">
        <f>-TrialBalanceB!K30</f>
        <v>0</v>
      </c>
      <c r="P3258" s="459"/>
      <c r="Q3258" s="469"/>
      <c r="R3258" s="512" t="str">
        <f t="shared" si="212"/>
        <v>DELETE</v>
      </c>
      <c r="T3258" s="521"/>
    </row>
    <row r="3259" spans="2:26" ht="31.5" customHeight="1" x14ac:dyDescent="0.45">
      <c r="B3259" s="468"/>
      <c r="C3259" s="450"/>
      <c r="D3259" s="449">
        <f>TrialBalanceB!C31</f>
        <v>0</v>
      </c>
      <c r="J3259" s="451"/>
      <c r="K3259" s="451"/>
      <c r="L3259" s="451"/>
      <c r="M3259" s="533">
        <f>-TrialBalanceB!I31</f>
        <v>0</v>
      </c>
      <c r="N3259" s="470"/>
      <c r="O3259" s="553">
        <f>-TrialBalanceB!K31</f>
        <v>0</v>
      </c>
      <c r="P3259" s="459"/>
      <c r="Q3259" s="469"/>
      <c r="R3259" s="512" t="str">
        <f t="shared" si="212"/>
        <v>DELETE</v>
      </c>
      <c r="T3259" s="521"/>
    </row>
    <row r="3260" spans="2:26" ht="31.5" customHeight="1" x14ac:dyDescent="0.45">
      <c r="B3260" s="468"/>
      <c r="C3260" s="450"/>
      <c r="D3260" s="449">
        <f>TrialBalanceB!C32</f>
        <v>0</v>
      </c>
      <c r="J3260" s="451"/>
      <c r="K3260" s="451"/>
      <c r="L3260" s="451"/>
      <c r="M3260" s="533">
        <f>-TrialBalanceB!I32</f>
        <v>0</v>
      </c>
      <c r="N3260" s="470"/>
      <c r="O3260" s="553">
        <f>-TrialBalanceB!K32</f>
        <v>0</v>
      </c>
      <c r="P3260" s="459"/>
      <c r="Q3260" s="469"/>
      <c r="R3260" s="512" t="str">
        <f t="shared" si="212"/>
        <v>DELETE</v>
      </c>
      <c r="T3260" s="521"/>
    </row>
    <row r="3261" spans="2:26" ht="31.5" customHeight="1" x14ac:dyDescent="0.45">
      <c r="B3261" s="468"/>
      <c r="C3261" s="450"/>
      <c r="D3261" s="449" t="str">
        <f>TrialBalanceB!C33</f>
        <v>Recoupment of depreciation</v>
      </c>
      <c r="J3261" s="451"/>
      <c r="K3261" s="451"/>
      <c r="L3261" s="451"/>
      <c r="M3261" s="533">
        <f>-TrialBalanceB!I33</f>
        <v>0</v>
      </c>
      <c r="N3261" s="470"/>
      <c r="O3261" s="553">
        <f>-TrialBalanceB!K33</f>
        <v>0</v>
      </c>
      <c r="P3261" s="459"/>
      <c r="Q3261" s="469"/>
      <c r="R3261" s="512" t="str">
        <f t="shared" ref="R3261" si="213">IF(R$3221="DELETE","DELETE",IF(M3261+O3261=0,"DELETE"," "))</f>
        <v>DELETE</v>
      </c>
      <c r="T3261" s="521"/>
    </row>
    <row r="3262" spans="2:26" ht="9" customHeight="1" x14ac:dyDescent="0.45">
      <c r="B3262" s="468"/>
      <c r="C3262" s="450"/>
      <c r="J3262" s="451"/>
      <c r="K3262" s="451"/>
      <c r="L3262" s="451"/>
      <c r="M3262" s="534"/>
      <c r="N3262" s="473"/>
      <c r="O3262" s="554"/>
      <c r="P3262" s="459"/>
      <c r="Q3262" s="469"/>
      <c r="R3262" s="512" t="str">
        <f>R3253</f>
        <v>DELETE</v>
      </c>
      <c r="T3262" s="521"/>
    </row>
    <row r="3263" spans="2:26" ht="9" customHeight="1" x14ac:dyDescent="0.45">
      <c r="B3263" s="468"/>
      <c r="C3263" s="450"/>
      <c r="J3263" s="451"/>
      <c r="K3263" s="451"/>
      <c r="L3263" s="451"/>
      <c r="M3263" s="547"/>
      <c r="N3263" s="496"/>
      <c r="O3263" s="547"/>
      <c r="P3263" s="459"/>
      <c r="Q3263" s="469"/>
      <c r="R3263" s="512" t="str">
        <f>R3262</f>
        <v>DELETE</v>
      </c>
      <c r="T3263" s="521"/>
    </row>
    <row r="3264" spans="2:26" ht="9" customHeight="1" x14ac:dyDescent="0.45">
      <c r="B3264" s="468"/>
      <c r="C3264" s="450"/>
      <c r="J3264" s="451"/>
      <c r="K3264" s="451"/>
      <c r="L3264" s="451"/>
      <c r="M3264" s="531"/>
      <c r="N3264" s="470"/>
      <c r="O3264" s="531"/>
      <c r="P3264" s="459"/>
      <c r="Q3264" s="469"/>
      <c r="R3264" s="512" t="str">
        <f>R3263</f>
        <v>DELETE</v>
      </c>
      <c r="T3264" s="521"/>
    </row>
    <row r="3265" spans="2:24" ht="31.5" customHeight="1" x14ac:dyDescent="0.45">
      <c r="B3265" s="468"/>
      <c r="C3265" s="450"/>
      <c r="J3265" s="451"/>
      <c r="K3265" s="451"/>
      <c r="L3265" s="451"/>
      <c r="M3265" s="531">
        <f>SUM(S3233:S3253)</f>
        <v>0</v>
      </c>
      <c r="N3265" s="470"/>
      <c r="O3265" s="531">
        <f>SUM(U3233:U3253)</f>
        <v>0</v>
      </c>
      <c r="P3265" s="459"/>
      <c r="Q3265" s="469"/>
      <c r="R3265" s="512" t="str">
        <f>R3253</f>
        <v>DELETE</v>
      </c>
      <c r="T3265" s="521"/>
    </row>
    <row r="3266" spans="2:24" ht="31.5" customHeight="1" x14ac:dyDescent="0.45">
      <c r="B3266" s="468"/>
      <c r="C3266" s="450"/>
      <c r="J3266" s="451"/>
      <c r="K3266" s="451"/>
      <c r="L3266" s="451"/>
      <c r="M3266" s="531"/>
      <c r="N3266" s="470"/>
      <c r="O3266" s="531"/>
      <c r="P3266" s="459"/>
      <c r="Q3266" s="469"/>
      <c r="R3266" s="512" t="str">
        <f>R3265</f>
        <v>DELETE</v>
      </c>
      <c r="T3266" s="521"/>
    </row>
    <row r="3267" spans="2:24" ht="31.5" customHeight="1" x14ac:dyDescent="0.45">
      <c r="B3267" s="468"/>
      <c r="C3267" s="450" t="s">
        <v>1416</v>
      </c>
      <c r="J3267" s="451"/>
      <c r="K3267" s="451"/>
      <c r="L3267" s="451"/>
      <c r="M3267" s="531">
        <f>SUM(M3269:M3297)</f>
        <v>0</v>
      </c>
      <c r="N3267" s="470"/>
      <c r="O3267" s="531">
        <f>SUM(O3269:O3297)</f>
        <v>0</v>
      </c>
      <c r="P3267" s="459"/>
      <c r="Q3267" s="469"/>
      <c r="R3267" s="512" t="str">
        <f t="shared" ref="R3267" si="214">IF(R$3221="DELETE","DELETE",IF(M3267+O3267=0,"DELETE"," "))</f>
        <v>DELETE</v>
      </c>
      <c r="S3267" s="517">
        <f>-M3267</f>
        <v>0</v>
      </c>
      <c r="T3267" s="521"/>
      <c r="U3267" s="517">
        <f>-O3267</f>
        <v>0</v>
      </c>
      <c r="V3267" s="517"/>
      <c r="W3267" s="517"/>
      <c r="X3267" s="517"/>
    </row>
    <row r="3268" spans="2:24" ht="9" customHeight="1" x14ac:dyDescent="0.45">
      <c r="B3268" s="468"/>
      <c r="C3268" s="450"/>
      <c r="J3268" s="451"/>
      <c r="K3268" s="451"/>
      <c r="L3268" s="451"/>
      <c r="M3268" s="531"/>
      <c r="N3268" s="470"/>
      <c r="O3268" s="531"/>
      <c r="P3268" s="459"/>
      <c r="Q3268" s="469"/>
      <c r="R3268" s="512" t="str">
        <f>R3267</f>
        <v>DELETE</v>
      </c>
      <c r="T3268" s="521"/>
    </row>
    <row r="3269" spans="2:24" ht="9" customHeight="1" x14ac:dyDescent="0.45">
      <c r="B3269" s="468"/>
      <c r="C3269" s="450"/>
      <c r="J3269" s="451"/>
      <c r="K3269" s="451"/>
      <c r="L3269" s="451"/>
      <c r="M3269" s="532"/>
      <c r="N3269" s="471"/>
      <c r="O3269" s="552"/>
      <c r="P3269" s="459"/>
      <c r="Q3269" s="469"/>
      <c r="R3269" s="512" t="str">
        <f>R3268</f>
        <v>DELETE</v>
      </c>
      <c r="T3269" s="521"/>
    </row>
    <row r="3270" spans="2:24" ht="31.5" customHeight="1" x14ac:dyDescent="0.45">
      <c r="B3270" s="468"/>
      <c r="C3270" s="450"/>
      <c r="D3270" s="449" t="s">
        <v>335</v>
      </c>
      <c r="J3270" s="451"/>
      <c r="K3270" s="451"/>
      <c r="L3270" s="451"/>
      <c r="M3270" s="533">
        <f>TrialBalanceB!I40</f>
        <v>0</v>
      </c>
      <c r="N3270" s="470"/>
      <c r="O3270" s="553">
        <f>TrialBalanceB!K40</f>
        <v>0</v>
      </c>
      <c r="P3270" s="459"/>
      <c r="Q3270" s="469"/>
      <c r="R3270" s="512" t="str">
        <f t="shared" ref="R3270:R3296" si="215">IF(R$3221="DELETE","DELETE",IF(M3270+O3270=0,"DELETE"," "))</f>
        <v>DELETE</v>
      </c>
      <c r="T3270" s="521"/>
    </row>
    <row r="3271" spans="2:24" ht="31.5" customHeight="1" x14ac:dyDescent="0.45">
      <c r="B3271" s="468"/>
      <c r="C3271" s="450"/>
      <c r="D3271" s="449" t="s">
        <v>888</v>
      </c>
      <c r="J3271" s="451"/>
      <c r="K3271" s="451"/>
      <c r="L3271" s="451"/>
      <c r="M3271" s="533">
        <f>TrialBalanceB!I41</f>
        <v>0</v>
      </c>
      <c r="N3271" s="470"/>
      <c r="O3271" s="553">
        <f>TrialBalanceB!K41</f>
        <v>0</v>
      </c>
      <c r="P3271" s="459"/>
      <c r="Q3271" s="469"/>
      <c r="R3271" s="512" t="str">
        <f t="shared" si="215"/>
        <v>DELETE</v>
      </c>
      <c r="T3271" s="521"/>
    </row>
    <row r="3272" spans="2:24" ht="31.5" customHeight="1" x14ac:dyDescent="0.45">
      <c r="B3272" s="468"/>
      <c r="C3272" s="450"/>
      <c r="D3272" s="449" t="s">
        <v>336</v>
      </c>
      <c r="J3272" s="451"/>
      <c r="K3272" s="451"/>
      <c r="L3272" s="451"/>
      <c r="M3272" s="533">
        <f>TrialBalanceB!I42</f>
        <v>0</v>
      </c>
      <c r="N3272" s="470"/>
      <c r="O3272" s="553">
        <f>TrialBalanceB!K42</f>
        <v>0</v>
      </c>
      <c r="P3272" s="459"/>
      <c r="Q3272" s="469"/>
      <c r="R3272" s="512" t="str">
        <f t="shared" si="215"/>
        <v>DELETE</v>
      </c>
      <c r="T3272" s="521"/>
    </row>
    <row r="3273" spans="2:24" ht="31.5" customHeight="1" x14ac:dyDescent="0.45">
      <c r="B3273" s="468"/>
      <c r="C3273" s="450"/>
      <c r="D3273" s="449" t="s">
        <v>337</v>
      </c>
      <c r="J3273" s="451"/>
      <c r="K3273" s="451">
        <f>C$1203</f>
        <v>5.2999999999999989</v>
      </c>
      <c r="L3273" s="451"/>
      <c r="M3273" s="533">
        <f>SUM(TrialBalanceB!I44:I46)</f>
        <v>0</v>
      </c>
      <c r="N3273" s="470"/>
      <c r="O3273" s="553">
        <f>SUM(TrialBalanceB!K44:K46)</f>
        <v>0</v>
      </c>
      <c r="P3273" s="459"/>
      <c r="Q3273" s="469"/>
      <c r="R3273" s="512" t="str">
        <f t="shared" si="215"/>
        <v>DELETE</v>
      </c>
      <c r="T3273" s="521"/>
    </row>
    <row r="3274" spans="2:24" ht="31.5" customHeight="1" x14ac:dyDescent="0.45">
      <c r="B3274" s="468"/>
      <c r="C3274" s="450"/>
      <c r="D3274" s="449" t="s">
        <v>610</v>
      </c>
      <c r="J3274" s="451"/>
      <c r="K3274" s="451"/>
      <c r="L3274" s="451"/>
      <c r="M3274" s="533">
        <f>TrialBalanceB!I47</f>
        <v>0</v>
      </c>
      <c r="N3274" s="470"/>
      <c r="O3274" s="553">
        <f>TrialBalanceB!K47</f>
        <v>0</v>
      </c>
      <c r="P3274" s="459"/>
      <c r="Q3274" s="469"/>
      <c r="R3274" s="512" t="str">
        <f t="shared" si="215"/>
        <v>DELETE</v>
      </c>
      <c r="S3274" s="518"/>
      <c r="T3274" s="521"/>
      <c r="U3274" s="518"/>
      <c r="V3274" s="518"/>
      <c r="W3274" s="518"/>
      <c r="X3274" s="518"/>
    </row>
    <row r="3275" spans="2:24" ht="31.5" customHeight="1" x14ac:dyDescent="0.45">
      <c r="B3275" s="468"/>
      <c r="C3275" s="450"/>
      <c r="D3275" s="449" t="s">
        <v>933</v>
      </c>
      <c r="J3275" s="451"/>
      <c r="K3275" s="451"/>
      <c r="L3275" s="451"/>
      <c r="M3275" s="533">
        <f>TrialBalanceB!I48</f>
        <v>0</v>
      </c>
      <c r="N3275" s="470"/>
      <c r="O3275" s="553">
        <f>TrialBalanceB!K48</f>
        <v>0</v>
      </c>
      <c r="P3275" s="459"/>
      <c r="Q3275" s="469"/>
      <c r="R3275" s="512" t="str">
        <f t="shared" si="215"/>
        <v>DELETE</v>
      </c>
      <c r="T3275" s="521"/>
    </row>
    <row r="3276" spans="2:24" ht="31.5" customHeight="1" x14ac:dyDescent="0.45">
      <c r="B3276" s="468"/>
      <c r="C3276" s="450"/>
      <c r="D3276" s="449" t="s">
        <v>74</v>
      </c>
      <c r="J3276" s="451"/>
      <c r="K3276" s="451"/>
      <c r="L3276" s="451"/>
      <c r="M3276" s="533">
        <f>TrialBalanceB!I49</f>
        <v>0</v>
      </c>
      <c r="N3276" s="470"/>
      <c r="O3276" s="553">
        <f>TrialBalanceB!K49</f>
        <v>0</v>
      </c>
      <c r="P3276" s="459"/>
      <c r="Q3276" s="469"/>
      <c r="R3276" s="512" t="str">
        <f t="shared" si="215"/>
        <v>DELETE</v>
      </c>
      <c r="T3276" s="521"/>
    </row>
    <row r="3277" spans="2:24" ht="31.5" customHeight="1" x14ac:dyDescent="0.45">
      <c r="B3277" s="468"/>
      <c r="C3277" s="450"/>
      <c r="D3277" s="449" t="s">
        <v>338</v>
      </c>
      <c r="J3277" s="451"/>
      <c r="K3277" s="451"/>
      <c r="L3277" s="451"/>
      <c r="M3277" s="533">
        <f>TrialBalanceB!I50</f>
        <v>0</v>
      </c>
      <c r="N3277" s="470"/>
      <c r="O3277" s="553">
        <f>TrialBalanceB!K50</f>
        <v>0</v>
      </c>
      <c r="P3277" s="459"/>
      <c r="Q3277" s="469"/>
      <c r="R3277" s="512" t="str">
        <f t="shared" si="215"/>
        <v>DELETE</v>
      </c>
      <c r="T3277" s="521"/>
    </row>
    <row r="3278" spans="2:24" ht="31.5" customHeight="1" x14ac:dyDescent="0.45">
      <c r="B3278" s="468"/>
      <c r="C3278" s="450"/>
      <c r="D3278" s="449" t="s">
        <v>632</v>
      </c>
      <c r="J3278" s="451"/>
      <c r="K3278" s="451"/>
      <c r="L3278" s="451"/>
      <c r="M3278" s="533">
        <f>SUM(TrialBalanceB!I51:I52)</f>
        <v>0</v>
      </c>
      <c r="N3278" s="470"/>
      <c r="O3278" s="553">
        <f>SUM(TrialBalanceB!K51:K52)</f>
        <v>0</v>
      </c>
      <c r="P3278" s="459"/>
      <c r="Q3278" s="469"/>
      <c r="R3278" s="512" t="str">
        <f t="shared" si="215"/>
        <v>DELETE</v>
      </c>
      <c r="T3278" s="521"/>
    </row>
    <row r="3279" spans="2:24" ht="31.5" customHeight="1" x14ac:dyDescent="0.45">
      <c r="B3279" s="468"/>
      <c r="C3279" s="450"/>
      <c r="D3279" s="449" t="s">
        <v>630</v>
      </c>
      <c r="J3279" s="451"/>
      <c r="K3279" s="451"/>
      <c r="L3279" s="451"/>
      <c r="M3279" s="533">
        <f>TrialBalanceB!I53</f>
        <v>0</v>
      </c>
      <c r="N3279" s="470"/>
      <c r="O3279" s="553">
        <f>TrialBalanceB!K53</f>
        <v>0</v>
      </c>
      <c r="P3279" s="459"/>
      <c r="Q3279" s="469"/>
      <c r="R3279" s="512" t="str">
        <f t="shared" si="215"/>
        <v>DELETE</v>
      </c>
      <c r="T3279" s="521"/>
    </row>
    <row r="3280" spans="2:24" ht="31.5" customHeight="1" x14ac:dyDescent="0.45">
      <c r="B3280" s="468"/>
      <c r="C3280" s="450"/>
      <c r="D3280" s="449" t="s">
        <v>611</v>
      </c>
      <c r="J3280" s="451"/>
      <c r="K3280" s="451"/>
      <c r="L3280" s="451"/>
      <c r="M3280" s="533">
        <f>SUM(TrialBalanceB!I55:I59)</f>
        <v>0</v>
      </c>
      <c r="N3280" s="470"/>
      <c r="O3280" s="553">
        <f>SUM(TrialBalanceB!K55:K59)</f>
        <v>0</v>
      </c>
      <c r="P3280" s="459"/>
      <c r="Q3280" s="469"/>
      <c r="R3280" s="512" t="str">
        <f t="shared" si="215"/>
        <v>DELETE</v>
      </c>
      <c r="T3280" s="521"/>
    </row>
    <row r="3281" spans="2:20" ht="31.5" customHeight="1" x14ac:dyDescent="0.45">
      <c r="B3281" s="468"/>
      <c r="C3281" s="450"/>
      <c r="D3281" s="449" t="s">
        <v>590</v>
      </c>
      <c r="J3281" s="451"/>
      <c r="K3281" s="451">
        <f>FS!C$1171</f>
        <v>5.1999999999999993</v>
      </c>
      <c r="L3281" s="451"/>
      <c r="M3281" s="533">
        <f>SUM(TrialBalanceB!I61:I63)</f>
        <v>0</v>
      </c>
      <c r="N3281" s="470"/>
      <c r="O3281" s="553">
        <f>SUM(TrialBalanceB!K61:K63)</f>
        <v>0</v>
      </c>
      <c r="P3281" s="459"/>
      <c r="Q3281" s="469"/>
      <c r="R3281" s="512" t="str">
        <f t="shared" si="215"/>
        <v>DELETE</v>
      </c>
      <c r="T3281" s="521"/>
    </row>
    <row r="3282" spans="2:20" ht="31.5" customHeight="1" x14ac:dyDescent="0.45">
      <c r="B3282" s="468"/>
      <c r="C3282" s="450"/>
      <c r="D3282" s="449" t="s">
        <v>82</v>
      </c>
      <c r="J3282" s="451"/>
      <c r="K3282" s="451"/>
      <c r="L3282" s="451"/>
      <c r="M3282" s="533">
        <f>TrialBalanceB!I64</f>
        <v>0</v>
      </c>
      <c r="N3282" s="470"/>
      <c r="O3282" s="553">
        <f>TrialBalanceB!K64</f>
        <v>0</v>
      </c>
      <c r="P3282" s="459"/>
      <c r="Q3282" s="469"/>
      <c r="R3282" s="512" t="str">
        <f t="shared" si="215"/>
        <v>DELETE</v>
      </c>
      <c r="T3282" s="521"/>
    </row>
    <row r="3283" spans="2:20" ht="31.5" customHeight="1" x14ac:dyDescent="0.45">
      <c r="B3283" s="468"/>
      <c r="C3283" s="450"/>
      <c r="D3283" s="449" t="s">
        <v>309</v>
      </c>
      <c r="J3283" s="451"/>
      <c r="K3283" s="451"/>
      <c r="L3283" s="451"/>
      <c r="M3283" s="533">
        <f>SUM(TrialBalanceB!I65:I67)</f>
        <v>0</v>
      </c>
      <c r="N3283" s="470"/>
      <c r="O3283" s="553">
        <f>SUM(TrialBalanceB!K65:K67)</f>
        <v>0</v>
      </c>
      <c r="P3283" s="459"/>
      <c r="Q3283" s="469"/>
      <c r="R3283" s="512" t="str">
        <f t="shared" si="215"/>
        <v>DELETE</v>
      </c>
      <c r="T3283" s="521"/>
    </row>
    <row r="3284" spans="2:20" ht="31.5" customHeight="1" x14ac:dyDescent="0.45">
      <c r="B3284" s="468"/>
      <c r="C3284" s="450"/>
      <c r="D3284" s="449" t="s">
        <v>934</v>
      </c>
      <c r="J3284" s="451"/>
      <c r="K3284" s="451"/>
      <c r="L3284" s="451"/>
      <c r="M3284" s="533">
        <f>SUM(TrialBalanceB!I68:I69)</f>
        <v>0</v>
      </c>
      <c r="N3284" s="470"/>
      <c r="O3284" s="553">
        <f>SUM(TrialBalanceB!K68:K69)</f>
        <v>0</v>
      </c>
      <c r="P3284" s="459"/>
      <c r="Q3284" s="469"/>
      <c r="R3284" s="512" t="str">
        <f t="shared" si="215"/>
        <v>DELETE</v>
      </c>
      <c r="T3284" s="521"/>
    </row>
    <row r="3285" spans="2:20" ht="31.5" customHeight="1" x14ac:dyDescent="0.45">
      <c r="B3285" s="468"/>
      <c r="C3285" s="450"/>
      <c r="D3285" s="449" t="s">
        <v>310</v>
      </c>
      <c r="J3285" s="451"/>
      <c r="K3285" s="451"/>
      <c r="L3285" s="451"/>
      <c r="M3285" s="533">
        <f>TrialBalanceB!I70</f>
        <v>0</v>
      </c>
      <c r="N3285" s="470"/>
      <c r="O3285" s="553">
        <f>TrialBalanceB!K70</f>
        <v>0</v>
      </c>
      <c r="P3285" s="459"/>
      <c r="Q3285" s="469"/>
      <c r="R3285" s="512" t="str">
        <f t="shared" si="215"/>
        <v>DELETE</v>
      </c>
      <c r="T3285" s="521"/>
    </row>
    <row r="3286" spans="2:20" ht="31.5" customHeight="1" x14ac:dyDescent="0.45">
      <c r="B3286" s="468"/>
      <c r="C3286" s="450"/>
      <c r="D3286" s="449" t="s">
        <v>461</v>
      </c>
      <c r="J3286" s="451"/>
      <c r="K3286" s="451"/>
      <c r="L3286" s="451"/>
      <c r="M3286" s="533">
        <f>TrialBalanceB!I71</f>
        <v>0</v>
      </c>
      <c r="N3286" s="470"/>
      <c r="O3286" s="553">
        <f>TrialBalanceB!K71</f>
        <v>0</v>
      </c>
      <c r="P3286" s="459"/>
      <c r="Q3286" s="469"/>
      <c r="R3286" s="512" t="str">
        <f t="shared" si="215"/>
        <v>DELETE</v>
      </c>
      <c r="T3286" s="521"/>
    </row>
    <row r="3287" spans="2:20" ht="31.5" customHeight="1" x14ac:dyDescent="0.45">
      <c r="B3287" s="468"/>
      <c r="C3287" s="450"/>
      <c r="D3287" s="449">
        <f>TrialBalanceB!C72</f>
        <v>0</v>
      </c>
      <c r="J3287" s="451"/>
      <c r="K3287" s="451"/>
      <c r="L3287" s="451"/>
      <c r="M3287" s="533">
        <f>TrialBalanceB!I72</f>
        <v>0</v>
      </c>
      <c r="N3287" s="470"/>
      <c r="O3287" s="553">
        <f>TrialBalanceB!K72</f>
        <v>0</v>
      </c>
      <c r="P3287" s="459"/>
      <c r="Q3287" s="469"/>
      <c r="R3287" s="512" t="str">
        <f t="shared" si="215"/>
        <v>DELETE</v>
      </c>
      <c r="T3287" s="521"/>
    </row>
    <row r="3288" spans="2:20" ht="31.5" customHeight="1" x14ac:dyDescent="0.45">
      <c r="B3288" s="468"/>
      <c r="C3288" s="450"/>
      <c r="D3288" s="449">
        <f>TrialBalanceB!C73</f>
        <v>0</v>
      </c>
      <c r="J3288" s="451"/>
      <c r="K3288" s="451"/>
      <c r="L3288" s="451"/>
      <c r="M3288" s="533">
        <f>TrialBalanceB!I73</f>
        <v>0</v>
      </c>
      <c r="N3288" s="470"/>
      <c r="O3288" s="553">
        <f>TrialBalanceB!K73</f>
        <v>0</v>
      </c>
      <c r="P3288" s="459"/>
      <c r="Q3288" s="469"/>
      <c r="R3288" s="512" t="str">
        <f t="shared" si="215"/>
        <v>DELETE</v>
      </c>
      <c r="T3288" s="521"/>
    </row>
    <row r="3289" spans="2:20" ht="31.5" customHeight="1" x14ac:dyDescent="0.45">
      <c r="B3289" s="468"/>
      <c r="C3289" s="450"/>
      <c r="D3289" s="449">
        <f>TrialBalanceB!C74</f>
        <v>0</v>
      </c>
      <c r="J3289" s="451"/>
      <c r="K3289" s="451"/>
      <c r="L3289" s="451"/>
      <c r="M3289" s="533">
        <f>TrialBalanceB!I74</f>
        <v>0</v>
      </c>
      <c r="N3289" s="470"/>
      <c r="O3289" s="553">
        <f>TrialBalanceB!K74</f>
        <v>0</v>
      </c>
      <c r="P3289" s="459"/>
      <c r="Q3289" s="469"/>
      <c r="R3289" s="512" t="str">
        <f t="shared" si="215"/>
        <v>DELETE</v>
      </c>
      <c r="T3289" s="521"/>
    </row>
    <row r="3290" spans="2:20" ht="31.5" customHeight="1" x14ac:dyDescent="0.45">
      <c r="B3290" s="468"/>
      <c r="C3290" s="450"/>
      <c r="D3290" s="449">
        <f>TrialBalanceB!C75</f>
        <v>0</v>
      </c>
      <c r="J3290" s="451"/>
      <c r="K3290" s="451"/>
      <c r="L3290" s="451"/>
      <c r="M3290" s="533">
        <f>TrialBalanceB!I75</f>
        <v>0</v>
      </c>
      <c r="N3290" s="470"/>
      <c r="O3290" s="553">
        <f>TrialBalanceB!K75</f>
        <v>0</v>
      </c>
      <c r="P3290" s="459"/>
      <c r="Q3290" s="469"/>
      <c r="R3290" s="512" t="str">
        <f t="shared" si="215"/>
        <v>DELETE</v>
      </c>
      <c r="T3290" s="521"/>
    </row>
    <row r="3291" spans="2:20" ht="31.5" customHeight="1" x14ac:dyDescent="0.45">
      <c r="B3291" s="468"/>
      <c r="C3291" s="450"/>
      <c r="D3291" s="449">
        <f>TrialBalanceB!C76</f>
        <v>0</v>
      </c>
      <c r="J3291" s="451"/>
      <c r="K3291" s="451"/>
      <c r="L3291" s="451"/>
      <c r="M3291" s="533">
        <f>TrialBalanceB!I76</f>
        <v>0</v>
      </c>
      <c r="N3291" s="470"/>
      <c r="O3291" s="553">
        <f>TrialBalanceB!K76</f>
        <v>0</v>
      </c>
      <c r="P3291" s="459"/>
      <c r="Q3291" s="469"/>
      <c r="R3291" s="512" t="str">
        <f t="shared" si="215"/>
        <v>DELETE</v>
      </c>
      <c r="T3291" s="521"/>
    </row>
    <row r="3292" spans="2:20" ht="31.5" customHeight="1" x14ac:dyDescent="0.45">
      <c r="B3292" s="468"/>
      <c r="C3292" s="450"/>
      <c r="D3292" s="449">
        <f>TrialBalanceB!C77</f>
        <v>0</v>
      </c>
      <c r="J3292" s="451"/>
      <c r="K3292" s="451"/>
      <c r="L3292" s="451"/>
      <c r="M3292" s="533">
        <f>TrialBalanceB!I77</f>
        <v>0</v>
      </c>
      <c r="N3292" s="470"/>
      <c r="O3292" s="553">
        <f>TrialBalanceB!K77</f>
        <v>0</v>
      </c>
      <c r="P3292" s="459"/>
      <c r="Q3292" s="469"/>
      <c r="R3292" s="512" t="str">
        <f t="shared" si="215"/>
        <v>DELETE</v>
      </c>
      <c r="T3292" s="521"/>
    </row>
    <row r="3293" spans="2:20" ht="31.5" customHeight="1" x14ac:dyDescent="0.45">
      <c r="B3293" s="468"/>
      <c r="C3293" s="450"/>
      <c r="D3293" s="449">
        <f>TrialBalanceB!C78</f>
        <v>0</v>
      </c>
      <c r="J3293" s="451"/>
      <c r="K3293" s="451"/>
      <c r="L3293" s="451"/>
      <c r="M3293" s="533">
        <f>TrialBalanceB!I78</f>
        <v>0</v>
      </c>
      <c r="N3293" s="470"/>
      <c r="O3293" s="553">
        <f>TrialBalanceB!K78</f>
        <v>0</v>
      </c>
      <c r="P3293" s="459"/>
      <c r="Q3293" s="469"/>
      <c r="R3293" s="512" t="str">
        <f t="shared" si="215"/>
        <v>DELETE</v>
      </c>
      <c r="T3293" s="521"/>
    </row>
    <row r="3294" spans="2:20" ht="31.5" customHeight="1" x14ac:dyDescent="0.45">
      <c r="B3294" s="468"/>
      <c r="C3294" s="450"/>
      <c r="D3294" s="449">
        <f>TrialBalanceB!C79</f>
        <v>0</v>
      </c>
      <c r="J3294" s="451"/>
      <c r="K3294" s="451"/>
      <c r="L3294" s="451"/>
      <c r="M3294" s="533">
        <f>TrialBalanceB!I79</f>
        <v>0</v>
      </c>
      <c r="N3294" s="470"/>
      <c r="O3294" s="553">
        <f>TrialBalanceB!K79</f>
        <v>0</v>
      </c>
      <c r="P3294" s="459"/>
      <c r="Q3294" s="469"/>
      <c r="R3294" s="512" t="str">
        <f t="shared" si="215"/>
        <v>DELETE</v>
      </c>
      <c r="T3294" s="521"/>
    </row>
    <row r="3295" spans="2:20" ht="31.5" customHeight="1" x14ac:dyDescent="0.45">
      <c r="B3295" s="468"/>
      <c r="C3295" s="450"/>
      <c r="D3295" s="449">
        <f>TrialBalanceB!C80</f>
        <v>0</v>
      </c>
      <c r="J3295" s="451"/>
      <c r="K3295" s="451"/>
      <c r="L3295" s="451"/>
      <c r="M3295" s="533">
        <f>TrialBalanceB!I80</f>
        <v>0</v>
      </c>
      <c r="N3295" s="470"/>
      <c r="O3295" s="553">
        <f>TrialBalanceB!K80</f>
        <v>0</v>
      </c>
      <c r="P3295" s="459"/>
      <c r="Q3295" s="469"/>
      <c r="R3295" s="512" t="str">
        <f t="shared" si="215"/>
        <v>DELETE</v>
      </c>
      <c r="T3295" s="521"/>
    </row>
    <row r="3296" spans="2:20" ht="31.5" customHeight="1" x14ac:dyDescent="0.45">
      <c r="B3296" s="468"/>
      <c r="C3296" s="450"/>
      <c r="D3296" s="449">
        <f>TrialBalanceB!C81</f>
        <v>0</v>
      </c>
      <c r="J3296" s="451"/>
      <c r="K3296" s="451"/>
      <c r="L3296" s="451"/>
      <c r="M3296" s="533">
        <f>TrialBalanceB!I81</f>
        <v>0</v>
      </c>
      <c r="N3296" s="470"/>
      <c r="O3296" s="553">
        <f>TrialBalanceB!K81</f>
        <v>0</v>
      </c>
      <c r="P3296" s="459"/>
      <c r="Q3296" s="469"/>
      <c r="R3296" s="512" t="str">
        <f t="shared" si="215"/>
        <v>DELETE</v>
      </c>
      <c r="T3296" s="521"/>
    </row>
    <row r="3297" spans="2:26" ht="9" customHeight="1" x14ac:dyDescent="0.45">
      <c r="B3297" s="468"/>
      <c r="C3297" s="450"/>
      <c r="J3297" s="451"/>
      <c r="K3297" s="451"/>
      <c r="L3297" s="451"/>
      <c r="M3297" s="534"/>
      <c r="N3297" s="473"/>
      <c r="O3297" s="554"/>
      <c r="P3297" s="459"/>
      <c r="Q3297" s="469"/>
      <c r="R3297" s="512" t="str">
        <f>R3267</f>
        <v>DELETE</v>
      </c>
      <c r="T3297" s="521"/>
    </row>
    <row r="3298" spans="2:26" ht="9" customHeight="1" x14ac:dyDescent="0.45">
      <c r="B3298" s="468"/>
      <c r="C3298" s="450"/>
      <c r="J3298" s="451"/>
      <c r="K3298" s="451"/>
      <c r="L3298" s="451"/>
      <c r="M3298" s="535"/>
      <c r="N3298" s="473"/>
      <c r="O3298" s="535"/>
      <c r="P3298" s="459"/>
      <c r="Q3298" s="469"/>
      <c r="R3298" s="512" t="str">
        <f t="shared" ref="R3298:R3318" si="216">R$3221</f>
        <v>DELETE</v>
      </c>
      <c r="T3298" s="521"/>
    </row>
    <row r="3299" spans="2:26" ht="9" customHeight="1" x14ac:dyDescent="0.45">
      <c r="B3299" s="468"/>
      <c r="C3299" s="450"/>
      <c r="J3299" s="451"/>
      <c r="K3299" s="451"/>
      <c r="L3299" s="451"/>
      <c r="M3299" s="531"/>
      <c r="N3299" s="470"/>
      <c r="O3299" s="531"/>
      <c r="P3299" s="459"/>
      <c r="Q3299" s="469"/>
      <c r="R3299" s="512" t="str">
        <f t="shared" si="216"/>
        <v>DELETE</v>
      </c>
      <c r="T3299" s="521"/>
    </row>
    <row r="3300" spans="2:26" ht="31.5" customHeight="1" x14ac:dyDescent="0.45">
      <c r="B3300" s="468"/>
      <c r="C3300" s="492" t="str">
        <f>IF((Y3300+Z3300)=3,"OPERATING PROFIT/(LOSS)",(IF((Y3300+Z3300=4),"OPERATING PROFIT","OPERATING LOSS")))</f>
        <v>OPERATING PROFIT</v>
      </c>
      <c r="J3300" s="451"/>
      <c r="K3300" s="451"/>
      <c r="L3300" s="451"/>
      <c r="M3300" s="531">
        <f>SUM(S3233:S3298)</f>
        <v>0</v>
      </c>
      <c r="N3300" s="470"/>
      <c r="O3300" s="531">
        <f>SUM(U3233:U3298)</f>
        <v>0</v>
      </c>
      <c r="P3300" s="459"/>
      <c r="Q3300" s="469"/>
      <c r="R3300" s="512" t="str">
        <f t="shared" si="216"/>
        <v>DELETE</v>
      </c>
      <c r="T3300" s="521"/>
      <c r="Y3300" s="513">
        <f>IF(M3300&lt;0,1,IF(M3300=0,IF(O3300&lt;0,1,2),2))</f>
        <v>2</v>
      </c>
      <c r="Z3300" s="513">
        <f>IF(O3300&lt;0,1,IF(O3300=0,IF(M3300&lt;0,1,2),2))</f>
        <v>2</v>
      </c>
    </row>
    <row r="3301" spans="2:26" ht="31.5" customHeight="1" x14ac:dyDescent="0.45">
      <c r="B3301" s="468"/>
      <c r="C3301" s="450"/>
      <c r="D3301" s="449" t="s">
        <v>312</v>
      </c>
      <c r="J3301" s="451"/>
      <c r="K3301" s="451"/>
      <c r="L3301" s="451"/>
      <c r="M3301" s="531"/>
      <c r="N3301" s="470"/>
      <c r="O3301" s="531"/>
      <c r="P3301" s="459"/>
      <c r="Q3301" s="469"/>
      <c r="R3301" s="512" t="str">
        <f t="shared" si="216"/>
        <v>DELETE</v>
      </c>
      <c r="T3301" s="521"/>
    </row>
    <row r="3302" spans="2:26" ht="31.5" customHeight="1" x14ac:dyDescent="0.45">
      <c r="B3302" s="468"/>
      <c r="C3302" s="450"/>
      <c r="J3302" s="451"/>
      <c r="K3302" s="451"/>
      <c r="L3302" s="451"/>
      <c r="M3302" s="531"/>
      <c r="N3302" s="470"/>
      <c r="O3302" s="531"/>
      <c r="P3302" s="459"/>
      <c r="Q3302" s="469"/>
      <c r="R3302" s="512" t="str">
        <f t="shared" si="216"/>
        <v>DELETE</v>
      </c>
      <c r="T3302" s="521"/>
    </row>
    <row r="3303" spans="2:26" ht="31.5" customHeight="1" x14ac:dyDescent="0.45">
      <c r="B3303" s="468"/>
      <c r="C3303" s="450"/>
      <c r="J3303" s="451"/>
      <c r="K3303" s="451"/>
      <c r="L3303" s="451"/>
      <c r="M3303" s="531"/>
      <c r="N3303" s="470"/>
      <c r="O3303" s="531"/>
      <c r="P3303" s="459"/>
      <c r="Q3303" s="469"/>
      <c r="R3303" s="512" t="str">
        <f t="shared" si="216"/>
        <v>DELETE</v>
      </c>
      <c r="T3303" s="521"/>
    </row>
    <row r="3304" spans="2:26" ht="31.5" customHeight="1" x14ac:dyDescent="0.45">
      <c r="B3304" s="477"/>
      <c r="C3304" s="502"/>
      <c r="D3304" s="461"/>
      <c r="E3304" s="461"/>
      <c r="F3304" s="461"/>
      <c r="G3304" s="461"/>
      <c r="H3304" s="461"/>
      <c r="I3304" s="461"/>
      <c r="J3304" s="483"/>
      <c r="K3304" s="483"/>
      <c r="L3304" s="483"/>
      <c r="M3304" s="535"/>
      <c r="N3304" s="473"/>
      <c r="O3304" s="535"/>
      <c r="P3304" s="484"/>
      <c r="Q3304" s="479"/>
      <c r="R3304" s="512" t="str">
        <f t="shared" si="216"/>
        <v>DELETE</v>
      </c>
      <c r="T3304" s="521"/>
    </row>
    <row r="3305" spans="2:26" ht="31.5" customHeight="1" x14ac:dyDescent="0.45">
      <c r="C3305" s="450"/>
      <c r="J3305" s="451"/>
      <c r="K3305" s="451"/>
      <c r="L3305" s="451"/>
      <c r="M3305" s="531"/>
      <c r="N3305" s="470"/>
      <c r="O3305" s="531"/>
      <c r="P3305" s="459"/>
      <c r="R3305" s="512" t="str">
        <f t="shared" si="216"/>
        <v>DELETE</v>
      </c>
      <c r="T3305" s="521"/>
    </row>
    <row r="3306" spans="2:26" ht="31.5" customHeight="1" x14ac:dyDescent="0.45">
      <c r="C3306" s="450"/>
      <c r="J3306" s="451"/>
      <c r="K3306" s="451"/>
      <c r="L3306" s="451"/>
      <c r="M3306" s="531"/>
      <c r="N3306" s="470"/>
      <c r="O3306" s="531"/>
      <c r="P3306" s="459"/>
      <c r="R3306" s="512" t="str">
        <f t="shared" si="216"/>
        <v>DELETE</v>
      </c>
      <c r="T3306" s="521"/>
    </row>
    <row r="3307" spans="2:26" ht="31.5" customHeight="1" x14ac:dyDescent="0.45">
      <c r="C3307" s="450"/>
      <c r="D3307" s="450" t="str">
        <f>Criteria!E9</f>
        <v>ABC COMPANY (PROPRIETARY) LIMITED</v>
      </c>
      <c r="J3307" s="451"/>
      <c r="K3307" s="451"/>
      <c r="L3307" s="451"/>
      <c r="M3307" s="531"/>
      <c r="N3307" s="470"/>
      <c r="O3307" s="531" t="s">
        <v>121</v>
      </c>
      <c r="P3307" s="459"/>
      <c r="Q3307" s="451">
        <f>MAX($Q$3224:Q3306)+1</f>
        <v>2</v>
      </c>
      <c r="R3307" s="512" t="str">
        <f t="shared" si="216"/>
        <v>DELETE</v>
      </c>
      <c r="T3307" s="521"/>
    </row>
    <row r="3308" spans="2:26" ht="31.5" customHeight="1" x14ac:dyDescent="0.45">
      <c r="C3308" s="450"/>
      <c r="D3308" s="450" t="str">
        <f>CONCATENATE("T/A ",Criteria!E15)</f>
        <v>T/A RENTAL PROPERTIES</v>
      </c>
      <c r="J3308" s="451"/>
      <c r="K3308" s="451"/>
      <c r="L3308" s="451"/>
      <c r="M3308" s="531"/>
      <c r="N3308" s="470"/>
      <c r="O3308" s="531"/>
      <c r="P3308" s="459"/>
      <c r="R3308" s="512" t="str">
        <f t="shared" si="216"/>
        <v>DELETE</v>
      </c>
      <c r="T3308" s="521"/>
    </row>
    <row r="3309" spans="2:26" ht="31.5" customHeight="1" x14ac:dyDescent="0.45">
      <c r="C3309" s="450"/>
      <c r="J3309" s="451"/>
      <c r="K3309" s="451"/>
      <c r="L3309" s="451"/>
      <c r="M3309" s="531"/>
      <c r="N3309" s="470"/>
      <c r="O3309" s="531"/>
      <c r="P3309" s="459"/>
      <c r="R3309" s="512" t="str">
        <f t="shared" si="216"/>
        <v>DELETE</v>
      </c>
      <c r="T3309" s="521"/>
    </row>
    <row r="3310" spans="2:26" ht="31.5" customHeight="1" x14ac:dyDescent="0.45">
      <c r="C3310" s="450"/>
      <c r="D3310" s="450" t="s">
        <v>115</v>
      </c>
      <c r="J3310" s="451"/>
      <c r="K3310" s="451"/>
      <c r="L3310" s="451"/>
      <c r="M3310" s="531"/>
      <c r="N3310" s="470"/>
      <c r="O3310" s="531"/>
      <c r="P3310" s="459"/>
      <c r="R3310" s="512" t="str">
        <f t="shared" si="216"/>
        <v>DELETE</v>
      </c>
      <c r="T3310" s="521"/>
    </row>
    <row r="3311" spans="2:26" ht="31.5" customHeight="1" x14ac:dyDescent="0.45">
      <c r="C3311" s="450"/>
      <c r="D3311" s="450" t="str">
        <f>D3228</f>
        <v>29 FEBRUARY 2024</v>
      </c>
      <c r="H3311" s="449" t="s">
        <v>127</v>
      </c>
      <c r="J3311" s="451"/>
      <c r="K3311" s="451"/>
      <c r="L3311" s="451"/>
      <c r="M3311" s="531"/>
      <c r="N3311" s="470"/>
      <c r="O3311" s="531"/>
      <c r="P3311" s="459"/>
      <c r="R3311" s="512" t="str">
        <f t="shared" si="216"/>
        <v>DELETE</v>
      </c>
      <c r="T3311" s="521"/>
    </row>
    <row r="3312" spans="2:26" ht="31.5" customHeight="1" x14ac:dyDescent="0.45">
      <c r="C3312" s="450"/>
      <c r="J3312" s="451"/>
      <c r="K3312" s="483"/>
      <c r="L3312" s="483"/>
      <c r="M3312" s="535"/>
      <c r="N3312" s="473"/>
      <c r="O3312" s="535"/>
      <c r="P3312" s="459"/>
      <c r="R3312" s="512" t="str">
        <f t="shared" si="216"/>
        <v>DELETE</v>
      </c>
      <c r="T3312" s="521"/>
    </row>
    <row r="3313" spans="2:26" ht="31.5" customHeight="1" x14ac:dyDescent="0.45">
      <c r="B3313" s="465"/>
      <c r="C3313" s="503"/>
      <c r="D3313" s="466"/>
      <c r="E3313" s="466"/>
      <c r="F3313" s="466"/>
      <c r="G3313" s="466"/>
      <c r="H3313" s="466"/>
      <c r="I3313" s="466"/>
      <c r="J3313" s="511"/>
      <c r="M3313" s="635"/>
      <c r="N3313" s="621"/>
      <c r="O3313" s="635"/>
      <c r="P3313" s="506"/>
      <c r="Q3313" s="467"/>
      <c r="R3313" s="512" t="str">
        <f t="shared" si="216"/>
        <v>DELETE</v>
      </c>
      <c r="T3313" s="521"/>
    </row>
    <row r="3314" spans="2:26" ht="31.5" customHeight="1" x14ac:dyDescent="0.45">
      <c r="B3314" s="468"/>
      <c r="C3314" s="450"/>
      <c r="J3314" s="451"/>
      <c r="K3314" s="451"/>
      <c r="L3314" s="451"/>
      <c r="M3314" s="525">
        <f>Criteria!E22</f>
        <v>2024</v>
      </c>
      <c r="N3314" s="458"/>
      <c r="O3314" s="525">
        <f>Criteria!E27</f>
        <v>2023</v>
      </c>
      <c r="P3314" s="459"/>
      <c r="Q3314" s="469"/>
      <c r="R3314" s="512" t="str">
        <f t="shared" si="216"/>
        <v>DELETE</v>
      </c>
      <c r="T3314" s="521"/>
    </row>
    <row r="3315" spans="2:26" ht="31.5" customHeight="1" x14ac:dyDescent="0.45">
      <c r="B3315" s="468"/>
      <c r="C3315" s="450"/>
      <c r="J3315" s="451"/>
      <c r="K3315" s="451"/>
      <c r="L3315" s="451"/>
      <c r="M3315" s="531"/>
      <c r="N3315" s="470"/>
      <c r="O3315" s="531"/>
      <c r="P3315" s="459"/>
      <c r="Q3315" s="469"/>
      <c r="R3315" s="512" t="str">
        <f t="shared" si="216"/>
        <v>DELETE</v>
      </c>
      <c r="T3315" s="521"/>
    </row>
    <row r="3316" spans="2:26" ht="31.5" customHeight="1" x14ac:dyDescent="0.45">
      <c r="B3316" s="468"/>
      <c r="C3316" s="492" t="str">
        <f>IF((Y3316+Z3316)=3,"OPERATING PROFIT/(LOSS)",(IF((Y3316+Z3316=4),"OPERATING PROFIT","OPERATING LOSS")))</f>
        <v>OPERATING PROFIT</v>
      </c>
      <c r="J3316" s="451"/>
      <c r="K3316" s="451"/>
      <c r="L3316" s="451"/>
      <c r="M3316" s="531">
        <f>SUM(S3233:S3297)</f>
        <v>0</v>
      </c>
      <c r="N3316" s="470"/>
      <c r="O3316" s="531">
        <f>SUM(U3233:U3297)</f>
        <v>0</v>
      </c>
      <c r="P3316" s="459"/>
      <c r="Q3316" s="469"/>
      <c r="R3316" s="512" t="str">
        <f t="shared" si="216"/>
        <v>DELETE</v>
      </c>
      <c r="T3316" s="521"/>
      <c r="V3316" s="513" t="b">
        <f>M3316=M3300</f>
        <v>1</v>
      </c>
      <c r="X3316" s="513" t="b">
        <f>O3316=O3300</f>
        <v>1</v>
      </c>
      <c r="Y3316" s="513">
        <f>IF(M3316&lt;0,1,IF(M3316=0,IF(O3316&lt;0,1,2),2))</f>
        <v>2</v>
      </c>
      <c r="Z3316" s="513">
        <f>IF(O3316&lt;0,1,IF(O3316=0,IF(M3316&lt;0,1,2),2))</f>
        <v>2</v>
      </c>
    </row>
    <row r="3317" spans="2:26" ht="31.5" customHeight="1" x14ac:dyDescent="0.45">
      <c r="B3317" s="468"/>
      <c r="C3317" s="450"/>
      <c r="D3317" s="449" t="s">
        <v>313</v>
      </c>
      <c r="J3317" s="451"/>
      <c r="K3317" s="451"/>
      <c r="L3317" s="451"/>
      <c r="M3317" s="531"/>
      <c r="N3317" s="470"/>
      <c r="O3317" s="531"/>
      <c r="P3317" s="459"/>
      <c r="Q3317" s="469"/>
      <c r="R3317" s="512" t="str">
        <f t="shared" si="216"/>
        <v>DELETE</v>
      </c>
      <c r="T3317" s="521"/>
    </row>
    <row r="3318" spans="2:26" ht="31.5" customHeight="1" x14ac:dyDescent="0.45">
      <c r="B3318" s="468"/>
      <c r="C3318" s="450"/>
      <c r="J3318" s="451"/>
      <c r="K3318" s="451"/>
      <c r="L3318" s="451"/>
      <c r="M3318" s="531"/>
      <c r="N3318" s="470"/>
      <c r="O3318" s="531"/>
      <c r="P3318" s="459"/>
      <c r="Q3318" s="469"/>
      <c r="R3318" s="512" t="str">
        <f t="shared" si="216"/>
        <v>DELETE</v>
      </c>
      <c r="T3318" s="521"/>
    </row>
    <row r="3319" spans="2:26" ht="31.5" customHeight="1" x14ac:dyDescent="0.45">
      <c r="B3319" s="468"/>
      <c r="C3319" s="450" t="s">
        <v>1307</v>
      </c>
      <c r="J3319" s="451"/>
      <c r="K3319" s="451"/>
      <c r="L3319" s="451"/>
      <c r="M3319" s="531">
        <f>SUM(M3322:M3355)</f>
        <v>0</v>
      </c>
      <c r="N3319" s="470"/>
      <c r="O3319" s="531">
        <f>SUM(O3322:O3355)</f>
        <v>0</v>
      </c>
      <c r="P3319" s="459"/>
      <c r="Q3319" s="469"/>
      <c r="R3319" s="512" t="str">
        <f t="shared" ref="R3319" si="217">IF(R$3221="DELETE","DELETE",IF(M3319+O3319=0,"DELETE"," "))</f>
        <v>DELETE</v>
      </c>
      <c r="S3319" s="517">
        <f>-M3319</f>
        <v>0</v>
      </c>
      <c r="T3319" s="521"/>
      <c r="U3319" s="517">
        <f>-O3319</f>
        <v>0</v>
      </c>
      <c r="V3319" s="517"/>
      <c r="W3319" s="517"/>
      <c r="X3319" s="517"/>
    </row>
    <row r="3320" spans="2:26" ht="9" customHeight="1" x14ac:dyDescent="0.45">
      <c r="B3320" s="468"/>
      <c r="C3320" s="450"/>
      <c r="J3320" s="451"/>
      <c r="K3320" s="451"/>
      <c r="L3320" s="451"/>
      <c r="M3320" s="531"/>
      <c r="N3320" s="470"/>
      <c r="O3320" s="531"/>
      <c r="P3320" s="459"/>
      <c r="Q3320" s="469"/>
      <c r="R3320" s="512" t="str">
        <f>R3319</f>
        <v>DELETE</v>
      </c>
      <c r="T3320" s="521"/>
    </row>
    <row r="3321" spans="2:26" ht="9" customHeight="1" x14ac:dyDescent="0.45">
      <c r="B3321" s="468"/>
      <c r="C3321" s="450"/>
      <c r="J3321" s="451"/>
      <c r="K3321" s="451"/>
      <c r="L3321" s="451"/>
      <c r="M3321" s="532"/>
      <c r="N3321" s="471"/>
      <c r="O3321" s="552"/>
      <c r="P3321" s="459"/>
      <c r="Q3321" s="469"/>
      <c r="R3321" s="512" t="str">
        <f>R3320</f>
        <v>DELETE</v>
      </c>
      <c r="T3321" s="521"/>
    </row>
    <row r="3322" spans="2:26" ht="31.5" customHeight="1" x14ac:dyDescent="0.45">
      <c r="B3322" s="468"/>
      <c r="C3322" s="450"/>
      <c r="D3322" s="449" t="s">
        <v>253</v>
      </c>
      <c r="J3322" s="451"/>
      <c r="K3322" s="451"/>
      <c r="L3322" s="451"/>
      <c r="M3322" s="533">
        <f>SUM(TrialBalanceB!I98:I101)</f>
        <v>0</v>
      </c>
      <c r="N3322" s="470"/>
      <c r="O3322" s="553">
        <f>SUM(TrialBalanceB!K98:K101)</f>
        <v>0</v>
      </c>
      <c r="P3322" s="459"/>
      <c r="Q3322" s="469"/>
      <c r="R3322" s="512" t="str">
        <f t="shared" ref="R3322:R3353" si="218">IF(R$3221="DELETE","DELETE",IF(M3322+O3322=0,"DELETE"," "))</f>
        <v>DELETE</v>
      </c>
      <c r="T3322" s="521"/>
    </row>
    <row r="3323" spans="2:26" ht="31.5" customHeight="1" x14ac:dyDescent="0.45">
      <c r="B3323" s="468"/>
      <c r="C3323" s="450"/>
      <c r="D3323" s="449" t="s">
        <v>257</v>
      </c>
      <c r="J3323" s="451"/>
      <c r="K3323" s="451"/>
      <c r="L3323" s="451"/>
      <c r="M3323" s="533">
        <f>TrialBalanceB!I103</f>
        <v>0</v>
      </c>
      <c r="N3323" s="470"/>
      <c r="O3323" s="553">
        <f>TrialBalanceB!K103</f>
        <v>0</v>
      </c>
      <c r="P3323" s="459"/>
      <c r="Q3323" s="469"/>
      <c r="R3323" s="512" t="str">
        <f>IF(R$3221="DELETE","DELETE",IF(M3323+O3323=0,"DELETE"," "))</f>
        <v>DELETE</v>
      </c>
      <c r="T3323" s="521"/>
    </row>
    <row r="3324" spans="2:26" ht="31.5" customHeight="1" x14ac:dyDescent="0.45">
      <c r="B3324" s="468"/>
      <c r="C3324" s="450"/>
      <c r="D3324" s="449" t="s">
        <v>255</v>
      </c>
      <c r="J3324" s="451"/>
      <c r="K3324" s="451"/>
      <c r="L3324" s="451"/>
      <c r="M3324" s="533">
        <f>TrialBalanceB!I102</f>
        <v>0</v>
      </c>
      <c r="N3324" s="470"/>
      <c r="O3324" s="553">
        <f>TrialBalanceB!K102</f>
        <v>0</v>
      </c>
      <c r="P3324" s="459"/>
      <c r="Q3324" s="469"/>
      <c r="R3324" s="512" t="str">
        <f>IF(R$3221="DELETE","DELETE",IF(M3324+O3324=0,"DELETE"," "))</f>
        <v>DELETE</v>
      </c>
      <c r="T3324" s="521"/>
    </row>
    <row r="3325" spans="2:26" ht="31.5" customHeight="1" x14ac:dyDescent="0.45">
      <c r="B3325" s="468"/>
      <c r="C3325" s="450"/>
      <c r="D3325" s="449" t="s">
        <v>314</v>
      </c>
      <c r="J3325" s="451"/>
      <c r="K3325" s="451"/>
      <c r="L3325" s="451"/>
      <c r="M3325" s="533">
        <f>TrialBalanceB!I104</f>
        <v>0</v>
      </c>
      <c r="N3325" s="470"/>
      <c r="O3325" s="553">
        <f>TrialBalanceB!K104</f>
        <v>0</v>
      </c>
      <c r="P3325" s="459"/>
      <c r="Q3325" s="469"/>
      <c r="R3325" s="512" t="str">
        <f t="shared" si="218"/>
        <v>DELETE</v>
      </c>
      <c r="T3325" s="521"/>
    </row>
    <row r="3326" spans="2:26" ht="31.5" customHeight="1" x14ac:dyDescent="0.45">
      <c r="B3326" s="468"/>
      <c r="C3326" s="450"/>
      <c r="D3326" s="449" t="s">
        <v>260</v>
      </c>
      <c r="J3326" s="451"/>
      <c r="K3326" s="451"/>
      <c r="L3326" s="451"/>
      <c r="M3326" s="533">
        <f>TrialBalanceB!I105</f>
        <v>0</v>
      </c>
      <c r="N3326" s="470"/>
      <c r="O3326" s="553">
        <f>TrialBalanceB!K105</f>
        <v>0</v>
      </c>
      <c r="P3326" s="459"/>
      <c r="Q3326" s="469"/>
      <c r="R3326" s="512" t="str">
        <f t="shared" si="218"/>
        <v>DELETE</v>
      </c>
      <c r="T3326" s="521"/>
    </row>
    <row r="3327" spans="2:26" ht="31.5" customHeight="1" x14ac:dyDescent="0.45">
      <c r="B3327" s="468"/>
      <c r="C3327" s="450"/>
      <c r="D3327" s="449" t="s">
        <v>935</v>
      </c>
      <c r="J3327" s="451"/>
      <c r="K3327" s="451"/>
      <c r="L3327" s="451"/>
      <c r="M3327" s="533">
        <f>TrialBalanceB!I106</f>
        <v>0</v>
      </c>
      <c r="N3327" s="470"/>
      <c r="O3327" s="553">
        <f>TrialBalanceB!K106</f>
        <v>0</v>
      </c>
      <c r="P3327" s="459"/>
      <c r="Q3327" s="469"/>
      <c r="R3327" s="512" t="str">
        <f t="shared" si="218"/>
        <v>DELETE</v>
      </c>
      <c r="T3327" s="521"/>
    </row>
    <row r="3328" spans="2:26" ht="31.5" customHeight="1" x14ac:dyDescent="0.45">
      <c r="B3328" s="468"/>
      <c r="C3328" s="450"/>
      <c r="D3328" s="449" t="s">
        <v>337</v>
      </c>
      <c r="J3328" s="451"/>
      <c r="K3328" s="451">
        <f>C$1203</f>
        <v>5.2999999999999989</v>
      </c>
      <c r="L3328" s="451"/>
      <c r="M3328" s="533">
        <f>SUM(TrialBalanceB!I108:I109)</f>
        <v>0</v>
      </c>
      <c r="N3328" s="470"/>
      <c r="O3328" s="553">
        <f>SUM(TrialBalanceB!K108:K109)</f>
        <v>0</v>
      </c>
      <c r="P3328" s="459"/>
      <c r="Q3328" s="469"/>
      <c r="R3328" s="512" t="str">
        <f t="shared" si="218"/>
        <v>DELETE</v>
      </c>
      <c r="T3328" s="521"/>
    </row>
    <row r="3329" spans="2:20" ht="31.5" customHeight="1" x14ac:dyDescent="0.45">
      <c r="B3329" s="468"/>
      <c r="C3329" s="450"/>
      <c r="D3329" s="449" t="str">
        <f>IF(MAX(Criteria!I41:I45)&gt;1,"Directors' remuneration","Director's remuneration")</f>
        <v>Directors' remuneration</v>
      </c>
      <c r="J3329" s="451"/>
      <c r="K3329" s="451">
        <f>C$1144</f>
        <v>5.0999999999999996</v>
      </c>
      <c r="L3329" s="451"/>
      <c r="M3329" s="533">
        <f>SUM(TrialBalanceB!I111:I115)</f>
        <v>0</v>
      </c>
      <c r="N3329" s="470"/>
      <c r="O3329" s="553">
        <f>SUM(TrialBalanceB!K111:K115)</f>
        <v>0</v>
      </c>
      <c r="P3329" s="459"/>
      <c r="Q3329" s="469"/>
      <c r="R3329" s="512" t="str">
        <f t="shared" si="218"/>
        <v>DELETE</v>
      </c>
      <c r="T3329" s="521"/>
    </row>
    <row r="3330" spans="2:20" ht="31.5" customHeight="1" x14ac:dyDescent="0.45">
      <c r="B3330" s="468"/>
      <c r="C3330" s="450"/>
      <c r="D3330" s="449" t="s">
        <v>315</v>
      </c>
      <c r="J3330" s="451"/>
      <c r="K3330" s="451"/>
      <c r="L3330" s="451"/>
      <c r="M3330" s="533">
        <f>TrialBalanceB!I116</f>
        <v>0</v>
      </c>
      <c r="N3330" s="470"/>
      <c r="O3330" s="553">
        <f>TrialBalanceB!K116</f>
        <v>0</v>
      </c>
      <c r="P3330" s="459"/>
      <c r="Q3330" s="469"/>
      <c r="R3330" s="512" t="str">
        <f t="shared" si="218"/>
        <v>DELETE</v>
      </c>
      <c r="T3330" s="521"/>
    </row>
    <row r="3331" spans="2:20" ht="31.5" customHeight="1" x14ac:dyDescent="0.45">
      <c r="B3331" s="468"/>
      <c r="C3331" s="450"/>
      <c r="D3331" s="449" t="s">
        <v>443</v>
      </c>
      <c r="J3331" s="451"/>
      <c r="K3331" s="451"/>
      <c r="L3331" s="451"/>
      <c r="M3331" s="533">
        <f>TrialBalanceB!I117</f>
        <v>0</v>
      </c>
      <c r="N3331" s="470"/>
      <c r="O3331" s="553">
        <f>TrialBalanceB!K117</f>
        <v>0</v>
      </c>
      <c r="P3331" s="459"/>
      <c r="Q3331" s="469"/>
      <c r="R3331" s="512" t="str">
        <f t="shared" si="218"/>
        <v>DELETE</v>
      </c>
      <c r="T3331" s="521"/>
    </row>
    <row r="3332" spans="2:20" ht="31.5" customHeight="1" x14ac:dyDescent="0.45">
      <c r="B3332" s="468"/>
      <c r="C3332" s="450"/>
      <c r="D3332" s="449" t="s">
        <v>392</v>
      </c>
      <c r="J3332" s="451"/>
      <c r="K3332" s="451"/>
      <c r="L3332" s="451"/>
      <c r="M3332" s="533">
        <f>TrialBalanceB!I118</f>
        <v>0</v>
      </c>
      <c r="N3332" s="470"/>
      <c r="O3332" s="553">
        <f>TrialBalanceB!K118</f>
        <v>0</v>
      </c>
      <c r="P3332" s="459"/>
      <c r="Q3332" s="469"/>
      <c r="R3332" s="512" t="str">
        <f t="shared" si="218"/>
        <v>DELETE</v>
      </c>
      <c r="T3332" s="521"/>
    </row>
    <row r="3333" spans="2:20" ht="31.5" customHeight="1" x14ac:dyDescent="0.45">
      <c r="B3333" s="468"/>
      <c r="C3333" s="450"/>
      <c r="D3333" s="449" t="s">
        <v>445</v>
      </c>
      <c r="J3333" s="451"/>
      <c r="K3333" s="451"/>
      <c r="L3333" s="451"/>
      <c r="M3333" s="533">
        <f>TrialBalanceB!I119</f>
        <v>0</v>
      </c>
      <c r="N3333" s="470"/>
      <c r="O3333" s="553">
        <f>TrialBalanceB!K119</f>
        <v>0</v>
      </c>
      <c r="P3333" s="459"/>
      <c r="Q3333" s="469"/>
      <c r="R3333" s="512" t="str">
        <f t="shared" si="218"/>
        <v>DELETE</v>
      </c>
      <c r="T3333" s="521"/>
    </row>
    <row r="3334" spans="2:20" ht="31.5" customHeight="1" x14ac:dyDescent="0.45">
      <c r="B3334" s="468"/>
      <c r="C3334" s="450"/>
      <c r="D3334" s="449" t="s">
        <v>1486</v>
      </c>
      <c r="J3334" s="451"/>
      <c r="K3334" s="451"/>
      <c r="L3334" s="451"/>
      <c r="M3334" s="533">
        <f>TrialBalanceB!I154</f>
        <v>0</v>
      </c>
      <c r="N3334" s="470"/>
      <c r="O3334" s="553">
        <f>TrialBalanceB!K154</f>
        <v>0</v>
      </c>
      <c r="P3334" s="459"/>
      <c r="Q3334" s="469"/>
      <c r="R3334" s="512" t="str">
        <f>IF(R$3221="DELETE","DELETE",IF(M3334+O3334=0,"DELETE"," "))</f>
        <v>DELETE</v>
      </c>
      <c r="T3334" s="521"/>
    </row>
    <row r="3335" spans="2:20" ht="31.5" customHeight="1" x14ac:dyDescent="0.45">
      <c r="B3335" s="468"/>
      <c r="C3335" s="450"/>
      <c r="D3335" s="449" t="s">
        <v>605</v>
      </c>
      <c r="J3335" s="451"/>
      <c r="K3335" s="451"/>
      <c r="L3335" s="451"/>
      <c r="M3335" s="533">
        <f>TrialBalanceB!I120+TrialBalanceB!I121</f>
        <v>0</v>
      </c>
      <c r="N3335" s="470"/>
      <c r="O3335" s="553">
        <f>TrialBalanceB!K120+TrialBalanceB!K121</f>
        <v>0</v>
      </c>
      <c r="P3335" s="459"/>
      <c r="Q3335" s="469"/>
      <c r="R3335" s="512" t="str">
        <f t="shared" si="218"/>
        <v>DELETE</v>
      </c>
      <c r="T3335" s="521"/>
    </row>
    <row r="3336" spans="2:20" ht="31.5" customHeight="1" x14ac:dyDescent="0.45">
      <c r="B3336" s="468"/>
      <c r="C3336" s="450"/>
      <c r="D3336" s="449" t="s">
        <v>633</v>
      </c>
      <c r="J3336" s="451"/>
      <c r="K3336" s="451"/>
      <c r="L3336" s="451"/>
      <c r="M3336" s="533">
        <f>IF(TrialBalanceB!I93&gt;0,TrialBalanceB!I93,0)</f>
        <v>0</v>
      </c>
      <c r="N3336" s="470"/>
      <c r="O3336" s="553">
        <f>IF(TrialBalanceB!K93&gt;0,TrialBalanceB!K93,0)</f>
        <v>0</v>
      </c>
      <c r="P3336" s="459"/>
      <c r="Q3336" s="469"/>
      <c r="R3336" s="512" t="str">
        <f>IF(R$3221="DELETE","DELETE",IF(M3336+O3336=0,"DELETE"," "))</f>
        <v>DELETE</v>
      </c>
      <c r="T3336" s="521"/>
    </row>
    <row r="3337" spans="2:20" ht="31.5" customHeight="1" x14ac:dyDescent="0.45">
      <c r="B3337" s="468"/>
      <c r="C3337" s="450"/>
      <c r="D3337" s="449" t="s">
        <v>936</v>
      </c>
      <c r="J3337" s="451"/>
      <c r="K3337" s="451"/>
      <c r="L3337" s="451"/>
      <c r="M3337" s="533">
        <f>TrialBalanceB!I122</f>
        <v>0</v>
      </c>
      <c r="N3337" s="470"/>
      <c r="O3337" s="553">
        <f>TrialBalanceB!K122</f>
        <v>0</v>
      </c>
      <c r="P3337" s="459"/>
      <c r="Q3337" s="469"/>
      <c r="R3337" s="512" t="str">
        <f>IF(R$3221="DELETE","DELETE",IF(M3337+O3337=0,"DELETE"," "))</f>
        <v>DELETE</v>
      </c>
      <c r="T3337" s="521"/>
    </row>
    <row r="3338" spans="2:20" ht="31.5" customHeight="1" x14ac:dyDescent="0.45">
      <c r="B3338" s="468"/>
      <c r="C3338" s="450"/>
      <c r="D3338" s="449" t="s">
        <v>316</v>
      </c>
      <c r="J3338" s="451"/>
      <c r="K3338" s="451"/>
      <c r="L3338" s="451"/>
      <c r="M3338" s="533">
        <f>TrialBalanceB!I123</f>
        <v>0</v>
      </c>
      <c r="N3338" s="470"/>
      <c r="O3338" s="553">
        <f>TrialBalanceB!K123</f>
        <v>0</v>
      </c>
      <c r="P3338" s="459"/>
      <c r="Q3338" s="469"/>
      <c r="R3338" s="512" t="str">
        <f t="shared" si="218"/>
        <v>DELETE</v>
      </c>
      <c r="T3338" s="521"/>
    </row>
    <row r="3339" spans="2:20" ht="31.5" customHeight="1" x14ac:dyDescent="0.45">
      <c r="B3339" s="468"/>
      <c r="C3339" s="450"/>
      <c r="D3339" s="449" t="s">
        <v>1554</v>
      </c>
      <c r="J3339" s="451"/>
      <c r="K3339" s="451"/>
      <c r="L3339" s="451"/>
      <c r="M3339" s="533">
        <f>TrialBalanceB!I155</f>
        <v>0</v>
      </c>
      <c r="N3339" s="470"/>
      <c r="O3339" s="553">
        <f>TrialBalanceB!K155</f>
        <v>0</v>
      </c>
      <c r="P3339" s="459"/>
      <c r="Q3339" s="469"/>
      <c r="R3339" s="512" t="str">
        <f t="shared" si="218"/>
        <v>DELETE</v>
      </c>
      <c r="T3339" s="521"/>
    </row>
    <row r="3340" spans="2:20" ht="31.5" customHeight="1" x14ac:dyDescent="0.45">
      <c r="B3340" s="468"/>
      <c r="C3340" s="450"/>
      <c r="D3340" s="449" t="s">
        <v>309</v>
      </c>
      <c r="J3340" s="451"/>
      <c r="K3340" s="451"/>
      <c r="L3340" s="451"/>
      <c r="M3340" s="533">
        <f>SUM(TrialBalanceB!I124:I125)</f>
        <v>0</v>
      </c>
      <c r="N3340" s="470"/>
      <c r="O3340" s="553">
        <f>SUM(TrialBalanceB!K124:K125)</f>
        <v>0</v>
      </c>
      <c r="P3340" s="459"/>
      <c r="Q3340" s="469"/>
      <c r="R3340" s="512" t="str">
        <f t="shared" si="218"/>
        <v>DELETE</v>
      </c>
      <c r="T3340" s="521"/>
    </row>
    <row r="3341" spans="2:20" ht="31.5" customHeight="1" x14ac:dyDescent="0.45">
      <c r="B3341" s="468"/>
      <c r="C3341" s="450"/>
      <c r="D3341" s="449" t="s">
        <v>317</v>
      </c>
      <c r="J3341" s="451"/>
      <c r="K3341" s="451"/>
      <c r="L3341" s="451"/>
      <c r="M3341" s="533">
        <f>TrialBalanceB!I126</f>
        <v>0</v>
      </c>
      <c r="N3341" s="470"/>
      <c r="O3341" s="553">
        <f>TrialBalanceB!K126</f>
        <v>0</v>
      </c>
      <c r="P3341" s="459"/>
      <c r="Q3341" s="469"/>
      <c r="R3341" s="512" t="str">
        <f t="shared" si="218"/>
        <v>DELETE</v>
      </c>
      <c r="T3341" s="521"/>
    </row>
    <row r="3342" spans="2:20" ht="31.5" customHeight="1" x14ac:dyDescent="0.45">
      <c r="B3342" s="468"/>
      <c r="C3342" s="450"/>
      <c r="D3342" s="449" t="s">
        <v>937</v>
      </c>
      <c r="J3342" s="451"/>
      <c r="K3342" s="451"/>
      <c r="L3342" s="451"/>
      <c r="M3342" s="533">
        <f>TrialBalanceB!I127</f>
        <v>0</v>
      </c>
      <c r="N3342" s="470"/>
      <c r="O3342" s="553">
        <f>TrialBalanceB!K127</f>
        <v>0</v>
      </c>
      <c r="P3342" s="459"/>
      <c r="Q3342" s="469"/>
      <c r="R3342" s="512" t="str">
        <f t="shared" si="218"/>
        <v>DELETE</v>
      </c>
      <c r="T3342" s="521"/>
    </row>
    <row r="3343" spans="2:20" ht="31.5" customHeight="1" x14ac:dyDescent="0.45">
      <c r="B3343" s="468"/>
      <c r="C3343" s="450"/>
      <c r="D3343" s="449" t="s">
        <v>99</v>
      </c>
      <c r="J3343" s="451"/>
      <c r="K3343" s="451"/>
      <c r="L3343" s="451"/>
      <c r="M3343" s="533">
        <f>TrialBalanceB!I128</f>
        <v>0</v>
      </c>
      <c r="N3343" s="470"/>
      <c r="O3343" s="553">
        <f>TrialBalanceB!K128</f>
        <v>0</v>
      </c>
      <c r="P3343" s="459"/>
      <c r="Q3343" s="469"/>
      <c r="R3343" s="512" t="str">
        <f t="shared" si="218"/>
        <v>DELETE</v>
      </c>
      <c r="T3343" s="521"/>
    </row>
    <row r="3344" spans="2:20" ht="31.5" customHeight="1" x14ac:dyDescent="0.45">
      <c r="B3344" s="468"/>
      <c r="C3344" s="450"/>
      <c r="D3344" s="449">
        <f>TrialBalanceB!C129</f>
        <v>0</v>
      </c>
      <c r="J3344" s="451"/>
      <c r="K3344" s="451"/>
      <c r="L3344" s="451"/>
      <c r="M3344" s="533">
        <f>TrialBalanceB!I129</f>
        <v>0</v>
      </c>
      <c r="N3344" s="470"/>
      <c r="O3344" s="553">
        <f>TrialBalanceB!K129</f>
        <v>0</v>
      </c>
      <c r="P3344" s="459"/>
      <c r="Q3344" s="469"/>
      <c r="R3344" s="512" t="str">
        <f t="shared" si="218"/>
        <v>DELETE</v>
      </c>
      <c r="T3344" s="521"/>
    </row>
    <row r="3345" spans="2:26" ht="31.5" customHeight="1" x14ac:dyDescent="0.45">
      <c r="B3345" s="468"/>
      <c r="C3345" s="450"/>
      <c r="D3345" s="449">
        <f>TrialBalanceB!C130</f>
        <v>0</v>
      </c>
      <c r="J3345" s="451"/>
      <c r="K3345" s="451"/>
      <c r="L3345" s="451"/>
      <c r="M3345" s="533">
        <f>TrialBalanceB!I130</f>
        <v>0</v>
      </c>
      <c r="N3345" s="470"/>
      <c r="O3345" s="553">
        <f>TrialBalanceB!K130</f>
        <v>0</v>
      </c>
      <c r="P3345" s="459"/>
      <c r="Q3345" s="469"/>
      <c r="R3345" s="512" t="str">
        <f t="shared" si="218"/>
        <v>DELETE</v>
      </c>
      <c r="T3345" s="521"/>
    </row>
    <row r="3346" spans="2:26" ht="31.5" customHeight="1" x14ac:dyDescent="0.45">
      <c r="B3346" s="468"/>
      <c r="C3346" s="450"/>
      <c r="D3346" s="449">
        <f>TrialBalanceB!C131</f>
        <v>0</v>
      </c>
      <c r="J3346" s="451"/>
      <c r="K3346" s="451"/>
      <c r="L3346" s="451"/>
      <c r="M3346" s="533">
        <f>TrialBalanceB!I131</f>
        <v>0</v>
      </c>
      <c r="N3346" s="470"/>
      <c r="O3346" s="553">
        <f>TrialBalanceB!K131</f>
        <v>0</v>
      </c>
      <c r="P3346" s="459"/>
      <c r="Q3346" s="469"/>
      <c r="R3346" s="512" t="str">
        <f t="shared" si="218"/>
        <v>DELETE</v>
      </c>
      <c r="T3346" s="521"/>
    </row>
    <row r="3347" spans="2:26" ht="31.5" customHeight="1" x14ac:dyDescent="0.45">
      <c r="B3347" s="468"/>
      <c r="C3347" s="450"/>
      <c r="D3347" s="449">
        <f>TrialBalanceB!C132</f>
        <v>0</v>
      </c>
      <c r="J3347" s="451"/>
      <c r="K3347" s="451"/>
      <c r="L3347" s="451"/>
      <c r="M3347" s="533">
        <f>TrialBalanceB!I132</f>
        <v>0</v>
      </c>
      <c r="N3347" s="470"/>
      <c r="O3347" s="553">
        <f>TrialBalanceB!K132</f>
        <v>0</v>
      </c>
      <c r="P3347" s="459"/>
      <c r="Q3347" s="469"/>
      <c r="R3347" s="512" t="str">
        <f t="shared" si="218"/>
        <v>DELETE</v>
      </c>
      <c r="T3347" s="521"/>
    </row>
    <row r="3348" spans="2:26" ht="31.5" customHeight="1" x14ac:dyDescent="0.45">
      <c r="B3348" s="468"/>
      <c r="C3348" s="450"/>
      <c r="D3348" s="449">
        <f>TrialBalanceB!C133</f>
        <v>0</v>
      </c>
      <c r="J3348" s="451"/>
      <c r="K3348" s="451"/>
      <c r="L3348" s="451"/>
      <c r="M3348" s="533">
        <f>TrialBalanceB!I133</f>
        <v>0</v>
      </c>
      <c r="N3348" s="470"/>
      <c r="O3348" s="553">
        <f>TrialBalanceB!K133</f>
        <v>0</v>
      </c>
      <c r="P3348" s="459"/>
      <c r="Q3348" s="469"/>
      <c r="R3348" s="512" t="str">
        <f t="shared" si="218"/>
        <v>DELETE</v>
      </c>
      <c r="T3348" s="521"/>
    </row>
    <row r="3349" spans="2:26" ht="31.5" customHeight="1" x14ac:dyDescent="0.45">
      <c r="B3349" s="468"/>
      <c r="C3349" s="450"/>
      <c r="D3349" s="449">
        <f>TrialBalanceB!C134</f>
        <v>0</v>
      </c>
      <c r="J3349" s="451"/>
      <c r="K3349" s="451"/>
      <c r="L3349" s="451"/>
      <c r="M3349" s="533">
        <f>TrialBalanceB!I134</f>
        <v>0</v>
      </c>
      <c r="N3349" s="470"/>
      <c r="O3349" s="553">
        <f>TrialBalanceB!K134</f>
        <v>0</v>
      </c>
      <c r="P3349" s="459"/>
      <c r="Q3349" s="469"/>
      <c r="R3349" s="512" t="str">
        <f t="shared" si="218"/>
        <v>DELETE</v>
      </c>
      <c r="T3349" s="521"/>
    </row>
    <row r="3350" spans="2:26" ht="31.5" customHeight="1" x14ac:dyDescent="0.45">
      <c r="B3350" s="468"/>
      <c r="C3350" s="450"/>
      <c r="D3350" s="449">
        <f>TrialBalanceB!C135</f>
        <v>0</v>
      </c>
      <c r="J3350" s="451"/>
      <c r="K3350" s="451"/>
      <c r="L3350" s="451"/>
      <c r="M3350" s="533">
        <f>TrialBalanceB!I135</f>
        <v>0</v>
      </c>
      <c r="N3350" s="470"/>
      <c r="O3350" s="553">
        <f>TrialBalanceB!K135</f>
        <v>0</v>
      </c>
      <c r="P3350" s="459"/>
      <c r="Q3350" s="469"/>
      <c r="R3350" s="512" t="str">
        <f t="shared" si="218"/>
        <v>DELETE</v>
      </c>
      <c r="T3350" s="521"/>
    </row>
    <row r="3351" spans="2:26" ht="31.5" customHeight="1" x14ac:dyDescent="0.45">
      <c r="B3351" s="468"/>
      <c r="C3351" s="450"/>
      <c r="D3351" s="449">
        <f>TrialBalanceB!C136</f>
        <v>0</v>
      </c>
      <c r="J3351" s="451"/>
      <c r="K3351" s="451"/>
      <c r="L3351" s="451"/>
      <c r="M3351" s="533">
        <f>TrialBalanceB!I136</f>
        <v>0</v>
      </c>
      <c r="N3351" s="470"/>
      <c r="O3351" s="553">
        <f>TrialBalanceB!K136</f>
        <v>0</v>
      </c>
      <c r="P3351" s="459"/>
      <c r="Q3351" s="469"/>
      <c r="R3351" s="512" t="str">
        <f t="shared" si="218"/>
        <v>DELETE</v>
      </c>
      <c r="T3351" s="521"/>
    </row>
    <row r="3352" spans="2:26" ht="31.5" customHeight="1" x14ac:dyDescent="0.45">
      <c r="B3352" s="468"/>
      <c r="C3352" s="450"/>
      <c r="D3352" s="449">
        <f>TrialBalanceB!C137</f>
        <v>0</v>
      </c>
      <c r="J3352" s="451"/>
      <c r="K3352" s="451"/>
      <c r="L3352" s="451"/>
      <c r="M3352" s="533">
        <f>TrialBalanceB!I137</f>
        <v>0</v>
      </c>
      <c r="N3352" s="470"/>
      <c r="O3352" s="553">
        <f>TrialBalanceB!K137</f>
        <v>0</v>
      </c>
      <c r="P3352" s="459"/>
      <c r="Q3352" s="469"/>
      <c r="R3352" s="512" t="str">
        <f t="shared" si="218"/>
        <v>DELETE</v>
      </c>
      <c r="T3352" s="521"/>
    </row>
    <row r="3353" spans="2:26" ht="31.5" customHeight="1" x14ac:dyDescent="0.45">
      <c r="B3353" s="468"/>
      <c r="C3353" s="450"/>
      <c r="D3353" s="449" t="str">
        <f>TrialBalanceB!C138</f>
        <v>Amortisation of prepaid lease agreement</v>
      </c>
      <c r="J3353" s="451"/>
      <c r="K3353" s="451"/>
      <c r="L3353" s="451"/>
      <c r="M3353" s="533">
        <f>TrialBalanceB!I138</f>
        <v>0</v>
      </c>
      <c r="N3353" s="470"/>
      <c r="O3353" s="553">
        <f>TrialBalanceB!K138</f>
        <v>0</v>
      </c>
      <c r="P3353" s="459"/>
      <c r="Q3353" s="469"/>
      <c r="R3353" s="512" t="str">
        <f t="shared" si="218"/>
        <v>DELETE</v>
      </c>
      <c r="T3353" s="521"/>
    </row>
    <row r="3354" spans="2:26" ht="31.5" customHeight="1" x14ac:dyDescent="0.45">
      <c r="B3354" s="468"/>
      <c r="C3354" s="450"/>
      <c r="D3354" s="449" t="str">
        <f>TrialBalanceB!C139</f>
        <v>Amortisation of goodwill</v>
      </c>
      <c r="J3354" s="451"/>
      <c r="K3354" s="451"/>
      <c r="L3354" s="451"/>
      <c r="M3354" s="533">
        <f>TrialBalanceB!I139</f>
        <v>0</v>
      </c>
      <c r="N3354" s="470"/>
      <c r="O3354" s="553">
        <f>TrialBalanceB!K139</f>
        <v>0</v>
      </c>
      <c r="P3354" s="459"/>
      <c r="Q3354" s="469"/>
      <c r="R3354" s="512" t="str">
        <f t="shared" ref="R3354" si="219">IF(R$3221="DELETE","DELETE",IF(M3354+O3354=0,"DELETE"," "))</f>
        <v>DELETE</v>
      </c>
      <c r="T3354" s="521"/>
    </row>
    <row r="3355" spans="2:26" ht="9" customHeight="1" x14ac:dyDescent="0.45">
      <c r="B3355" s="468"/>
      <c r="C3355" s="450"/>
      <c r="J3355" s="451"/>
      <c r="K3355" s="451"/>
      <c r="L3355" s="451"/>
      <c r="M3355" s="534"/>
      <c r="N3355" s="473"/>
      <c r="O3355" s="554"/>
      <c r="P3355" s="459"/>
      <c r="Q3355" s="469"/>
      <c r="R3355" s="512" t="str">
        <f>R3319</f>
        <v>DELETE</v>
      </c>
      <c r="T3355" s="521"/>
    </row>
    <row r="3356" spans="2:26" ht="9" customHeight="1" x14ac:dyDescent="0.45">
      <c r="B3356" s="468"/>
      <c r="C3356" s="450"/>
      <c r="J3356" s="451"/>
      <c r="K3356" s="451"/>
      <c r="L3356" s="451"/>
      <c r="M3356" s="535"/>
      <c r="N3356" s="473"/>
      <c r="O3356" s="535"/>
      <c r="P3356" s="459"/>
      <c r="Q3356" s="469"/>
      <c r="R3356" s="512" t="str">
        <f t="shared" ref="R3356:R3359" si="220">R$3221</f>
        <v>DELETE</v>
      </c>
      <c r="T3356" s="521"/>
    </row>
    <row r="3357" spans="2:26" ht="9" customHeight="1" x14ac:dyDescent="0.45">
      <c r="B3357" s="468"/>
      <c r="C3357" s="450"/>
      <c r="J3357" s="451"/>
      <c r="K3357" s="451"/>
      <c r="L3357" s="451"/>
      <c r="M3357" s="531"/>
      <c r="N3357" s="470"/>
      <c r="O3357" s="531"/>
      <c r="P3357" s="459"/>
      <c r="Q3357" s="469"/>
      <c r="R3357" s="512" t="str">
        <f t="shared" si="220"/>
        <v>DELETE</v>
      </c>
      <c r="T3357" s="521"/>
    </row>
    <row r="3358" spans="2:26" ht="31.5" customHeight="1" x14ac:dyDescent="0.45">
      <c r="B3358" s="468"/>
      <c r="C3358" s="492" t="str">
        <f>IF((Y3358+Z3358)=3,"OPERATING PROFIT/(LOSS) FOR THE YEAR",(IF((Y3358+Z3358=4),"OPERATING PROFIT FOR THE YEAR","OPERATING LOSS FOR THE YEAR")))</f>
        <v>OPERATING PROFIT FOR THE YEAR</v>
      </c>
      <c r="J3358" s="451"/>
      <c r="K3358" s="451">
        <f>FS!B1141</f>
        <v>5</v>
      </c>
      <c r="L3358" s="451"/>
      <c r="M3358" s="531">
        <f>SUM(S3233:S3355)</f>
        <v>0</v>
      </c>
      <c r="N3358" s="470"/>
      <c r="O3358" s="531">
        <f>SUM(U3233:U3355)</f>
        <v>0</v>
      </c>
      <c r="P3358" s="459"/>
      <c r="Q3358" s="469"/>
      <c r="R3358" s="512" t="str">
        <f t="shared" si="220"/>
        <v>DELETE</v>
      </c>
      <c r="T3358" s="521"/>
      <c r="Y3358" s="513">
        <f>IF(M3358&lt;0,1,IF(M3358=0,IF(O3358&lt;0,1,2),2))</f>
        <v>2</v>
      </c>
      <c r="Z3358" s="513">
        <f>IF(O3358&lt;0,1,IF(O3358=0,IF(M3358&lt;0,1,2),2))</f>
        <v>2</v>
      </c>
    </row>
    <row r="3359" spans="2:26" ht="31.5" customHeight="1" x14ac:dyDescent="0.45">
      <c r="B3359" s="468"/>
      <c r="C3359" s="450"/>
      <c r="J3359" s="451"/>
      <c r="K3359" s="451"/>
      <c r="L3359" s="451"/>
      <c r="M3359" s="531"/>
      <c r="N3359" s="470"/>
      <c r="O3359" s="531"/>
      <c r="P3359" s="459"/>
      <c r="Q3359" s="469"/>
      <c r="R3359" s="512" t="str">
        <f t="shared" si="220"/>
        <v>DELETE</v>
      </c>
      <c r="T3359" s="521"/>
    </row>
    <row r="3360" spans="2:26" ht="31.5" customHeight="1" x14ac:dyDescent="0.45">
      <c r="B3360" s="468"/>
      <c r="C3360" s="450" t="s">
        <v>139</v>
      </c>
      <c r="J3360" s="451"/>
      <c r="K3360" s="451">
        <f>FS!B1228</f>
        <v>6</v>
      </c>
      <c r="L3360" s="451"/>
      <c r="M3360" s="531">
        <f>SUM(M3363:M3370)</f>
        <v>0</v>
      </c>
      <c r="N3360" s="470"/>
      <c r="O3360" s="531">
        <f>SUM(O3363:O3370)</f>
        <v>0</v>
      </c>
      <c r="P3360" s="459"/>
      <c r="Q3360" s="469"/>
      <c r="R3360" s="512" t="str">
        <f t="shared" ref="R3360" si="221">IF(R$3221="DELETE","DELETE",IF(M3360+O3360=0,"DELETE"," "))</f>
        <v>DELETE</v>
      </c>
      <c r="S3360" s="517">
        <f>M3360</f>
        <v>0</v>
      </c>
      <c r="T3360" s="521"/>
      <c r="U3360" s="517">
        <f>O3360</f>
        <v>0</v>
      </c>
      <c r="V3360" s="517"/>
      <c r="W3360" s="517"/>
      <c r="X3360" s="517"/>
    </row>
    <row r="3361" spans="2:24" ht="9" customHeight="1" x14ac:dyDescent="0.45">
      <c r="B3361" s="468"/>
      <c r="C3361" s="450"/>
      <c r="J3361" s="451"/>
      <c r="K3361" s="451"/>
      <c r="L3361" s="451"/>
      <c r="M3361" s="531"/>
      <c r="N3361" s="470"/>
      <c r="O3361" s="531"/>
      <c r="P3361" s="459"/>
      <c r="Q3361" s="469"/>
      <c r="R3361" s="512" t="str">
        <f>R3360</f>
        <v>DELETE</v>
      </c>
      <c r="T3361" s="521"/>
    </row>
    <row r="3362" spans="2:24" ht="9" customHeight="1" x14ac:dyDescent="0.45">
      <c r="B3362" s="468"/>
      <c r="C3362" s="450"/>
      <c r="J3362" s="451"/>
      <c r="K3362" s="451"/>
      <c r="L3362" s="451"/>
      <c r="M3362" s="532"/>
      <c r="N3362" s="471"/>
      <c r="O3362" s="552"/>
      <c r="P3362" s="459"/>
      <c r="Q3362" s="469"/>
      <c r="R3362" s="512" t="str">
        <f>R3361</f>
        <v>DELETE</v>
      </c>
      <c r="T3362" s="521"/>
    </row>
    <row r="3363" spans="2:24" ht="31.5" customHeight="1" x14ac:dyDescent="0.45">
      <c r="B3363" s="468"/>
      <c r="C3363" s="450"/>
      <c r="D3363" s="449" t="s">
        <v>243</v>
      </c>
      <c r="J3363" s="451"/>
      <c r="K3363" s="451"/>
      <c r="L3363" s="451"/>
      <c r="M3363" s="533">
        <f>-TrialBalanceB!I94</f>
        <v>0</v>
      </c>
      <c r="N3363" s="470"/>
      <c r="O3363" s="553">
        <f>-TrialBalanceB!K94</f>
        <v>0</v>
      </c>
      <c r="P3363" s="459"/>
      <c r="Q3363" s="469"/>
      <c r="R3363" s="512" t="str">
        <f t="shared" ref="R3363:R3368" si="222">IF(R$3221="DELETE","DELETE",IF(M3363+O3363=0,"DELETE"," "))</f>
        <v>DELETE</v>
      </c>
      <c r="T3363" s="521"/>
    </row>
    <row r="3364" spans="2:24" ht="31.5" customHeight="1" x14ac:dyDescent="0.45">
      <c r="B3364" s="468"/>
      <c r="C3364" s="450"/>
      <c r="D3364" s="449" t="s">
        <v>612</v>
      </c>
      <c r="J3364" s="451"/>
      <c r="K3364" s="451"/>
      <c r="L3364" s="451"/>
      <c r="M3364" s="533">
        <f>-SUM(TrialBalanceB!I90:I92)</f>
        <v>0</v>
      </c>
      <c r="N3364" s="470"/>
      <c r="O3364" s="553">
        <f>-SUM(TrialBalanceB!K90:K92)</f>
        <v>0</v>
      </c>
      <c r="P3364" s="459"/>
      <c r="Q3364" s="469"/>
      <c r="R3364" s="512" t="str">
        <f t="shared" si="222"/>
        <v>DELETE</v>
      </c>
      <c r="T3364" s="521"/>
    </row>
    <row r="3365" spans="2:24" ht="31.5" customHeight="1" x14ac:dyDescent="0.45">
      <c r="B3365" s="468"/>
      <c r="C3365" s="450"/>
      <c r="D3365" s="449" t="s">
        <v>613</v>
      </c>
      <c r="J3365" s="451"/>
      <c r="K3365" s="451"/>
      <c r="L3365" s="451"/>
      <c r="M3365" s="550">
        <f>-SUM(TrialBalanceB!I85:I88)</f>
        <v>0</v>
      </c>
      <c r="N3365" s="481"/>
      <c r="O3365" s="557">
        <f>-SUM(TrialBalanceB!K85:K88)</f>
        <v>0</v>
      </c>
      <c r="P3365" s="459"/>
      <c r="Q3365" s="469"/>
      <c r="R3365" s="512" t="str">
        <f t="shared" si="222"/>
        <v>DELETE</v>
      </c>
      <c r="T3365" s="521"/>
    </row>
    <row r="3366" spans="2:24" ht="31.5" customHeight="1" x14ac:dyDescent="0.45">
      <c r="B3366" s="468"/>
      <c r="C3366" s="450"/>
      <c r="D3366" s="449" t="s">
        <v>245</v>
      </c>
      <c r="J3366" s="451"/>
      <c r="K3366" s="451"/>
      <c r="L3366" s="451"/>
      <c r="M3366" s="550">
        <f>-SUM(TrialBalanceB!I95)</f>
        <v>0</v>
      </c>
      <c r="N3366" s="481"/>
      <c r="O3366" s="557">
        <f>-TrialBalanceB!K95</f>
        <v>0</v>
      </c>
      <c r="P3366" s="459"/>
      <c r="Q3366" s="469"/>
      <c r="R3366" s="512" t="str">
        <f t="shared" si="222"/>
        <v>DELETE</v>
      </c>
      <c r="T3366" s="521"/>
    </row>
    <row r="3367" spans="2:24" ht="31.5" customHeight="1" x14ac:dyDescent="0.45">
      <c r="B3367" s="468"/>
      <c r="C3367" s="450"/>
      <c r="D3367" s="449" t="s">
        <v>634</v>
      </c>
      <c r="J3367" s="451"/>
      <c r="K3367" s="451"/>
      <c r="L3367" s="451"/>
      <c r="M3367" s="533">
        <f>IF(TrialBalanceB!I93&lt;0,-TrialBalanceB!I93,0)</f>
        <v>0</v>
      </c>
      <c r="N3367" s="470"/>
      <c r="O3367" s="553">
        <f>IF(TrialBalanceB!K93&lt;0,-TrialBalanceB!K93,0)</f>
        <v>0</v>
      </c>
      <c r="P3367" s="459"/>
      <c r="Q3367" s="469"/>
      <c r="R3367" s="512" t="str">
        <f t="shared" si="222"/>
        <v>DELETE</v>
      </c>
      <c r="T3367" s="521"/>
    </row>
    <row r="3368" spans="2:24" ht="31.5" customHeight="1" x14ac:dyDescent="0.45">
      <c r="B3368" s="468"/>
      <c r="C3368" s="450"/>
      <c r="D3368" s="449" t="s">
        <v>433</v>
      </c>
      <c r="J3368" s="451"/>
      <c r="K3368" s="451"/>
      <c r="L3368" s="451"/>
      <c r="M3368" s="533">
        <f>-TrialBalanceB!I83</f>
        <v>0</v>
      </c>
      <c r="N3368" s="470"/>
      <c r="O3368" s="553">
        <f>-TrialBalanceB!K83</f>
        <v>0</v>
      </c>
      <c r="P3368" s="459"/>
      <c r="Q3368" s="469"/>
      <c r="R3368" s="512" t="str">
        <f t="shared" si="222"/>
        <v>DELETE</v>
      </c>
      <c r="T3368" s="521"/>
    </row>
    <row r="3369" spans="2:24" ht="31.5" customHeight="1" x14ac:dyDescent="0.45">
      <c r="B3369" s="468"/>
      <c r="C3369" s="450"/>
      <c r="D3369" s="449" t="str">
        <f>TrialBalance!C96</f>
        <v>Revaluation of investment property</v>
      </c>
      <c r="J3369" s="451"/>
      <c r="K3369" s="451"/>
      <c r="L3369" s="451"/>
      <c r="M3369" s="533">
        <f>-TrialBalanceB!I96</f>
        <v>0</v>
      </c>
      <c r="N3369" s="470"/>
      <c r="O3369" s="553">
        <f>-TrialBalanceB!K96</f>
        <v>0</v>
      </c>
      <c r="P3369" s="459"/>
      <c r="Q3369" s="469"/>
      <c r="R3369" s="512" t="str">
        <f>IF(R$3221="DELETE","DELETE",IF(M3369+O3369=0,"DELETE"," "))</f>
        <v>DELETE</v>
      </c>
      <c r="T3369" s="521"/>
    </row>
    <row r="3370" spans="2:24" ht="9" customHeight="1" x14ac:dyDescent="0.45">
      <c r="B3370" s="468"/>
      <c r="C3370" s="450"/>
      <c r="J3370" s="451"/>
      <c r="K3370" s="451"/>
      <c r="L3370" s="451"/>
      <c r="M3370" s="534"/>
      <c r="N3370" s="473"/>
      <c r="O3370" s="554"/>
      <c r="P3370" s="459"/>
      <c r="Q3370" s="469"/>
      <c r="R3370" s="512" t="str">
        <f>R3360</f>
        <v>DELETE</v>
      </c>
      <c r="T3370" s="521"/>
    </row>
    <row r="3371" spans="2:24" ht="9" customHeight="1" x14ac:dyDescent="0.45">
      <c r="B3371" s="468"/>
      <c r="C3371" s="450"/>
      <c r="J3371" s="451"/>
      <c r="K3371" s="451"/>
      <c r="L3371" s="451"/>
      <c r="M3371" s="535"/>
      <c r="N3371" s="473"/>
      <c r="O3371" s="535"/>
      <c r="P3371" s="459"/>
      <c r="Q3371" s="469"/>
      <c r="R3371" s="512" t="str">
        <f>R3370</f>
        <v>DELETE</v>
      </c>
      <c r="T3371" s="521"/>
    </row>
    <row r="3372" spans="2:24" ht="9" customHeight="1" x14ac:dyDescent="0.45">
      <c r="B3372" s="468"/>
      <c r="C3372" s="450"/>
      <c r="J3372" s="451"/>
      <c r="K3372" s="451"/>
      <c r="L3372" s="451"/>
      <c r="M3372" s="531"/>
      <c r="N3372" s="470"/>
      <c r="O3372" s="531"/>
      <c r="P3372" s="459"/>
      <c r="Q3372" s="469"/>
      <c r="R3372" s="512" t="str">
        <f>R3371</f>
        <v>DELETE</v>
      </c>
      <c r="T3372" s="521"/>
    </row>
    <row r="3373" spans="2:24" ht="31.5" customHeight="1" x14ac:dyDescent="0.45">
      <c r="B3373" s="468"/>
      <c r="C3373" s="450"/>
      <c r="J3373" s="451"/>
      <c r="K3373" s="451"/>
      <c r="L3373" s="451"/>
      <c r="M3373" s="531">
        <f>SUM(S3233:S3370)</f>
        <v>0</v>
      </c>
      <c r="N3373" s="470"/>
      <c r="O3373" s="531">
        <f>SUM(U3233:U3370)</f>
        <v>0</v>
      </c>
      <c r="P3373" s="459"/>
      <c r="Q3373" s="469"/>
      <c r="R3373" s="512" t="str">
        <f>R3372</f>
        <v>DELETE</v>
      </c>
      <c r="T3373" s="521"/>
    </row>
    <row r="3374" spans="2:24" ht="31.5" customHeight="1" x14ac:dyDescent="0.45">
      <c r="B3374" s="468"/>
      <c r="C3374" s="450"/>
      <c r="J3374" s="451"/>
      <c r="K3374" s="451"/>
      <c r="L3374" s="451"/>
      <c r="M3374" s="531"/>
      <c r="N3374" s="470"/>
      <c r="O3374" s="531"/>
      <c r="P3374" s="459"/>
      <c r="Q3374" s="469"/>
      <c r="R3374" s="512" t="str">
        <f>R3373</f>
        <v>DELETE</v>
      </c>
      <c r="T3374" s="521"/>
    </row>
    <row r="3375" spans="2:24" ht="31.5" customHeight="1" x14ac:dyDescent="0.45">
      <c r="B3375" s="468"/>
      <c r="C3375" s="450" t="s">
        <v>318</v>
      </c>
      <c r="J3375" s="451"/>
      <c r="K3375" s="451">
        <f>FS!B1287</f>
        <v>7</v>
      </c>
      <c r="L3375" s="451"/>
      <c r="M3375" s="531">
        <f>SUM(TrialBalanceB!I142:I152)</f>
        <v>0</v>
      </c>
      <c r="N3375" s="470"/>
      <c r="O3375" s="531">
        <f>SUM(TrialBalanceB!K142:K152)</f>
        <v>0</v>
      </c>
      <c r="P3375" s="459"/>
      <c r="Q3375" s="469"/>
      <c r="R3375" s="512" t="str">
        <f t="shared" ref="R3375" si="223">IF(R$3221="DELETE","DELETE",IF(M3375+O3375=0,"DELETE"," "))</f>
        <v>DELETE</v>
      </c>
      <c r="S3375" s="517">
        <f>-M3375</f>
        <v>0</v>
      </c>
      <c r="T3375" s="521"/>
      <c r="U3375" s="517">
        <f>-O3375</f>
        <v>0</v>
      </c>
      <c r="V3375" s="517"/>
      <c r="W3375" s="517"/>
      <c r="X3375" s="517"/>
    </row>
    <row r="3376" spans="2:24" ht="9" customHeight="1" x14ac:dyDescent="0.45">
      <c r="B3376" s="468"/>
      <c r="C3376" s="450"/>
      <c r="J3376" s="451"/>
      <c r="K3376" s="451"/>
      <c r="L3376" s="451"/>
      <c r="M3376" s="535"/>
      <c r="N3376" s="473"/>
      <c r="O3376" s="535"/>
      <c r="P3376" s="459"/>
      <c r="Q3376" s="469"/>
      <c r="R3376" s="512" t="str">
        <f t="shared" ref="R3376:R3384" si="224">R$3221</f>
        <v>DELETE</v>
      </c>
      <c r="T3376" s="521"/>
    </row>
    <row r="3377" spans="2:26" ht="9" customHeight="1" x14ac:dyDescent="0.45">
      <c r="B3377" s="468"/>
      <c r="C3377" s="450"/>
      <c r="J3377" s="451"/>
      <c r="K3377" s="451"/>
      <c r="L3377" s="451"/>
      <c r="M3377" s="531"/>
      <c r="N3377" s="470"/>
      <c r="O3377" s="531"/>
      <c r="P3377" s="459"/>
      <c r="Q3377" s="469"/>
      <c r="R3377" s="512" t="str">
        <f t="shared" si="224"/>
        <v>DELETE</v>
      </c>
      <c r="T3377" s="521"/>
    </row>
    <row r="3378" spans="2:26" ht="31.5" customHeight="1" x14ac:dyDescent="0.45">
      <c r="B3378" s="468"/>
      <c r="C3378" s="492" t="str">
        <f>IF((Y3378+Z3378)=3,"PROFIT/(LOSS) BEFORE TAXATION",(IF((Y3378+Z3378=4),"PROFIT BEFORE TAXATION","LOSS BEFORE TAXATION")))</f>
        <v>PROFIT BEFORE TAXATION</v>
      </c>
      <c r="J3378" s="451"/>
      <c r="K3378" s="451"/>
      <c r="L3378" s="451"/>
      <c r="M3378" s="531">
        <f>SUM(S3233:S3377)</f>
        <v>0</v>
      </c>
      <c r="N3378" s="470"/>
      <c r="O3378" s="531">
        <f>SUM(U3233:U3377)</f>
        <v>0</v>
      </c>
      <c r="P3378" s="459"/>
      <c r="Q3378" s="469"/>
      <c r="R3378" s="512" t="str">
        <f t="shared" si="224"/>
        <v>DELETE</v>
      </c>
      <c r="T3378" s="521"/>
      <c r="V3378" s="513" t="b">
        <f>M3378=FS!M2738</f>
        <v>1</v>
      </c>
      <c r="X3378" s="513" t="b">
        <f>O3378=FS!O2738</f>
        <v>1</v>
      </c>
      <c r="Y3378" s="513">
        <f>IF(M3378&lt;0,1,IF(M3378=0,IF(O3378&lt;0,1,2),2))</f>
        <v>2</v>
      </c>
      <c r="Z3378" s="513">
        <f>IF(O3378&lt;0,1,IF(O3378=0,IF(M3378&lt;0,1,2),2))</f>
        <v>2</v>
      </c>
    </row>
    <row r="3379" spans="2:26" ht="9" customHeight="1" thickBot="1" x14ac:dyDescent="0.5">
      <c r="B3379" s="468"/>
      <c r="C3379" s="450"/>
      <c r="J3379" s="451"/>
      <c r="K3379" s="451"/>
      <c r="L3379" s="451"/>
      <c r="M3379" s="536"/>
      <c r="N3379" s="474"/>
      <c r="O3379" s="536"/>
      <c r="P3379" s="459"/>
      <c r="Q3379" s="469"/>
      <c r="R3379" s="512" t="str">
        <f t="shared" si="224"/>
        <v>DELETE</v>
      </c>
      <c r="T3379" s="521"/>
    </row>
    <row r="3380" spans="2:26" ht="9" customHeight="1" thickTop="1" x14ac:dyDescent="0.45">
      <c r="B3380" s="468"/>
      <c r="C3380" s="450"/>
      <c r="J3380" s="451"/>
      <c r="K3380" s="451"/>
      <c r="L3380" s="451"/>
      <c r="M3380" s="531"/>
      <c r="N3380" s="470"/>
      <c r="O3380" s="531"/>
      <c r="P3380" s="459"/>
      <c r="Q3380" s="469"/>
      <c r="R3380" s="512" t="str">
        <f t="shared" si="224"/>
        <v>DELETE</v>
      </c>
      <c r="T3380" s="521"/>
    </row>
    <row r="3381" spans="2:26" ht="31.5" customHeight="1" x14ac:dyDescent="0.45">
      <c r="B3381" s="468"/>
      <c r="C3381" s="450"/>
      <c r="J3381" s="451"/>
      <c r="K3381" s="451"/>
      <c r="L3381" s="451"/>
      <c r="M3381" s="531"/>
      <c r="N3381" s="470"/>
      <c r="O3381" s="531"/>
      <c r="P3381" s="459"/>
      <c r="Q3381" s="469"/>
      <c r="R3381" s="512" t="str">
        <f t="shared" si="224"/>
        <v>DELETE</v>
      </c>
      <c r="T3381" s="521"/>
    </row>
    <row r="3382" spans="2:26" ht="31.5" customHeight="1" x14ac:dyDescent="0.45">
      <c r="B3382" s="468"/>
      <c r="C3382" s="450"/>
      <c r="J3382" s="451"/>
      <c r="K3382" s="451"/>
      <c r="L3382" s="451"/>
      <c r="M3382" s="531"/>
      <c r="N3382" s="470"/>
      <c r="O3382" s="531"/>
      <c r="P3382" s="459"/>
      <c r="Q3382" s="469"/>
      <c r="R3382" s="512" t="str">
        <f t="shared" si="224"/>
        <v>DELETE</v>
      </c>
      <c r="T3382" s="521"/>
    </row>
    <row r="3383" spans="2:26" ht="31.5" customHeight="1" x14ac:dyDescent="0.45">
      <c r="B3383" s="477"/>
      <c r="C3383" s="461"/>
      <c r="D3383" s="461"/>
      <c r="E3383" s="461"/>
      <c r="F3383" s="461"/>
      <c r="G3383" s="461"/>
      <c r="H3383" s="461"/>
      <c r="I3383" s="461"/>
      <c r="J3383" s="461"/>
      <c r="K3383" s="461"/>
      <c r="L3383" s="461"/>
      <c r="M3383" s="640"/>
      <c r="N3383" s="646"/>
      <c r="O3383" s="640"/>
      <c r="P3383" s="631"/>
      <c r="Q3383" s="479"/>
      <c r="R3383" s="512" t="str">
        <f t="shared" si="224"/>
        <v>DELETE</v>
      </c>
      <c r="T3383" s="521"/>
    </row>
    <row r="3384" spans="2:26" ht="31.5" customHeight="1" x14ac:dyDescent="0.45">
      <c r="M3384" s="635"/>
      <c r="N3384" s="621"/>
      <c r="O3384" s="635"/>
      <c r="R3384" s="512" t="str">
        <f t="shared" si="224"/>
        <v>DELETE</v>
      </c>
      <c r="T3384" s="521"/>
    </row>
    <row r="3385" spans="2:26" ht="31.5" customHeight="1" x14ac:dyDescent="0.45">
      <c r="M3385" s="635"/>
      <c r="N3385" s="621"/>
      <c r="O3385" s="635"/>
      <c r="R3385" s="512" t="str">
        <f>IF(SUM(U3233:U3237)+SUM(U3253:U3262)+SUM(U3360:U3370)+O3378=0,IF(SUM(S3397:S3399)+SUM(S3417:S3424)+SUM(S3524:S3534)+O3542=0,"DELETE"," "),"DELETE")</f>
        <v>DELETE</v>
      </c>
      <c r="T3385" s="521"/>
      <c r="V3385" s="516"/>
      <c r="W3385" s="516"/>
      <c r="X3385" s="516"/>
    </row>
    <row r="3386" spans="2:26" ht="31.5" customHeight="1" x14ac:dyDescent="0.45">
      <c r="D3386" s="450" t="s">
        <v>751</v>
      </c>
      <c r="M3386" s="635"/>
      <c r="N3386" s="621"/>
      <c r="O3386" s="635"/>
      <c r="R3386" s="512" t="str">
        <f>R$3385</f>
        <v>DELETE</v>
      </c>
      <c r="T3386" s="521"/>
      <c r="V3386" s="515"/>
      <c r="X3386" s="515"/>
    </row>
    <row r="3387" spans="2:26" ht="31.5" customHeight="1" x14ac:dyDescent="0.45">
      <c r="M3387" s="635"/>
      <c r="N3387" s="621"/>
      <c r="O3387" s="635"/>
      <c r="R3387" s="512" t="str">
        <f t="shared" ref="R3387:R3396" si="225">R$3385</f>
        <v>DELETE</v>
      </c>
      <c r="T3387" s="521"/>
    </row>
    <row r="3388" spans="2:26" ht="31.5" customHeight="1" x14ac:dyDescent="0.45">
      <c r="D3388" s="450" t="str">
        <f>Criteria!E9</f>
        <v>ABC COMPANY (PROPRIETARY) LIMITED</v>
      </c>
      <c r="M3388" s="635"/>
      <c r="N3388" s="621"/>
      <c r="O3388" s="531" t="s">
        <v>121</v>
      </c>
      <c r="Q3388" s="451">
        <v>1</v>
      </c>
      <c r="R3388" s="512" t="str">
        <f t="shared" si="225"/>
        <v>DELETE</v>
      </c>
      <c r="T3388" s="521"/>
    </row>
    <row r="3389" spans="2:26" ht="31.5" customHeight="1" x14ac:dyDescent="0.45">
      <c r="D3389" s="450" t="str">
        <f>CONCATENATE("T/A ",Criteria!E15)</f>
        <v>T/A RENTAL PROPERTIES</v>
      </c>
      <c r="M3389" s="635"/>
      <c r="N3389" s="621"/>
      <c r="O3389" s="635"/>
      <c r="R3389" s="512" t="str">
        <f t="shared" si="225"/>
        <v>DELETE</v>
      </c>
      <c r="T3389" s="521"/>
    </row>
    <row r="3390" spans="2:26" ht="31.5" customHeight="1" x14ac:dyDescent="0.45">
      <c r="M3390" s="635"/>
      <c r="N3390" s="621"/>
      <c r="O3390" s="635"/>
      <c r="R3390" s="512" t="str">
        <f t="shared" si="225"/>
        <v>DELETE</v>
      </c>
      <c r="T3390" s="521"/>
    </row>
    <row r="3391" spans="2:26" ht="31.5" customHeight="1" x14ac:dyDescent="0.45">
      <c r="D3391" s="450" t="s">
        <v>115</v>
      </c>
      <c r="M3391" s="635"/>
      <c r="N3391" s="621"/>
      <c r="O3391" s="635"/>
      <c r="R3391" s="512" t="str">
        <f t="shared" si="225"/>
        <v>DELETE</v>
      </c>
      <c r="T3391" s="521"/>
    </row>
    <row r="3392" spans="2:26" ht="31.5" customHeight="1" x14ac:dyDescent="0.45">
      <c r="D3392" s="450" t="str">
        <f>Criteria!E20</f>
        <v>29 FEBRUARY 2024</v>
      </c>
      <c r="M3392" s="635"/>
      <c r="N3392" s="621"/>
      <c r="O3392" s="635"/>
      <c r="R3392" s="512" t="str">
        <f t="shared" si="225"/>
        <v>DELETE</v>
      </c>
      <c r="T3392" s="521"/>
    </row>
    <row r="3393" spans="2:24" ht="31.5" customHeight="1" x14ac:dyDescent="0.45">
      <c r="M3393" s="635"/>
      <c r="N3393" s="621"/>
      <c r="O3393" s="635"/>
      <c r="R3393" s="512" t="str">
        <f t="shared" si="225"/>
        <v>DELETE</v>
      </c>
      <c r="T3393" s="521"/>
    </row>
    <row r="3394" spans="2:24" ht="31.5" customHeight="1" x14ac:dyDescent="0.45">
      <c r="B3394" s="465"/>
      <c r="C3394" s="466"/>
      <c r="D3394" s="466"/>
      <c r="E3394" s="466"/>
      <c r="F3394" s="466"/>
      <c r="G3394" s="466"/>
      <c r="H3394" s="466"/>
      <c r="I3394" s="466"/>
      <c r="J3394" s="466"/>
      <c r="K3394" s="466"/>
      <c r="L3394" s="466"/>
      <c r="M3394" s="648"/>
      <c r="N3394" s="649"/>
      <c r="O3394" s="648"/>
      <c r="P3394" s="643"/>
      <c r="Q3394" s="467"/>
      <c r="R3394" s="512" t="str">
        <f t="shared" si="225"/>
        <v>DELETE</v>
      </c>
      <c r="T3394" s="521"/>
    </row>
    <row r="3395" spans="2:24" ht="31.5" customHeight="1" x14ac:dyDescent="0.45">
      <c r="B3395" s="468"/>
      <c r="J3395" s="451"/>
      <c r="K3395" s="451" t="s">
        <v>129</v>
      </c>
      <c r="L3395" s="452"/>
      <c r="M3395" s="40"/>
      <c r="N3395" s="451"/>
      <c r="O3395" s="525">
        <f>Criteria!E22</f>
        <v>2024</v>
      </c>
      <c r="P3395" s="459"/>
      <c r="Q3395" s="469"/>
      <c r="R3395" s="512" t="str">
        <f t="shared" si="225"/>
        <v>DELETE</v>
      </c>
      <c r="T3395" s="521"/>
    </row>
    <row r="3396" spans="2:24" ht="31.5" customHeight="1" x14ac:dyDescent="0.45">
      <c r="B3396" s="468"/>
      <c r="J3396" s="451"/>
      <c r="K3396" s="451"/>
      <c r="L3396" s="452"/>
      <c r="M3396" s="40"/>
      <c r="N3396" s="451"/>
      <c r="O3396" s="531"/>
      <c r="P3396" s="459"/>
      <c r="Q3396" s="469"/>
      <c r="R3396" s="512" t="str">
        <f t="shared" si="225"/>
        <v>DELETE</v>
      </c>
      <c r="T3396" s="521"/>
    </row>
    <row r="3397" spans="2:24" ht="31.5" customHeight="1" x14ac:dyDescent="0.45">
      <c r="B3397" s="468"/>
      <c r="C3397" s="450" t="s">
        <v>137</v>
      </c>
      <c r="J3397" s="451"/>
      <c r="K3397" s="451"/>
      <c r="L3397" s="452"/>
      <c r="M3397" s="40"/>
      <c r="N3397" s="451"/>
      <c r="O3397" s="531">
        <f>-SUM(TrialBalanceB!I5:I10)</f>
        <v>0</v>
      </c>
      <c r="P3397" s="459"/>
      <c r="Q3397" s="469"/>
      <c r="R3397" s="512" t="str">
        <f>IF(R3385="DELETE","DELETE",IF(O3397=0,IF(O3399=0," ","DELETE")," "))</f>
        <v>DELETE</v>
      </c>
      <c r="S3397" s="517">
        <f>O3397</f>
        <v>0</v>
      </c>
      <c r="T3397" s="521"/>
      <c r="U3397" s="517"/>
      <c r="V3397" s="517"/>
      <c r="W3397" s="517"/>
      <c r="X3397" s="517"/>
    </row>
    <row r="3398" spans="2:24" ht="31.5" customHeight="1" x14ac:dyDescent="0.45">
      <c r="B3398" s="468"/>
      <c r="C3398" s="450"/>
      <c r="J3398" s="451"/>
      <c r="K3398" s="451"/>
      <c r="L3398" s="452"/>
      <c r="M3398" s="40"/>
      <c r="N3398" s="451"/>
      <c r="O3398" s="531"/>
      <c r="P3398" s="459"/>
      <c r="Q3398" s="469"/>
      <c r="R3398" s="512" t="str">
        <f>R3397</f>
        <v>DELETE</v>
      </c>
      <c r="S3398" s="517"/>
      <c r="T3398" s="521"/>
      <c r="U3398" s="517"/>
      <c r="V3398" s="517"/>
      <c r="W3398" s="517"/>
      <c r="X3398" s="517"/>
    </row>
    <row r="3399" spans="2:24" ht="31.5" customHeight="1" x14ac:dyDescent="0.45">
      <c r="B3399" s="468"/>
      <c r="C3399" s="450" t="s">
        <v>606</v>
      </c>
      <c r="J3399" s="451"/>
      <c r="K3399" s="451"/>
      <c r="L3399" s="452"/>
      <c r="M3399" s="40"/>
      <c r="N3399" s="451"/>
      <c r="O3399" s="531">
        <f>-TrialBalanceB!I11</f>
        <v>0</v>
      </c>
      <c r="P3399" s="459"/>
      <c r="Q3399" s="469"/>
      <c r="R3399" s="512" t="str">
        <f>IF(R3385="DELETE","DELETE",IF(O3399=0,"DELETE"," "))</f>
        <v>DELETE</v>
      </c>
      <c r="S3399" s="517">
        <f>O3399</f>
        <v>0</v>
      </c>
      <c r="T3399" s="521"/>
      <c r="U3399" s="517"/>
      <c r="V3399" s="517"/>
      <c r="W3399" s="517"/>
      <c r="X3399" s="517"/>
    </row>
    <row r="3400" spans="2:24" ht="31.5" customHeight="1" x14ac:dyDescent="0.45">
      <c r="B3400" s="468"/>
      <c r="C3400" s="450"/>
      <c r="J3400" s="451"/>
      <c r="K3400" s="451"/>
      <c r="L3400" s="452"/>
      <c r="M3400" s="40"/>
      <c r="N3400" s="451"/>
      <c r="O3400" s="531"/>
      <c r="P3400" s="459"/>
      <c r="Q3400" s="469"/>
      <c r="R3400" s="512" t="str">
        <f>R3399</f>
        <v>DELETE</v>
      </c>
      <c r="T3400" s="521"/>
    </row>
    <row r="3401" spans="2:24" ht="31.5" customHeight="1" x14ac:dyDescent="0.45">
      <c r="B3401" s="468"/>
      <c r="C3401" s="450" t="s">
        <v>333</v>
      </c>
      <c r="J3401" s="451"/>
      <c r="K3401" s="451"/>
      <c r="L3401" s="452"/>
      <c r="M3401" s="40"/>
      <c r="N3401" s="451"/>
      <c r="O3401" s="531">
        <f>SUM(O3404:O3411)</f>
        <v>0</v>
      </c>
      <c r="P3401" s="459"/>
      <c r="Q3401" s="469"/>
      <c r="R3401" s="512" t="str">
        <f>IF(R$3385="DELETE","DELETE",IF(O3401=0,"DELETE"," "))</f>
        <v>DELETE</v>
      </c>
      <c r="S3401" s="517">
        <f>-O3401</f>
        <v>0</v>
      </c>
      <c r="T3401" s="521"/>
      <c r="U3401" s="517"/>
      <c r="V3401" s="517"/>
      <c r="W3401" s="517"/>
      <c r="X3401" s="517"/>
    </row>
    <row r="3402" spans="2:24" ht="9" customHeight="1" x14ac:dyDescent="0.45">
      <c r="B3402" s="468"/>
      <c r="C3402" s="450"/>
      <c r="J3402" s="451"/>
      <c r="K3402" s="451"/>
      <c r="L3402" s="452"/>
      <c r="M3402" s="40"/>
      <c r="N3402" s="451"/>
      <c r="O3402" s="531"/>
      <c r="P3402" s="459"/>
      <c r="Q3402" s="469"/>
      <c r="R3402" s="512" t="str">
        <f>R3401</f>
        <v>DELETE</v>
      </c>
      <c r="T3402" s="521"/>
    </row>
    <row r="3403" spans="2:24" ht="9" customHeight="1" x14ac:dyDescent="0.45">
      <c r="B3403" s="468"/>
      <c r="C3403" s="450"/>
      <c r="J3403" s="451"/>
      <c r="K3403" s="451"/>
      <c r="L3403" s="452"/>
      <c r="M3403" s="40"/>
      <c r="N3403" s="451"/>
      <c r="O3403" s="558"/>
      <c r="P3403" s="459"/>
      <c r="Q3403" s="469"/>
      <c r="R3403" s="512" t="str">
        <f>R3402</f>
        <v>DELETE</v>
      </c>
      <c r="T3403" s="521"/>
    </row>
    <row r="3404" spans="2:24" ht="31.5" customHeight="1" x14ac:dyDescent="0.45">
      <c r="B3404" s="468"/>
      <c r="C3404" s="450"/>
      <c r="D3404" s="449" t="s">
        <v>608</v>
      </c>
      <c r="J3404" s="451"/>
      <c r="K3404" s="451"/>
      <c r="L3404" s="452"/>
      <c r="M3404" s="40"/>
      <c r="N3404" s="451"/>
      <c r="O3404" s="559">
        <f>SUM(TrialBalanceB!I13:I16)</f>
        <v>0</v>
      </c>
      <c r="P3404" s="459"/>
      <c r="Q3404" s="469"/>
      <c r="R3404" s="512" t="str">
        <f t="shared" ref="R3404:R3411" si="226">IF(R$3385="DELETE","DELETE",IF(O3404=0,"DELETE"," "))</f>
        <v>DELETE</v>
      </c>
      <c r="T3404" s="521"/>
    </row>
    <row r="3405" spans="2:24" ht="31.5" customHeight="1" x14ac:dyDescent="0.45">
      <c r="B3405" s="468"/>
      <c r="C3405" s="450"/>
      <c r="D3405" s="449" t="s">
        <v>334</v>
      </c>
      <c r="J3405" s="451"/>
      <c r="K3405" s="451"/>
      <c r="L3405" s="452"/>
      <c r="M3405" s="40"/>
      <c r="N3405" s="451"/>
      <c r="O3405" s="559">
        <f>TrialBalanceB!I17</f>
        <v>0</v>
      </c>
      <c r="P3405" s="459"/>
      <c r="Q3405" s="469"/>
      <c r="R3405" s="512" t="str">
        <f t="shared" si="226"/>
        <v>DELETE</v>
      </c>
      <c r="T3405" s="521"/>
    </row>
    <row r="3406" spans="2:24" ht="31.5" customHeight="1" x14ac:dyDescent="0.45">
      <c r="B3406" s="468"/>
      <c r="C3406" s="450"/>
      <c r="D3406" s="449">
        <f>TrialBalanceB!C18</f>
        <v>0</v>
      </c>
      <c r="J3406" s="451"/>
      <c r="K3406" s="451"/>
      <c r="L3406" s="452"/>
      <c r="M3406" s="40"/>
      <c r="N3406" s="451"/>
      <c r="O3406" s="559">
        <f>TrialBalanceB!I18</f>
        <v>0</v>
      </c>
      <c r="P3406" s="459"/>
      <c r="Q3406" s="469"/>
      <c r="R3406" s="512" t="str">
        <f t="shared" si="226"/>
        <v>DELETE</v>
      </c>
      <c r="T3406" s="521"/>
    </row>
    <row r="3407" spans="2:24" ht="31.5" customHeight="1" x14ac:dyDescent="0.45">
      <c r="B3407" s="468"/>
      <c r="C3407" s="450"/>
      <c r="D3407" s="449">
        <f>TrialBalanceB!C19</f>
        <v>0</v>
      </c>
      <c r="J3407" s="451"/>
      <c r="K3407" s="451"/>
      <c r="L3407" s="452"/>
      <c r="M3407" s="40"/>
      <c r="N3407" s="451"/>
      <c r="O3407" s="559">
        <f>TrialBalanceB!I19</f>
        <v>0</v>
      </c>
      <c r="P3407" s="459"/>
      <c r="Q3407" s="469"/>
      <c r="R3407" s="512" t="str">
        <f t="shared" si="226"/>
        <v>DELETE</v>
      </c>
      <c r="T3407" s="521"/>
    </row>
    <row r="3408" spans="2:24" ht="31.5" customHeight="1" x14ac:dyDescent="0.45">
      <c r="B3408" s="468"/>
      <c r="C3408" s="450"/>
      <c r="D3408" s="449">
        <f>TrialBalanceB!C20</f>
        <v>0</v>
      </c>
      <c r="J3408" s="451"/>
      <c r="K3408" s="451"/>
      <c r="L3408" s="452"/>
      <c r="M3408" s="40"/>
      <c r="N3408" s="451"/>
      <c r="O3408" s="559">
        <f>TrialBalanceB!I20</f>
        <v>0</v>
      </c>
      <c r="P3408" s="459"/>
      <c r="Q3408" s="469"/>
      <c r="R3408" s="512" t="str">
        <f t="shared" si="226"/>
        <v>DELETE</v>
      </c>
      <c r="T3408" s="521"/>
    </row>
    <row r="3409" spans="2:21" ht="31.5" customHeight="1" x14ac:dyDescent="0.45">
      <c r="B3409" s="468"/>
      <c r="C3409" s="450"/>
      <c r="D3409" s="449">
        <f>TrialBalanceB!C21</f>
        <v>0</v>
      </c>
      <c r="J3409" s="451"/>
      <c r="K3409" s="451"/>
      <c r="L3409" s="452"/>
      <c r="M3409" s="40"/>
      <c r="N3409" s="451"/>
      <c r="O3409" s="559">
        <f>TrialBalanceB!I21</f>
        <v>0</v>
      </c>
      <c r="P3409" s="459"/>
      <c r="Q3409" s="469"/>
      <c r="R3409" s="512" t="str">
        <f t="shared" si="226"/>
        <v>DELETE</v>
      </c>
      <c r="T3409" s="521"/>
    </row>
    <row r="3410" spans="2:21" ht="31.5" customHeight="1" x14ac:dyDescent="0.45">
      <c r="B3410" s="468"/>
      <c r="C3410" s="450"/>
      <c r="D3410" s="449">
        <f>TrialBalanceB!C22</f>
        <v>0</v>
      </c>
      <c r="J3410" s="451"/>
      <c r="K3410" s="451"/>
      <c r="L3410" s="452"/>
      <c r="M3410" s="40"/>
      <c r="N3410" s="451"/>
      <c r="O3410" s="559">
        <f>TrialBalanceB!I22</f>
        <v>0</v>
      </c>
      <c r="P3410" s="459"/>
      <c r="Q3410" s="469"/>
      <c r="R3410" s="512" t="str">
        <f t="shared" si="226"/>
        <v>DELETE</v>
      </c>
      <c r="T3410" s="521"/>
    </row>
    <row r="3411" spans="2:21" ht="31.5" customHeight="1" x14ac:dyDescent="0.45">
      <c r="B3411" s="468"/>
      <c r="C3411" s="450"/>
      <c r="D3411" s="449" t="s">
        <v>609</v>
      </c>
      <c r="J3411" s="451"/>
      <c r="K3411" s="451"/>
      <c r="L3411" s="452"/>
      <c r="M3411" s="40"/>
      <c r="N3411" s="451"/>
      <c r="O3411" s="559">
        <f>SUM(TrialBalanceB!I23:I26)</f>
        <v>0</v>
      </c>
      <c r="P3411" s="459"/>
      <c r="Q3411" s="469"/>
      <c r="R3411" s="512" t="str">
        <f t="shared" si="226"/>
        <v>DELETE</v>
      </c>
      <c r="T3411" s="521"/>
    </row>
    <row r="3412" spans="2:21" ht="9" customHeight="1" x14ac:dyDescent="0.45">
      <c r="B3412" s="468"/>
      <c r="C3412" s="450"/>
      <c r="J3412" s="451"/>
      <c r="K3412" s="451"/>
      <c r="L3412" s="452"/>
      <c r="M3412" s="40"/>
      <c r="N3412" s="451"/>
      <c r="O3412" s="560"/>
      <c r="P3412" s="459"/>
      <c r="Q3412" s="469"/>
      <c r="R3412" s="512" t="str">
        <f>R3401</f>
        <v>DELETE</v>
      </c>
      <c r="T3412" s="521"/>
    </row>
    <row r="3413" spans="2:21" ht="9" customHeight="1" x14ac:dyDescent="0.45">
      <c r="B3413" s="468"/>
      <c r="C3413" s="450"/>
      <c r="J3413" s="451"/>
      <c r="K3413" s="451"/>
      <c r="L3413" s="452"/>
      <c r="M3413" s="40"/>
      <c r="N3413" s="451"/>
      <c r="O3413" s="535"/>
      <c r="P3413" s="459"/>
      <c r="Q3413" s="469"/>
      <c r="R3413" s="512" t="str">
        <f>R3401</f>
        <v>DELETE</v>
      </c>
      <c r="T3413" s="521"/>
    </row>
    <row r="3414" spans="2:21" ht="9" customHeight="1" x14ac:dyDescent="0.45">
      <c r="B3414" s="468"/>
      <c r="C3414" s="450"/>
      <c r="J3414" s="451"/>
      <c r="K3414" s="451"/>
      <c r="L3414" s="452"/>
      <c r="M3414" s="40"/>
      <c r="N3414" s="451"/>
      <c r="O3414" s="531"/>
      <c r="P3414" s="459"/>
      <c r="Q3414" s="469"/>
      <c r="R3414" s="512" t="str">
        <f>R3413</f>
        <v>DELETE</v>
      </c>
      <c r="T3414" s="521"/>
    </row>
    <row r="3415" spans="2:21" ht="31.5" customHeight="1" x14ac:dyDescent="0.45">
      <c r="B3415" s="468"/>
      <c r="C3415" s="492" t="str">
        <f>IF(O3415&lt;0,"GROSS LOSS","GROSS PROFIT")</f>
        <v>GROSS PROFIT</v>
      </c>
      <c r="J3415" s="451"/>
      <c r="K3415" s="451"/>
      <c r="L3415" s="452"/>
      <c r="M3415" s="40"/>
      <c r="N3415" s="451"/>
      <c r="O3415" s="531">
        <f>SUM(S3397:S3412)</f>
        <v>0</v>
      </c>
      <c r="P3415" s="459"/>
      <c r="Q3415" s="469"/>
      <c r="R3415" s="512" t="str">
        <f>R3414</f>
        <v>DELETE</v>
      </c>
      <c r="T3415" s="521"/>
    </row>
    <row r="3416" spans="2:21" ht="31.5" customHeight="1" x14ac:dyDescent="0.45">
      <c r="B3416" s="468"/>
      <c r="C3416" s="450"/>
      <c r="J3416" s="451"/>
      <c r="K3416" s="451"/>
      <c r="L3416" s="452"/>
      <c r="M3416" s="40"/>
      <c r="N3416" s="451"/>
      <c r="O3416" s="531"/>
      <c r="P3416" s="459"/>
      <c r="Q3416" s="469"/>
      <c r="R3416" s="512" t="str">
        <f>R3415</f>
        <v>DELETE</v>
      </c>
      <c r="T3416" s="521"/>
    </row>
    <row r="3417" spans="2:21" ht="31.5" customHeight="1" x14ac:dyDescent="0.45">
      <c r="B3417" s="468"/>
      <c r="C3417" s="450" t="s">
        <v>385</v>
      </c>
      <c r="J3417" s="451"/>
      <c r="K3417" s="451"/>
      <c r="L3417" s="452"/>
      <c r="M3417" s="40"/>
      <c r="N3417" s="451"/>
      <c r="O3417" s="531">
        <f>SUM(O3419:O3426)</f>
        <v>0</v>
      </c>
      <c r="P3417" s="459"/>
      <c r="Q3417" s="469"/>
      <c r="R3417" s="512" t="str">
        <f t="shared" ref="R3417" si="227">IF(R$3385="DELETE","DELETE",IF(O3417=0,"DELETE"," "))</f>
        <v>DELETE</v>
      </c>
      <c r="S3417" s="517">
        <f>O3417</f>
        <v>0</v>
      </c>
      <c r="T3417" s="521"/>
      <c r="U3417" s="517"/>
    </row>
    <row r="3418" spans="2:21" ht="9" customHeight="1" x14ac:dyDescent="0.45">
      <c r="B3418" s="468"/>
      <c r="C3418" s="450"/>
      <c r="J3418" s="451"/>
      <c r="K3418" s="451"/>
      <c r="L3418" s="452"/>
      <c r="M3418" s="40"/>
      <c r="N3418" s="451"/>
      <c r="O3418" s="531"/>
      <c r="P3418" s="459"/>
      <c r="Q3418" s="469"/>
      <c r="R3418" s="512" t="str">
        <f>R3417</f>
        <v>DELETE</v>
      </c>
      <c r="T3418" s="521"/>
    </row>
    <row r="3419" spans="2:21" ht="9" customHeight="1" x14ac:dyDescent="0.45">
      <c r="B3419" s="468"/>
      <c r="C3419" s="450"/>
      <c r="J3419" s="451"/>
      <c r="K3419" s="451"/>
      <c r="L3419" s="452"/>
      <c r="M3419" s="40"/>
      <c r="N3419" s="451"/>
      <c r="O3419" s="558"/>
      <c r="P3419" s="459"/>
      <c r="Q3419" s="469"/>
      <c r="R3419" s="512" t="str">
        <f>R3417</f>
        <v>DELETE</v>
      </c>
      <c r="T3419" s="521"/>
    </row>
    <row r="3420" spans="2:21" ht="31.5" customHeight="1" x14ac:dyDescent="0.45">
      <c r="B3420" s="468"/>
      <c r="C3420" s="450"/>
      <c r="D3420" s="449" t="str">
        <f>TrialBalanceB!C28</f>
        <v>Insurance claims - Rental Properties</v>
      </c>
      <c r="J3420" s="451"/>
      <c r="K3420" s="451"/>
      <c r="L3420" s="452"/>
      <c r="M3420" s="40"/>
      <c r="N3420" s="451"/>
      <c r="O3420" s="559">
        <f>-TrialBalanceB!I28</f>
        <v>0</v>
      </c>
      <c r="P3420" s="459"/>
      <c r="Q3420" s="469"/>
      <c r="R3420" s="512" t="str">
        <f t="shared" ref="R3420:R3424" si="228">IF(R$3385="DELETE","DELETE",IF(O3420=0,"DELETE"," "))</f>
        <v>DELETE</v>
      </c>
      <c r="T3420" s="521"/>
    </row>
    <row r="3421" spans="2:21" ht="31.5" customHeight="1" x14ac:dyDescent="0.45">
      <c r="B3421" s="468"/>
      <c r="C3421" s="450"/>
      <c r="D3421" s="449" t="str">
        <f>TrialBalanceB!C29</f>
        <v>Government grants received</v>
      </c>
      <c r="J3421" s="451"/>
      <c r="K3421" s="451"/>
      <c r="L3421" s="452"/>
      <c r="M3421" s="40"/>
      <c r="N3421" s="451"/>
      <c r="O3421" s="559">
        <f>-TrialBalanceB!I29</f>
        <v>0</v>
      </c>
      <c r="P3421" s="459"/>
      <c r="Q3421" s="469"/>
      <c r="R3421" s="512" t="str">
        <f t="shared" si="228"/>
        <v>DELETE</v>
      </c>
      <c r="T3421" s="521"/>
    </row>
    <row r="3422" spans="2:21" ht="31.5" customHeight="1" x14ac:dyDescent="0.45">
      <c r="B3422" s="468"/>
      <c r="C3422" s="450"/>
      <c r="D3422" s="449">
        <f>TrialBalanceB!C30</f>
        <v>0</v>
      </c>
      <c r="J3422" s="451"/>
      <c r="K3422" s="451"/>
      <c r="L3422" s="452"/>
      <c r="M3422" s="40"/>
      <c r="N3422" s="451"/>
      <c r="O3422" s="559">
        <f>-TrialBalanceB!I30</f>
        <v>0</v>
      </c>
      <c r="P3422" s="459"/>
      <c r="Q3422" s="469"/>
      <c r="R3422" s="512" t="str">
        <f t="shared" si="228"/>
        <v>DELETE</v>
      </c>
      <c r="T3422" s="521"/>
    </row>
    <row r="3423" spans="2:21" ht="31.5" customHeight="1" x14ac:dyDescent="0.45">
      <c r="B3423" s="468"/>
      <c r="C3423" s="450"/>
      <c r="D3423" s="449">
        <f>TrialBalanceB!C31</f>
        <v>0</v>
      </c>
      <c r="J3423" s="451"/>
      <c r="K3423" s="451"/>
      <c r="L3423" s="452"/>
      <c r="M3423" s="40"/>
      <c r="N3423" s="451"/>
      <c r="O3423" s="559">
        <f>-TrialBalanceB!I31</f>
        <v>0</v>
      </c>
      <c r="P3423" s="459"/>
      <c r="Q3423" s="469"/>
      <c r="R3423" s="512" t="str">
        <f t="shared" si="228"/>
        <v>DELETE</v>
      </c>
      <c r="T3423" s="521"/>
    </row>
    <row r="3424" spans="2:21" ht="31.5" customHeight="1" x14ac:dyDescent="0.45">
      <c r="B3424" s="468"/>
      <c r="C3424" s="450"/>
      <c r="D3424" s="449">
        <f>TrialBalanceB!C32</f>
        <v>0</v>
      </c>
      <c r="J3424" s="451"/>
      <c r="K3424" s="451"/>
      <c r="L3424" s="452"/>
      <c r="M3424" s="40"/>
      <c r="N3424" s="451"/>
      <c r="O3424" s="559">
        <f>-TrialBalanceB!I32</f>
        <v>0</v>
      </c>
      <c r="P3424" s="459"/>
      <c r="Q3424" s="469"/>
      <c r="R3424" s="512" t="str">
        <f t="shared" si="228"/>
        <v>DELETE</v>
      </c>
      <c r="T3424" s="521"/>
    </row>
    <row r="3425" spans="2:24" ht="31.5" customHeight="1" x14ac:dyDescent="0.45">
      <c r="B3425" s="468"/>
      <c r="C3425" s="450"/>
      <c r="D3425" s="449" t="str">
        <f>TrialBalanceB!C33</f>
        <v>Recoupment of depreciation</v>
      </c>
      <c r="J3425" s="451"/>
      <c r="K3425" s="451"/>
      <c r="L3425" s="452"/>
      <c r="M3425" s="40"/>
      <c r="N3425" s="451"/>
      <c r="O3425" s="559">
        <f>-TrialBalanceB!I33</f>
        <v>0</v>
      </c>
      <c r="P3425" s="459"/>
      <c r="Q3425" s="469"/>
      <c r="R3425" s="512" t="str">
        <f t="shared" ref="R3425" si="229">IF(R$3385="DELETE","DELETE",IF(O3425=0,"DELETE"," "))</f>
        <v>DELETE</v>
      </c>
      <c r="T3425" s="521"/>
    </row>
    <row r="3426" spans="2:24" ht="9" customHeight="1" x14ac:dyDescent="0.45">
      <c r="B3426" s="468"/>
      <c r="C3426" s="450"/>
      <c r="J3426" s="451"/>
      <c r="K3426" s="451"/>
      <c r="L3426" s="452"/>
      <c r="M3426" s="40"/>
      <c r="N3426" s="451"/>
      <c r="O3426" s="560"/>
      <c r="P3426" s="459"/>
      <c r="Q3426" s="469"/>
      <c r="R3426" s="512" t="str">
        <f>R3417</f>
        <v>DELETE</v>
      </c>
      <c r="T3426" s="521"/>
    </row>
    <row r="3427" spans="2:24" ht="9" customHeight="1" x14ac:dyDescent="0.45">
      <c r="B3427" s="468"/>
      <c r="C3427" s="450"/>
      <c r="J3427" s="451"/>
      <c r="K3427" s="451"/>
      <c r="L3427" s="452"/>
      <c r="M3427" s="40"/>
      <c r="N3427" s="451"/>
      <c r="O3427" s="547"/>
      <c r="P3427" s="459"/>
      <c r="Q3427" s="469"/>
      <c r="R3427" s="512" t="str">
        <f>R3426</f>
        <v>DELETE</v>
      </c>
      <c r="T3427" s="521"/>
    </row>
    <row r="3428" spans="2:24" ht="9" customHeight="1" x14ac:dyDescent="0.45">
      <c r="B3428" s="468"/>
      <c r="C3428" s="450"/>
      <c r="J3428" s="451"/>
      <c r="K3428" s="451"/>
      <c r="L3428" s="452"/>
      <c r="M3428" s="40"/>
      <c r="N3428" s="451"/>
      <c r="O3428" s="531"/>
      <c r="P3428" s="459"/>
      <c r="Q3428" s="469"/>
      <c r="R3428" s="512" t="str">
        <f>R3427</f>
        <v>DELETE</v>
      </c>
      <c r="T3428" s="521"/>
    </row>
    <row r="3429" spans="2:24" ht="31.5" customHeight="1" x14ac:dyDescent="0.45">
      <c r="B3429" s="468"/>
      <c r="C3429" s="450"/>
      <c r="J3429" s="451"/>
      <c r="K3429" s="451"/>
      <c r="L3429" s="452"/>
      <c r="M3429" s="40"/>
      <c r="N3429" s="451"/>
      <c r="O3429" s="531">
        <f>SUM(S3397:S3417)</f>
        <v>0</v>
      </c>
      <c r="P3429" s="459"/>
      <c r="Q3429" s="469"/>
      <c r="R3429" s="512" t="str">
        <f>R3417</f>
        <v>DELETE</v>
      </c>
      <c r="T3429" s="521"/>
    </row>
    <row r="3430" spans="2:24" ht="31.5" customHeight="1" x14ac:dyDescent="0.45">
      <c r="B3430" s="468"/>
      <c r="C3430" s="450"/>
      <c r="J3430" s="451"/>
      <c r="K3430" s="451"/>
      <c r="L3430" s="452"/>
      <c r="M3430" s="40"/>
      <c r="N3430" s="451"/>
      <c r="O3430" s="531"/>
      <c r="P3430" s="459"/>
      <c r="Q3430" s="469"/>
      <c r="R3430" s="512" t="str">
        <f>R3429</f>
        <v>DELETE</v>
      </c>
      <c r="T3430" s="521"/>
    </row>
    <row r="3431" spans="2:24" ht="31.5" customHeight="1" x14ac:dyDescent="0.45">
      <c r="B3431" s="468"/>
      <c r="C3431" s="450" t="s">
        <v>1416</v>
      </c>
      <c r="J3431" s="451"/>
      <c r="K3431" s="451"/>
      <c r="L3431" s="452"/>
      <c r="M3431" s="40"/>
      <c r="N3431" s="451"/>
      <c r="O3431" s="531">
        <f>SUM(O3433:O3461)</f>
        <v>0</v>
      </c>
      <c r="P3431" s="459"/>
      <c r="Q3431" s="469"/>
      <c r="R3431" s="512" t="str">
        <f t="shared" ref="R3431" si="230">IF(R$3385="DELETE","DELETE",IF(O3431=0,"DELETE"," "))</f>
        <v>DELETE</v>
      </c>
      <c r="S3431" s="517">
        <f>-O3431</f>
        <v>0</v>
      </c>
      <c r="T3431" s="521"/>
      <c r="U3431" s="517"/>
      <c r="V3431" s="517"/>
      <c r="W3431" s="517"/>
      <c r="X3431" s="517"/>
    </row>
    <row r="3432" spans="2:24" ht="9" customHeight="1" x14ac:dyDescent="0.45">
      <c r="B3432" s="468"/>
      <c r="C3432" s="450"/>
      <c r="J3432" s="451"/>
      <c r="K3432" s="451"/>
      <c r="L3432" s="452"/>
      <c r="M3432" s="40"/>
      <c r="N3432" s="451"/>
      <c r="O3432" s="531"/>
      <c r="P3432" s="459"/>
      <c r="Q3432" s="469"/>
      <c r="R3432" s="512" t="str">
        <f>R3431</f>
        <v>DELETE</v>
      </c>
      <c r="T3432" s="521"/>
    </row>
    <row r="3433" spans="2:24" ht="9" customHeight="1" x14ac:dyDescent="0.45">
      <c r="B3433" s="468"/>
      <c r="C3433" s="450"/>
      <c r="J3433" s="451"/>
      <c r="K3433" s="451"/>
      <c r="L3433" s="452"/>
      <c r="M3433" s="40"/>
      <c r="N3433" s="451"/>
      <c r="O3433" s="558"/>
      <c r="P3433" s="459"/>
      <c r="Q3433" s="469"/>
      <c r="R3433" s="512" t="str">
        <f>R3432</f>
        <v>DELETE</v>
      </c>
      <c r="T3433" s="521"/>
    </row>
    <row r="3434" spans="2:24" ht="31.5" customHeight="1" x14ac:dyDescent="0.45">
      <c r="B3434" s="468"/>
      <c r="C3434" s="450"/>
      <c r="D3434" s="449" t="s">
        <v>335</v>
      </c>
      <c r="J3434" s="451"/>
      <c r="K3434" s="451"/>
      <c r="L3434" s="452"/>
      <c r="M3434" s="40"/>
      <c r="N3434" s="451"/>
      <c r="O3434" s="559">
        <f>TrialBalanceB!I40</f>
        <v>0</v>
      </c>
      <c r="P3434" s="459"/>
      <c r="Q3434" s="469"/>
      <c r="R3434" s="512" t="str">
        <f t="shared" ref="R3434:R3460" si="231">IF(R$3385="DELETE","DELETE",IF(O3434=0,"DELETE"," "))</f>
        <v>DELETE</v>
      </c>
      <c r="T3434" s="521"/>
    </row>
    <row r="3435" spans="2:24" ht="31.5" customHeight="1" x14ac:dyDescent="0.45">
      <c r="B3435" s="468"/>
      <c r="C3435" s="450"/>
      <c r="D3435" s="449" t="s">
        <v>888</v>
      </c>
      <c r="J3435" s="451"/>
      <c r="K3435" s="451"/>
      <c r="L3435" s="452"/>
      <c r="M3435" s="40"/>
      <c r="N3435" s="451"/>
      <c r="O3435" s="559">
        <f>TrialBalanceB!I41</f>
        <v>0</v>
      </c>
      <c r="P3435" s="459"/>
      <c r="Q3435" s="469"/>
      <c r="R3435" s="512" t="str">
        <f t="shared" si="231"/>
        <v>DELETE</v>
      </c>
      <c r="T3435" s="521"/>
    </row>
    <row r="3436" spans="2:24" ht="31.5" customHeight="1" x14ac:dyDescent="0.45">
      <c r="B3436" s="468"/>
      <c r="C3436" s="450"/>
      <c r="D3436" s="449" t="s">
        <v>336</v>
      </c>
      <c r="J3436" s="451"/>
      <c r="K3436" s="451"/>
      <c r="L3436" s="452"/>
      <c r="M3436" s="40"/>
      <c r="N3436" s="451"/>
      <c r="O3436" s="559">
        <f>TrialBalanceB!I42</f>
        <v>0</v>
      </c>
      <c r="P3436" s="459"/>
      <c r="Q3436" s="469"/>
      <c r="R3436" s="512" t="str">
        <f t="shared" si="231"/>
        <v>DELETE</v>
      </c>
      <c r="T3436" s="521"/>
    </row>
    <row r="3437" spans="2:24" ht="31.5" customHeight="1" x14ac:dyDescent="0.45">
      <c r="B3437" s="468"/>
      <c r="C3437" s="450"/>
      <c r="D3437" s="449" t="s">
        <v>337</v>
      </c>
      <c r="J3437" s="451"/>
      <c r="K3437" s="451">
        <f>C$1203</f>
        <v>5.2999999999999989</v>
      </c>
      <c r="L3437" s="452"/>
      <c r="M3437" s="40"/>
      <c r="N3437" s="451"/>
      <c r="O3437" s="559">
        <f>SUM(TrialBalanceB!I44:I46)</f>
        <v>0</v>
      </c>
      <c r="P3437" s="459"/>
      <c r="Q3437" s="469"/>
      <c r="R3437" s="512" t="str">
        <f t="shared" si="231"/>
        <v>DELETE</v>
      </c>
      <c r="T3437" s="521"/>
    </row>
    <row r="3438" spans="2:24" ht="31.5" customHeight="1" x14ac:dyDescent="0.45">
      <c r="B3438" s="468"/>
      <c r="C3438" s="450"/>
      <c r="D3438" s="449" t="s">
        <v>610</v>
      </c>
      <c r="J3438" s="451"/>
      <c r="K3438" s="451"/>
      <c r="L3438" s="452"/>
      <c r="M3438" s="40"/>
      <c r="N3438" s="451"/>
      <c r="O3438" s="559">
        <f>TrialBalanceB!I47</f>
        <v>0</v>
      </c>
      <c r="P3438" s="459"/>
      <c r="Q3438" s="469"/>
      <c r="R3438" s="512" t="str">
        <f t="shared" si="231"/>
        <v>DELETE</v>
      </c>
      <c r="S3438" s="518"/>
      <c r="T3438" s="521"/>
      <c r="U3438" s="518"/>
      <c r="V3438" s="518"/>
      <c r="W3438" s="518"/>
      <c r="X3438" s="518"/>
    </row>
    <row r="3439" spans="2:24" ht="31.5" customHeight="1" x14ac:dyDescent="0.45">
      <c r="B3439" s="468"/>
      <c r="C3439" s="450"/>
      <c r="D3439" s="449" t="s">
        <v>933</v>
      </c>
      <c r="J3439" s="451"/>
      <c r="K3439" s="451"/>
      <c r="L3439" s="452"/>
      <c r="M3439" s="40"/>
      <c r="N3439" s="451"/>
      <c r="O3439" s="559">
        <f>TrialBalanceB!I48</f>
        <v>0</v>
      </c>
      <c r="P3439" s="459"/>
      <c r="Q3439" s="469"/>
      <c r="R3439" s="512" t="str">
        <f t="shared" si="231"/>
        <v>DELETE</v>
      </c>
      <c r="T3439" s="521"/>
    </row>
    <row r="3440" spans="2:24" ht="31.5" customHeight="1" x14ac:dyDescent="0.45">
      <c r="B3440" s="468"/>
      <c r="C3440" s="450"/>
      <c r="D3440" s="449" t="s">
        <v>74</v>
      </c>
      <c r="J3440" s="451"/>
      <c r="K3440" s="451"/>
      <c r="L3440" s="452"/>
      <c r="M3440" s="40"/>
      <c r="N3440" s="451"/>
      <c r="O3440" s="559">
        <f>TrialBalanceB!I49</f>
        <v>0</v>
      </c>
      <c r="P3440" s="459"/>
      <c r="Q3440" s="469"/>
      <c r="R3440" s="512" t="str">
        <f t="shared" si="231"/>
        <v>DELETE</v>
      </c>
      <c r="T3440" s="521"/>
    </row>
    <row r="3441" spans="2:20" ht="31.5" customHeight="1" x14ac:dyDescent="0.45">
      <c r="B3441" s="468"/>
      <c r="C3441" s="450"/>
      <c r="D3441" s="449" t="s">
        <v>338</v>
      </c>
      <c r="J3441" s="451"/>
      <c r="K3441" s="451"/>
      <c r="L3441" s="452"/>
      <c r="M3441" s="40"/>
      <c r="N3441" s="451"/>
      <c r="O3441" s="559">
        <f>TrialBalanceB!I50</f>
        <v>0</v>
      </c>
      <c r="P3441" s="459"/>
      <c r="Q3441" s="469"/>
      <c r="R3441" s="512" t="str">
        <f t="shared" si="231"/>
        <v>DELETE</v>
      </c>
      <c r="T3441" s="521"/>
    </row>
    <row r="3442" spans="2:20" ht="31.5" customHeight="1" x14ac:dyDescent="0.45">
      <c r="B3442" s="468"/>
      <c r="C3442" s="450"/>
      <c r="D3442" s="449" t="s">
        <v>632</v>
      </c>
      <c r="J3442" s="451"/>
      <c r="K3442" s="451"/>
      <c r="L3442" s="452"/>
      <c r="M3442" s="40"/>
      <c r="N3442" s="451"/>
      <c r="O3442" s="559">
        <f>SUM(TrialBalanceB!I51:I52)</f>
        <v>0</v>
      </c>
      <c r="P3442" s="459"/>
      <c r="Q3442" s="469"/>
      <c r="R3442" s="512" t="str">
        <f t="shared" si="231"/>
        <v>DELETE</v>
      </c>
      <c r="T3442" s="521"/>
    </row>
    <row r="3443" spans="2:20" ht="31.5" customHeight="1" x14ac:dyDescent="0.45">
      <c r="B3443" s="468"/>
      <c r="C3443" s="450"/>
      <c r="D3443" s="449" t="s">
        <v>630</v>
      </c>
      <c r="J3443" s="451"/>
      <c r="K3443" s="451"/>
      <c r="L3443" s="452"/>
      <c r="M3443" s="40"/>
      <c r="N3443" s="451"/>
      <c r="O3443" s="559">
        <f>TrialBalanceB!I53</f>
        <v>0</v>
      </c>
      <c r="P3443" s="459"/>
      <c r="Q3443" s="469"/>
      <c r="R3443" s="512" t="str">
        <f t="shared" si="231"/>
        <v>DELETE</v>
      </c>
      <c r="T3443" s="521"/>
    </row>
    <row r="3444" spans="2:20" ht="31.5" customHeight="1" x14ac:dyDescent="0.45">
      <c r="B3444" s="468"/>
      <c r="C3444" s="450"/>
      <c r="D3444" s="449" t="s">
        <v>611</v>
      </c>
      <c r="J3444" s="451"/>
      <c r="K3444" s="451"/>
      <c r="L3444" s="452"/>
      <c r="M3444" s="40"/>
      <c r="N3444" s="451"/>
      <c r="O3444" s="559">
        <f>SUM(TrialBalanceB!I55:I59)</f>
        <v>0</v>
      </c>
      <c r="P3444" s="459"/>
      <c r="Q3444" s="469"/>
      <c r="R3444" s="512" t="str">
        <f t="shared" si="231"/>
        <v>DELETE</v>
      </c>
      <c r="T3444" s="521"/>
    </row>
    <row r="3445" spans="2:20" ht="31.5" customHeight="1" x14ac:dyDescent="0.45">
      <c r="B3445" s="468"/>
      <c r="C3445" s="450"/>
      <c r="D3445" s="449" t="s">
        <v>590</v>
      </c>
      <c r="J3445" s="451"/>
      <c r="K3445" s="451">
        <f>FS!C$1171</f>
        <v>5.1999999999999993</v>
      </c>
      <c r="L3445" s="452"/>
      <c r="M3445" s="40"/>
      <c r="N3445" s="451"/>
      <c r="O3445" s="559">
        <f>SUM(TrialBalanceB!I61:I63)</f>
        <v>0</v>
      </c>
      <c r="P3445" s="459"/>
      <c r="Q3445" s="469"/>
      <c r="R3445" s="512" t="str">
        <f t="shared" si="231"/>
        <v>DELETE</v>
      </c>
      <c r="T3445" s="521"/>
    </row>
    <row r="3446" spans="2:20" ht="31.5" customHeight="1" x14ac:dyDescent="0.45">
      <c r="B3446" s="468"/>
      <c r="C3446" s="450"/>
      <c r="D3446" s="449" t="s">
        <v>82</v>
      </c>
      <c r="J3446" s="451"/>
      <c r="K3446" s="451"/>
      <c r="L3446" s="452"/>
      <c r="M3446" s="40"/>
      <c r="N3446" s="451"/>
      <c r="O3446" s="559">
        <f>TrialBalanceB!I64</f>
        <v>0</v>
      </c>
      <c r="P3446" s="459"/>
      <c r="Q3446" s="469"/>
      <c r="R3446" s="512" t="str">
        <f t="shared" si="231"/>
        <v>DELETE</v>
      </c>
      <c r="T3446" s="521"/>
    </row>
    <row r="3447" spans="2:20" ht="31.5" customHeight="1" x14ac:dyDescent="0.45">
      <c r="B3447" s="468"/>
      <c r="C3447" s="450"/>
      <c r="D3447" s="449" t="s">
        <v>309</v>
      </c>
      <c r="J3447" s="451"/>
      <c r="K3447" s="451"/>
      <c r="L3447" s="452"/>
      <c r="M3447" s="40"/>
      <c r="N3447" s="451"/>
      <c r="O3447" s="559">
        <f>SUM(TrialBalanceB!I65:I67)</f>
        <v>0</v>
      </c>
      <c r="P3447" s="459"/>
      <c r="Q3447" s="469"/>
      <c r="R3447" s="512" t="str">
        <f t="shared" si="231"/>
        <v>DELETE</v>
      </c>
      <c r="T3447" s="521"/>
    </row>
    <row r="3448" spans="2:20" ht="31.5" customHeight="1" x14ac:dyDescent="0.45">
      <c r="B3448" s="468"/>
      <c r="C3448" s="450"/>
      <c r="D3448" s="449" t="s">
        <v>934</v>
      </c>
      <c r="J3448" s="451"/>
      <c r="K3448" s="451"/>
      <c r="L3448" s="452"/>
      <c r="M3448" s="40"/>
      <c r="N3448" s="451"/>
      <c r="O3448" s="559">
        <f>SUM(TrialBalanceB!I68:I69)</f>
        <v>0</v>
      </c>
      <c r="P3448" s="459"/>
      <c r="Q3448" s="469"/>
      <c r="R3448" s="512" t="str">
        <f t="shared" si="231"/>
        <v>DELETE</v>
      </c>
      <c r="T3448" s="521"/>
    </row>
    <row r="3449" spans="2:20" ht="31.5" customHeight="1" x14ac:dyDescent="0.45">
      <c r="B3449" s="468"/>
      <c r="C3449" s="450"/>
      <c r="D3449" s="449" t="s">
        <v>310</v>
      </c>
      <c r="J3449" s="451"/>
      <c r="K3449" s="451"/>
      <c r="L3449" s="452"/>
      <c r="M3449" s="40"/>
      <c r="N3449" s="451"/>
      <c r="O3449" s="559">
        <f>TrialBalanceB!I70</f>
        <v>0</v>
      </c>
      <c r="P3449" s="459"/>
      <c r="Q3449" s="469"/>
      <c r="R3449" s="512" t="str">
        <f t="shared" si="231"/>
        <v>DELETE</v>
      </c>
      <c r="T3449" s="521"/>
    </row>
    <row r="3450" spans="2:20" ht="31.5" customHeight="1" x14ac:dyDescent="0.45">
      <c r="B3450" s="468"/>
      <c r="C3450" s="450"/>
      <c r="D3450" s="449" t="s">
        <v>461</v>
      </c>
      <c r="J3450" s="451"/>
      <c r="K3450" s="451"/>
      <c r="L3450" s="452"/>
      <c r="M3450" s="40"/>
      <c r="N3450" s="451"/>
      <c r="O3450" s="559">
        <f>TrialBalanceB!I71</f>
        <v>0</v>
      </c>
      <c r="P3450" s="459"/>
      <c r="Q3450" s="469"/>
      <c r="R3450" s="512" t="str">
        <f t="shared" si="231"/>
        <v>DELETE</v>
      </c>
      <c r="T3450" s="521"/>
    </row>
    <row r="3451" spans="2:20" ht="31.5" customHeight="1" x14ac:dyDescent="0.45">
      <c r="B3451" s="468"/>
      <c r="C3451" s="450"/>
      <c r="D3451" s="449">
        <f>TrialBalanceB!C72</f>
        <v>0</v>
      </c>
      <c r="J3451" s="451"/>
      <c r="K3451" s="451"/>
      <c r="L3451" s="452"/>
      <c r="M3451" s="40"/>
      <c r="N3451" s="451"/>
      <c r="O3451" s="559">
        <f>TrialBalanceB!I72</f>
        <v>0</v>
      </c>
      <c r="P3451" s="459"/>
      <c r="Q3451" s="469"/>
      <c r="R3451" s="512" t="str">
        <f t="shared" si="231"/>
        <v>DELETE</v>
      </c>
      <c r="T3451" s="521"/>
    </row>
    <row r="3452" spans="2:20" ht="31.5" customHeight="1" x14ac:dyDescent="0.45">
      <c r="B3452" s="468"/>
      <c r="C3452" s="450"/>
      <c r="D3452" s="449">
        <f>TrialBalanceB!C73</f>
        <v>0</v>
      </c>
      <c r="J3452" s="451"/>
      <c r="K3452" s="451"/>
      <c r="L3452" s="452"/>
      <c r="M3452" s="40"/>
      <c r="N3452" s="451"/>
      <c r="O3452" s="559">
        <f>TrialBalanceB!I73</f>
        <v>0</v>
      </c>
      <c r="P3452" s="459"/>
      <c r="Q3452" s="469"/>
      <c r="R3452" s="512" t="str">
        <f t="shared" si="231"/>
        <v>DELETE</v>
      </c>
      <c r="T3452" s="521"/>
    </row>
    <row r="3453" spans="2:20" ht="31.5" customHeight="1" x14ac:dyDescent="0.45">
      <c r="B3453" s="468"/>
      <c r="C3453" s="450"/>
      <c r="D3453" s="449">
        <f>TrialBalanceB!C74</f>
        <v>0</v>
      </c>
      <c r="J3453" s="451"/>
      <c r="K3453" s="451"/>
      <c r="L3453" s="452"/>
      <c r="M3453" s="40"/>
      <c r="N3453" s="451"/>
      <c r="O3453" s="559">
        <f>TrialBalanceB!I74</f>
        <v>0</v>
      </c>
      <c r="P3453" s="459"/>
      <c r="Q3453" s="469"/>
      <c r="R3453" s="512" t="str">
        <f t="shared" si="231"/>
        <v>DELETE</v>
      </c>
      <c r="T3453" s="521"/>
    </row>
    <row r="3454" spans="2:20" ht="31.5" customHeight="1" x14ac:dyDescent="0.45">
      <c r="B3454" s="468"/>
      <c r="C3454" s="450"/>
      <c r="D3454" s="449">
        <f>TrialBalanceB!C75</f>
        <v>0</v>
      </c>
      <c r="J3454" s="451"/>
      <c r="K3454" s="451"/>
      <c r="L3454" s="452"/>
      <c r="M3454" s="40"/>
      <c r="N3454" s="451"/>
      <c r="O3454" s="559">
        <f>TrialBalanceB!I75</f>
        <v>0</v>
      </c>
      <c r="P3454" s="459"/>
      <c r="Q3454" s="469"/>
      <c r="R3454" s="512" t="str">
        <f t="shared" si="231"/>
        <v>DELETE</v>
      </c>
      <c r="T3454" s="521"/>
    </row>
    <row r="3455" spans="2:20" ht="31.5" customHeight="1" x14ac:dyDescent="0.45">
      <c r="B3455" s="468"/>
      <c r="C3455" s="450"/>
      <c r="D3455" s="449">
        <f>TrialBalanceB!C76</f>
        <v>0</v>
      </c>
      <c r="J3455" s="451"/>
      <c r="K3455" s="451"/>
      <c r="L3455" s="452"/>
      <c r="M3455" s="40"/>
      <c r="N3455" s="451"/>
      <c r="O3455" s="559">
        <f>TrialBalanceB!I76</f>
        <v>0</v>
      </c>
      <c r="P3455" s="459"/>
      <c r="Q3455" s="469"/>
      <c r="R3455" s="512" t="str">
        <f t="shared" si="231"/>
        <v>DELETE</v>
      </c>
      <c r="T3455" s="521"/>
    </row>
    <row r="3456" spans="2:20" ht="31.5" customHeight="1" x14ac:dyDescent="0.45">
      <c r="B3456" s="468"/>
      <c r="C3456" s="450"/>
      <c r="D3456" s="449">
        <f>TrialBalanceB!C77</f>
        <v>0</v>
      </c>
      <c r="J3456" s="451"/>
      <c r="K3456" s="451"/>
      <c r="L3456" s="452"/>
      <c r="M3456" s="40"/>
      <c r="N3456" s="451"/>
      <c r="O3456" s="559">
        <f>TrialBalanceB!I77</f>
        <v>0</v>
      </c>
      <c r="P3456" s="459"/>
      <c r="Q3456" s="469"/>
      <c r="R3456" s="512" t="str">
        <f t="shared" si="231"/>
        <v>DELETE</v>
      </c>
      <c r="T3456" s="521"/>
    </row>
    <row r="3457" spans="2:20" ht="31.5" customHeight="1" x14ac:dyDescent="0.45">
      <c r="B3457" s="468"/>
      <c r="C3457" s="450"/>
      <c r="D3457" s="449">
        <f>TrialBalanceB!C78</f>
        <v>0</v>
      </c>
      <c r="J3457" s="451"/>
      <c r="K3457" s="451"/>
      <c r="L3457" s="452"/>
      <c r="M3457" s="40"/>
      <c r="N3457" s="451"/>
      <c r="O3457" s="559">
        <f>TrialBalanceB!I78</f>
        <v>0</v>
      </c>
      <c r="P3457" s="459"/>
      <c r="Q3457" s="469"/>
      <c r="R3457" s="512" t="str">
        <f t="shared" si="231"/>
        <v>DELETE</v>
      </c>
      <c r="T3457" s="521"/>
    </row>
    <row r="3458" spans="2:20" ht="31.5" customHeight="1" x14ac:dyDescent="0.45">
      <c r="B3458" s="468"/>
      <c r="C3458" s="450"/>
      <c r="D3458" s="449">
        <f>TrialBalanceB!C79</f>
        <v>0</v>
      </c>
      <c r="J3458" s="451"/>
      <c r="K3458" s="451"/>
      <c r="L3458" s="452"/>
      <c r="M3458" s="40"/>
      <c r="N3458" s="451"/>
      <c r="O3458" s="559">
        <f>TrialBalanceB!I79</f>
        <v>0</v>
      </c>
      <c r="P3458" s="459"/>
      <c r="Q3458" s="469"/>
      <c r="R3458" s="512" t="str">
        <f t="shared" si="231"/>
        <v>DELETE</v>
      </c>
      <c r="T3458" s="521"/>
    </row>
    <row r="3459" spans="2:20" ht="31.5" customHeight="1" x14ac:dyDescent="0.45">
      <c r="B3459" s="468"/>
      <c r="C3459" s="450"/>
      <c r="D3459" s="449">
        <f>TrialBalanceB!C80</f>
        <v>0</v>
      </c>
      <c r="J3459" s="451"/>
      <c r="K3459" s="451"/>
      <c r="L3459" s="452"/>
      <c r="M3459" s="40"/>
      <c r="N3459" s="451"/>
      <c r="O3459" s="559">
        <f>TrialBalanceB!I80</f>
        <v>0</v>
      </c>
      <c r="P3459" s="459"/>
      <c r="Q3459" s="469"/>
      <c r="R3459" s="512" t="str">
        <f t="shared" si="231"/>
        <v>DELETE</v>
      </c>
      <c r="T3459" s="521"/>
    </row>
    <row r="3460" spans="2:20" ht="31.5" customHeight="1" x14ac:dyDescent="0.45">
      <c r="B3460" s="468"/>
      <c r="C3460" s="450"/>
      <c r="D3460" s="449">
        <f>TrialBalanceB!C81</f>
        <v>0</v>
      </c>
      <c r="J3460" s="451"/>
      <c r="K3460" s="451"/>
      <c r="L3460" s="452"/>
      <c r="M3460" s="40"/>
      <c r="N3460" s="451"/>
      <c r="O3460" s="559">
        <f>TrialBalanceB!I81</f>
        <v>0</v>
      </c>
      <c r="P3460" s="459"/>
      <c r="Q3460" s="469"/>
      <c r="R3460" s="512" t="str">
        <f t="shared" si="231"/>
        <v>DELETE</v>
      </c>
      <c r="T3460" s="521"/>
    </row>
    <row r="3461" spans="2:20" ht="9" customHeight="1" x14ac:dyDescent="0.45">
      <c r="B3461" s="468"/>
      <c r="C3461" s="450"/>
      <c r="J3461" s="451"/>
      <c r="K3461" s="451"/>
      <c r="L3461" s="452"/>
      <c r="M3461" s="40"/>
      <c r="N3461" s="451"/>
      <c r="O3461" s="560"/>
      <c r="P3461" s="459"/>
      <c r="Q3461" s="469"/>
      <c r="R3461" s="512" t="str">
        <f>R3431</f>
        <v>DELETE</v>
      </c>
      <c r="T3461" s="521"/>
    </row>
    <row r="3462" spans="2:20" ht="9" customHeight="1" x14ac:dyDescent="0.45">
      <c r="B3462" s="468"/>
      <c r="C3462" s="450"/>
      <c r="J3462" s="451"/>
      <c r="K3462" s="451"/>
      <c r="L3462" s="452"/>
      <c r="M3462" s="40"/>
      <c r="N3462" s="451"/>
      <c r="O3462" s="535"/>
      <c r="P3462" s="459"/>
      <c r="Q3462" s="469"/>
      <c r="R3462" s="512" t="str">
        <f t="shared" ref="R3462:R3482" si="232">R$3385</f>
        <v>DELETE</v>
      </c>
      <c r="T3462" s="521"/>
    </row>
    <row r="3463" spans="2:20" ht="9" customHeight="1" x14ac:dyDescent="0.45">
      <c r="B3463" s="468"/>
      <c r="C3463" s="450"/>
      <c r="J3463" s="451"/>
      <c r="K3463" s="451"/>
      <c r="L3463" s="452"/>
      <c r="M3463" s="40"/>
      <c r="N3463" s="451"/>
      <c r="O3463" s="531"/>
      <c r="P3463" s="459"/>
      <c r="Q3463" s="469"/>
      <c r="R3463" s="512" t="str">
        <f t="shared" si="232"/>
        <v>DELETE</v>
      </c>
      <c r="T3463" s="521"/>
    </row>
    <row r="3464" spans="2:20" ht="31.5" customHeight="1" x14ac:dyDescent="0.45">
      <c r="B3464" s="468"/>
      <c r="C3464" s="492" t="str">
        <f>IF(O3464&lt;0,"OPERATING LOSS","OPERATING PROFIT")</f>
        <v>OPERATING PROFIT</v>
      </c>
      <c r="J3464" s="451"/>
      <c r="K3464" s="451"/>
      <c r="L3464" s="452"/>
      <c r="M3464" s="40"/>
      <c r="N3464" s="451"/>
      <c r="O3464" s="531">
        <f>SUM(S3397:S3462)</f>
        <v>0</v>
      </c>
      <c r="P3464" s="459"/>
      <c r="Q3464" s="469"/>
      <c r="R3464" s="512" t="str">
        <f t="shared" si="232"/>
        <v>DELETE</v>
      </c>
      <c r="T3464" s="521"/>
    </row>
    <row r="3465" spans="2:20" ht="31.5" customHeight="1" x14ac:dyDescent="0.45">
      <c r="B3465" s="468"/>
      <c r="C3465" s="450"/>
      <c r="D3465" s="449" t="s">
        <v>312</v>
      </c>
      <c r="J3465" s="451"/>
      <c r="K3465" s="451"/>
      <c r="L3465" s="452"/>
      <c r="M3465" s="40"/>
      <c r="N3465" s="451"/>
      <c r="O3465" s="531"/>
      <c r="P3465" s="459"/>
      <c r="Q3465" s="469"/>
      <c r="R3465" s="512" t="str">
        <f t="shared" si="232"/>
        <v>DELETE</v>
      </c>
      <c r="T3465" s="521"/>
    </row>
    <row r="3466" spans="2:20" ht="31.5" customHeight="1" x14ac:dyDescent="0.45">
      <c r="B3466" s="468"/>
      <c r="C3466" s="450"/>
      <c r="J3466" s="451"/>
      <c r="K3466" s="451"/>
      <c r="L3466" s="451"/>
      <c r="M3466" s="531"/>
      <c r="N3466" s="470"/>
      <c r="O3466" s="531"/>
      <c r="P3466" s="459"/>
      <c r="Q3466" s="469"/>
      <c r="R3466" s="512" t="str">
        <f t="shared" si="232"/>
        <v>DELETE</v>
      </c>
      <c r="T3466" s="521"/>
    </row>
    <row r="3467" spans="2:20" ht="31.5" customHeight="1" x14ac:dyDescent="0.45">
      <c r="B3467" s="468"/>
      <c r="C3467" s="450"/>
      <c r="J3467" s="451"/>
      <c r="K3467" s="451"/>
      <c r="L3467" s="451"/>
      <c r="M3467" s="531"/>
      <c r="N3467" s="470"/>
      <c r="O3467" s="531"/>
      <c r="P3467" s="459"/>
      <c r="Q3467" s="469"/>
      <c r="R3467" s="512" t="str">
        <f t="shared" si="232"/>
        <v>DELETE</v>
      </c>
      <c r="T3467" s="521"/>
    </row>
    <row r="3468" spans="2:20" ht="31.5" customHeight="1" x14ac:dyDescent="0.45">
      <c r="B3468" s="477"/>
      <c r="C3468" s="502"/>
      <c r="D3468" s="461"/>
      <c r="E3468" s="461"/>
      <c r="F3468" s="461"/>
      <c r="G3468" s="461"/>
      <c r="H3468" s="461"/>
      <c r="I3468" s="461"/>
      <c r="J3468" s="483"/>
      <c r="K3468" s="483"/>
      <c r="L3468" s="483"/>
      <c r="M3468" s="535"/>
      <c r="N3468" s="473"/>
      <c r="O3468" s="535"/>
      <c r="P3468" s="484"/>
      <c r="Q3468" s="479"/>
      <c r="R3468" s="512" t="str">
        <f t="shared" si="232"/>
        <v>DELETE</v>
      </c>
      <c r="T3468" s="521"/>
    </row>
    <row r="3469" spans="2:20" ht="31.5" customHeight="1" x14ac:dyDescent="0.45">
      <c r="C3469" s="450"/>
      <c r="J3469" s="451"/>
      <c r="K3469" s="451"/>
      <c r="L3469" s="451"/>
      <c r="M3469" s="531"/>
      <c r="N3469" s="470"/>
      <c r="O3469" s="531"/>
      <c r="P3469" s="459"/>
      <c r="R3469" s="512" t="str">
        <f t="shared" si="232"/>
        <v>DELETE</v>
      </c>
      <c r="T3469" s="521"/>
    </row>
    <row r="3470" spans="2:20" ht="31.5" customHeight="1" x14ac:dyDescent="0.45">
      <c r="C3470" s="450"/>
      <c r="J3470" s="451"/>
      <c r="K3470" s="451"/>
      <c r="L3470" s="451"/>
      <c r="M3470" s="531"/>
      <c r="N3470" s="470"/>
      <c r="O3470" s="531"/>
      <c r="P3470" s="459"/>
      <c r="R3470" s="512" t="str">
        <f t="shared" si="232"/>
        <v>DELETE</v>
      </c>
      <c r="T3470" s="521"/>
    </row>
    <row r="3471" spans="2:20" ht="31.5" customHeight="1" x14ac:dyDescent="0.45">
      <c r="C3471" s="450"/>
      <c r="D3471" s="450" t="str">
        <f>Criteria!E9</f>
        <v>ABC COMPANY (PROPRIETARY) LIMITED</v>
      </c>
      <c r="J3471" s="451"/>
      <c r="K3471" s="451"/>
      <c r="L3471" s="451"/>
      <c r="M3471" s="531"/>
      <c r="N3471" s="470"/>
      <c r="O3471" s="531" t="s">
        <v>121</v>
      </c>
      <c r="P3471" s="459"/>
      <c r="Q3471" s="451">
        <f>MAX($Q$3388:Q3470)+1</f>
        <v>2</v>
      </c>
      <c r="R3471" s="512" t="str">
        <f t="shared" si="232"/>
        <v>DELETE</v>
      </c>
      <c r="T3471" s="521"/>
    </row>
    <row r="3472" spans="2:20" ht="31.5" customHeight="1" x14ac:dyDescent="0.45">
      <c r="C3472" s="450"/>
      <c r="D3472" s="450" t="str">
        <f>CONCATENATE("T/A ",Criteria!E15)</f>
        <v>T/A RENTAL PROPERTIES</v>
      </c>
      <c r="J3472" s="451"/>
      <c r="K3472" s="451"/>
      <c r="L3472" s="451"/>
      <c r="M3472" s="531"/>
      <c r="N3472" s="470"/>
      <c r="O3472" s="531"/>
      <c r="P3472" s="459"/>
      <c r="R3472" s="512" t="str">
        <f t="shared" si="232"/>
        <v>DELETE</v>
      </c>
      <c r="T3472" s="521"/>
    </row>
    <row r="3473" spans="2:24" ht="31.5" customHeight="1" x14ac:dyDescent="0.45">
      <c r="C3473" s="450"/>
      <c r="J3473" s="451"/>
      <c r="K3473" s="451"/>
      <c r="L3473" s="451"/>
      <c r="M3473" s="531"/>
      <c r="N3473" s="470"/>
      <c r="O3473" s="531"/>
      <c r="P3473" s="459"/>
      <c r="R3473" s="512" t="str">
        <f t="shared" si="232"/>
        <v>DELETE</v>
      </c>
      <c r="T3473" s="521"/>
    </row>
    <row r="3474" spans="2:24" ht="31.5" customHeight="1" x14ac:dyDescent="0.45">
      <c r="C3474" s="450"/>
      <c r="D3474" s="450" t="s">
        <v>115</v>
      </c>
      <c r="J3474" s="451"/>
      <c r="K3474" s="451"/>
      <c r="L3474" s="451"/>
      <c r="M3474" s="531"/>
      <c r="N3474" s="470"/>
      <c r="O3474" s="531"/>
      <c r="P3474" s="459"/>
      <c r="R3474" s="512" t="str">
        <f t="shared" si="232"/>
        <v>DELETE</v>
      </c>
      <c r="T3474" s="521"/>
    </row>
    <row r="3475" spans="2:24" ht="31.5" customHeight="1" x14ac:dyDescent="0.45">
      <c r="C3475" s="450"/>
      <c r="D3475" s="450" t="str">
        <f>D3392</f>
        <v>29 FEBRUARY 2024</v>
      </c>
      <c r="H3475" s="449" t="s">
        <v>127</v>
      </c>
      <c r="J3475" s="451"/>
      <c r="K3475" s="451"/>
      <c r="L3475" s="451"/>
      <c r="M3475" s="531"/>
      <c r="N3475" s="470"/>
      <c r="O3475" s="531"/>
      <c r="P3475" s="459"/>
      <c r="R3475" s="512" t="str">
        <f t="shared" si="232"/>
        <v>DELETE</v>
      </c>
      <c r="T3475" s="521"/>
    </row>
    <row r="3476" spans="2:24" ht="31.5" customHeight="1" x14ac:dyDescent="0.45">
      <c r="C3476" s="450"/>
      <c r="J3476" s="451"/>
      <c r="K3476" s="483"/>
      <c r="L3476" s="483"/>
      <c r="M3476" s="535"/>
      <c r="N3476" s="473"/>
      <c r="O3476" s="535"/>
      <c r="P3476" s="459"/>
      <c r="R3476" s="512" t="str">
        <f t="shared" si="232"/>
        <v>DELETE</v>
      </c>
      <c r="T3476" s="521"/>
    </row>
    <row r="3477" spans="2:24" ht="31.5" customHeight="1" x14ac:dyDescent="0.45">
      <c r="B3477" s="465"/>
      <c r="C3477" s="503"/>
      <c r="D3477" s="466"/>
      <c r="E3477" s="466"/>
      <c r="F3477" s="466"/>
      <c r="G3477" s="466"/>
      <c r="H3477" s="466"/>
      <c r="I3477" s="466"/>
      <c r="J3477" s="511"/>
      <c r="M3477" s="635"/>
      <c r="N3477" s="621"/>
      <c r="O3477" s="635"/>
      <c r="P3477" s="506"/>
      <c r="Q3477" s="467"/>
      <c r="R3477" s="512" t="str">
        <f t="shared" si="232"/>
        <v>DELETE</v>
      </c>
      <c r="T3477" s="521"/>
    </row>
    <row r="3478" spans="2:24" ht="31.5" customHeight="1" x14ac:dyDescent="0.45">
      <c r="B3478" s="468"/>
      <c r="C3478" s="450"/>
      <c r="J3478" s="451"/>
      <c r="K3478" s="451"/>
      <c r="L3478" s="452"/>
      <c r="M3478" s="40"/>
      <c r="N3478" s="451"/>
      <c r="O3478" s="525">
        <f>Criteria!E22</f>
        <v>2024</v>
      </c>
      <c r="P3478" s="459"/>
      <c r="Q3478" s="469"/>
      <c r="R3478" s="512" t="str">
        <f t="shared" si="232"/>
        <v>DELETE</v>
      </c>
      <c r="T3478" s="521"/>
    </row>
    <row r="3479" spans="2:24" ht="31.5" customHeight="1" x14ac:dyDescent="0.45">
      <c r="B3479" s="468"/>
      <c r="C3479" s="450"/>
      <c r="J3479" s="451"/>
      <c r="K3479" s="451"/>
      <c r="L3479" s="452"/>
      <c r="M3479" s="40"/>
      <c r="N3479" s="451"/>
      <c r="O3479" s="531"/>
      <c r="P3479" s="459"/>
      <c r="Q3479" s="469"/>
      <c r="R3479" s="512" t="str">
        <f t="shared" si="232"/>
        <v>DELETE</v>
      </c>
      <c r="T3479" s="521"/>
    </row>
    <row r="3480" spans="2:24" ht="31.5" customHeight="1" x14ac:dyDescent="0.45">
      <c r="B3480" s="468"/>
      <c r="C3480" s="492" t="str">
        <f>IF(O3480&lt;0,"OPERATING LOSS","OPERATING PROFIT")</f>
        <v>OPERATING PROFIT</v>
      </c>
      <c r="J3480" s="451"/>
      <c r="K3480" s="451"/>
      <c r="L3480" s="452"/>
      <c r="M3480" s="40"/>
      <c r="N3480" s="451"/>
      <c r="O3480" s="531">
        <f>SUM(S3397:S3461)</f>
        <v>0</v>
      </c>
      <c r="P3480" s="459"/>
      <c r="Q3480" s="469"/>
      <c r="R3480" s="512" t="str">
        <f t="shared" si="232"/>
        <v>DELETE</v>
      </c>
      <c r="T3480" s="521"/>
      <c r="V3480" s="513" t="b">
        <f>O3480=O3464</f>
        <v>1</v>
      </c>
    </row>
    <row r="3481" spans="2:24" ht="31.5" customHeight="1" x14ac:dyDescent="0.45">
      <c r="B3481" s="468"/>
      <c r="C3481" s="450"/>
      <c r="D3481" s="449" t="s">
        <v>313</v>
      </c>
      <c r="J3481" s="451"/>
      <c r="K3481" s="451"/>
      <c r="L3481" s="452"/>
      <c r="M3481" s="40"/>
      <c r="N3481" s="451"/>
      <c r="O3481" s="531"/>
      <c r="P3481" s="459"/>
      <c r="Q3481" s="469"/>
      <c r="R3481" s="512" t="str">
        <f t="shared" si="232"/>
        <v>DELETE</v>
      </c>
      <c r="T3481" s="521"/>
    </row>
    <row r="3482" spans="2:24" ht="31.5" customHeight="1" x14ac:dyDescent="0.45">
      <c r="B3482" s="468"/>
      <c r="C3482" s="450"/>
      <c r="J3482" s="451"/>
      <c r="K3482" s="451"/>
      <c r="L3482" s="452"/>
      <c r="M3482" s="40"/>
      <c r="N3482" s="451"/>
      <c r="O3482" s="531"/>
      <c r="P3482" s="459"/>
      <c r="Q3482" s="469"/>
      <c r="R3482" s="512" t="str">
        <f t="shared" si="232"/>
        <v>DELETE</v>
      </c>
      <c r="T3482" s="521"/>
    </row>
    <row r="3483" spans="2:24" ht="31.5" customHeight="1" x14ac:dyDescent="0.45">
      <c r="B3483" s="468"/>
      <c r="C3483" s="450" t="s">
        <v>1307</v>
      </c>
      <c r="J3483" s="451"/>
      <c r="K3483" s="451"/>
      <c r="L3483" s="452"/>
      <c r="M3483" s="40"/>
      <c r="N3483" s="451"/>
      <c r="O3483" s="531">
        <f>SUM(O3486:O3519)</f>
        <v>0</v>
      </c>
      <c r="P3483" s="459"/>
      <c r="Q3483" s="469"/>
      <c r="R3483" s="512" t="str">
        <f t="shared" ref="R3483" si="233">IF(R$3385="DELETE","DELETE",IF(O3483=0,"DELETE"," "))</f>
        <v>DELETE</v>
      </c>
      <c r="S3483" s="517">
        <f>-O3483</f>
        <v>0</v>
      </c>
      <c r="T3483" s="521"/>
      <c r="U3483" s="517"/>
      <c r="V3483" s="517"/>
      <c r="W3483" s="517"/>
      <c r="X3483" s="517"/>
    </row>
    <row r="3484" spans="2:24" ht="9" customHeight="1" x14ac:dyDescent="0.45">
      <c r="B3484" s="468"/>
      <c r="C3484" s="450"/>
      <c r="J3484" s="451"/>
      <c r="K3484" s="451"/>
      <c r="L3484" s="452"/>
      <c r="M3484" s="40"/>
      <c r="N3484" s="451"/>
      <c r="O3484" s="531"/>
      <c r="P3484" s="459"/>
      <c r="Q3484" s="469"/>
      <c r="R3484" s="512" t="str">
        <f>R3483</f>
        <v>DELETE</v>
      </c>
      <c r="T3484" s="521"/>
    </row>
    <row r="3485" spans="2:24" ht="9" customHeight="1" x14ac:dyDescent="0.45">
      <c r="B3485" s="468"/>
      <c r="C3485" s="450"/>
      <c r="J3485" s="451"/>
      <c r="K3485" s="451"/>
      <c r="L3485" s="452"/>
      <c r="M3485" s="40"/>
      <c r="N3485" s="451"/>
      <c r="O3485" s="558"/>
      <c r="P3485" s="459"/>
      <c r="Q3485" s="469"/>
      <c r="R3485" s="512" t="str">
        <f>R3484</f>
        <v>DELETE</v>
      </c>
      <c r="T3485" s="521"/>
    </row>
    <row r="3486" spans="2:24" ht="31.5" customHeight="1" x14ac:dyDescent="0.45">
      <c r="B3486" s="468"/>
      <c r="C3486" s="450"/>
      <c r="D3486" s="449" t="s">
        <v>253</v>
      </c>
      <c r="J3486" s="451"/>
      <c r="K3486" s="451"/>
      <c r="L3486" s="452"/>
      <c r="M3486" s="40"/>
      <c r="N3486" s="451"/>
      <c r="O3486" s="559">
        <f>SUM(TrialBalanceB!I98:I101)</f>
        <v>0</v>
      </c>
      <c r="P3486" s="459"/>
      <c r="Q3486" s="469"/>
      <c r="R3486" s="512" t="str">
        <f t="shared" ref="R3486:R3517" si="234">IF(R$3385="DELETE","DELETE",IF(O3486=0,"DELETE"," "))</f>
        <v>DELETE</v>
      </c>
      <c r="T3486" s="521"/>
    </row>
    <row r="3487" spans="2:24" ht="31.5" customHeight="1" x14ac:dyDescent="0.45">
      <c r="B3487" s="468"/>
      <c r="C3487" s="450"/>
      <c r="D3487" s="449" t="s">
        <v>257</v>
      </c>
      <c r="J3487" s="451"/>
      <c r="K3487" s="451"/>
      <c r="L3487" s="452"/>
      <c r="M3487" s="40"/>
      <c r="N3487" s="451"/>
      <c r="O3487" s="559">
        <f>TrialBalanceB!I103</f>
        <v>0</v>
      </c>
      <c r="P3487" s="459"/>
      <c r="Q3487" s="469"/>
      <c r="R3487" s="512" t="str">
        <f>IF(R$3385="DELETE","DELETE",IF(O3487=0,"DELETE"," "))</f>
        <v>DELETE</v>
      </c>
      <c r="T3487" s="521"/>
    </row>
    <row r="3488" spans="2:24" ht="31.5" customHeight="1" x14ac:dyDescent="0.45">
      <c r="B3488" s="468"/>
      <c r="C3488" s="450"/>
      <c r="D3488" s="449" t="s">
        <v>255</v>
      </c>
      <c r="J3488" s="451"/>
      <c r="K3488" s="451"/>
      <c r="L3488" s="452"/>
      <c r="M3488" s="40"/>
      <c r="N3488" s="451"/>
      <c r="O3488" s="559">
        <f>TrialBalanceB!I102</f>
        <v>0</v>
      </c>
      <c r="P3488" s="459"/>
      <c r="Q3488" s="469"/>
      <c r="R3488" s="512" t="str">
        <f>IF(R$3385="DELETE","DELETE",IF(O3488=0,"DELETE"," "))</f>
        <v>DELETE</v>
      </c>
      <c r="T3488" s="521"/>
    </row>
    <row r="3489" spans="2:20" ht="31.5" customHeight="1" x14ac:dyDescent="0.45">
      <c r="B3489" s="468"/>
      <c r="C3489" s="450"/>
      <c r="D3489" s="449" t="s">
        <v>314</v>
      </c>
      <c r="J3489" s="451"/>
      <c r="K3489" s="451"/>
      <c r="L3489" s="452"/>
      <c r="M3489" s="40"/>
      <c r="N3489" s="451"/>
      <c r="O3489" s="559">
        <f>TrialBalanceB!I104</f>
        <v>0</v>
      </c>
      <c r="P3489" s="459"/>
      <c r="Q3489" s="469"/>
      <c r="R3489" s="512" t="str">
        <f t="shared" si="234"/>
        <v>DELETE</v>
      </c>
      <c r="T3489" s="521"/>
    </row>
    <row r="3490" spans="2:20" ht="31.5" customHeight="1" x14ac:dyDescent="0.45">
      <c r="B3490" s="468"/>
      <c r="C3490" s="450"/>
      <c r="D3490" s="449" t="s">
        <v>260</v>
      </c>
      <c r="J3490" s="451"/>
      <c r="K3490" s="451"/>
      <c r="L3490" s="452"/>
      <c r="M3490" s="40"/>
      <c r="N3490" s="451"/>
      <c r="O3490" s="559">
        <f>TrialBalanceB!I105</f>
        <v>0</v>
      </c>
      <c r="P3490" s="459"/>
      <c r="Q3490" s="469"/>
      <c r="R3490" s="512" t="str">
        <f t="shared" si="234"/>
        <v>DELETE</v>
      </c>
      <c r="T3490" s="521"/>
    </row>
    <row r="3491" spans="2:20" ht="31.5" customHeight="1" x14ac:dyDescent="0.45">
      <c r="B3491" s="468"/>
      <c r="C3491" s="450"/>
      <c r="D3491" s="449" t="s">
        <v>935</v>
      </c>
      <c r="J3491" s="451"/>
      <c r="K3491" s="451"/>
      <c r="L3491" s="452"/>
      <c r="M3491" s="40"/>
      <c r="N3491" s="451"/>
      <c r="O3491" s="559">
        <f>TrialBalanceB!I106</f>
        <v>0</v>
      </c>
      <c r="P3491" s="459"/>
      <c r="Q3491" s="469"/>
      <c r="R3491" s="512" t="str">
        <f t="shared" si="234"/>
        <v>DELETE</v>
      </c>
      <c r="T3491" s="521"/>
    </row>
    <row r="3492" spans="2:20" ht="31.5" customHeight="1" x14ac:dyDescent="0.45">
      <c r="B3492" s="468"/>
      <c r="C3492" s="450"/>
      <c r="D3492" s="449" t="s">
        <v>337</v>
      </c>
      <c r="J3492" s="451"/>
      <c r="K3492" s="451">
        <f>C$1203</f>
        <v>5.2999999999999989</v>
      </c>
      <c r="L3492" s="452"/>
      <c r="M3492" s="40"/>
      <c r="N3492" s="451"/>
      <c r="O3492" s="559">
        <f>SUM(TrialBalanceB!I108:I109)</f>
        <v>0</v>
      </c>
      <c r="P3492" s="459"/>
      <c r="Q3492" s="469"/>
      <c r="R3492" s="512" t="str">
        <f t="shared" si="234"/>
        <v>DELETE</v>
      </c>
      <c r="T3492" s="521"/>
    </row>
    <row r="3493" spans="2:20" ht="31.5" customHeight="1" x14ac:dyDescent="0.45">
      <c r="B3493" s="468"/>
      <c r="C3493" s="450"/>
      <c r="D3493" s="449" t="str">
        <f>IF(MAX(Criteria!I41:I45)&gt;1,"Directors' remuneration","Director's remuneration")</f>
        <v>Directors' remuneration</v>
      </c>
      <c r="J3493" s="451"/>
      <c r="K3493" s="451">
        <f>C$1144</f>
        <v>5.0999999999999996</v>
      </c>
      <c r="L3493" s="452"/>
      <c r="M3493" s="40"/>
      <c r="N3493" s="451"/>
      <c r="O3493" s="559">
        <f>SUM(TrialBalanceB!I111:I115)</f>
        <v>0</v>
      </c>
      <c r="P3493" s="459"/>
      <c r="Q3493" s="469"/>
      <c r="R3493" s="512" t="str">
        <f t="shared" si="234"/>
        <v>DELETE</v>
      </c>
      <c r="T3493" s="521"/>
    </row>
    <row r="3494" spans="2:20" ht="31.5" customHeight="1" x14ac:dyDescent="0.45">
      <c r="B3494" s="468"/>
      <c r="C3494" s="450"/>
      <c r="D3494" s="449" t="s">
        <v>315</v>
      </c>
      <c r="J3494" s="451"/>
      <c r="K3494" s="451"/>
      <c r="L3494" s="452"/>
      <c r="M3494" s="40"/>
      <c r="N3494" s="451"/>
      <c r="O3494" s="559">
        <f>TrialBalanceB!I116</f>
        <v>0</v>
      </c>
      <c r="P3494" s="459"/>
      <c r="Q3494" s="469"/>
      <c r="R3494" s="512" t="str">
        <f t="shared" si="234"/>
        <v>DELETE</v>
      </c>
      <c r="T3494" s="521"/>
    </row>
    <row r="3495" spans="2:20" ht="31.5" customHeight="1" x14ac:dyDescent="0.45">
      <c r="B3495" s="468"/>
      <c r="C3495" s="450"/>
      <c r="D3495" s="449" t="s">
        <v>443</v>
      </c>
      <c r="J3495" s="451"/>
      <c r="K3495" s="451"/>
      <c r="L3495" s="452"/>
      <c r="M3495" s="40"/>
      <c r="N3495" s="451"/>
      <c r="O3495" s="559">
        <f>TrialBalanceB!I117</f>
        <v>0</v>
      </c>
      <c r="P3495" s="459"/>
      <c r="Q3495" s="469"/>
      <c r="R3495" s="512" t="str">
        <f t="shared" si="234"/>
        <v>DELETE</v>
      </c>
      <c r="T3495" s="521"/>
    </row>
    <row r="3496" spans="2:20" ht="31.5" customHeight="1" x14ac:dyDescent="0.45">
      <c r="B3496" s="468"/>
      <c r="C3496" s="450"/>
      <c r="D3496" s="449" t="s">
        <v>392</v>
      </c>
      <c r="J3496" s="451"/>
      <c r="K3496" s="451"/>
      <c r="L3496" s="452"/>
      <c r="M3496" s="40"/>
      <c r="N3496" s="451"/>
      <c r="O3496" s="559">
        <f>TrialBalanceB!I118</f>
        <v>0</v>
      </c>
      <c r="P3496" s="459"/>
      <c r="Q3496" s="469"/>
      <c r="R3496" s="512" t="str">
        <f t="shared" si="234"/>
        <v>DELETE</v>
      </c>
      <c r="T3496" s="521"/>
    </row>
    <row r="3497" spans="2:20" ht="31.5" customHeight="1" x14ac:dyDescent="0.45">
      <c r="B3497" s="468"/>
      <c r="C3497" s="450"/>
      <c r="D3497" s="449" t="s">
        <v>445</v>
      </c>
      <c r="J3497" s="451"/>
      <c r="K3497" s="451"/>
      <c r="L3497" s="452"/>
      <c r="M3497" s="40"/>
      <c r="N3497" s="451"/>
      <c r="O3497" s="559">
        <f>TrialBalanceB!I119</f>
        <v>0</v>
      </c>
      <c r="P3497" s="459"/>
      <c r="Q3497" s="469"/>
      <c r="R3497" s="512" t="str">
        <f t="shared" si="234"/>
        <v>DELETE</v>
      </c>
      <c r="T3497" s="521"/>
    </row>
    <row r="3498" spans="2:20" ht="31.5" customHeight="1" x14ac:dyDescent="0.45">
      <c r="B3498" s="468"/>
      <c r="C3498" s="450"/>
      <c r="D3498" s="449" t="s">
        <v>1486</v>
      </c>
      <c r="J3498" s="451"/>
      <c r="K3498" s="451"/>
      <c r="L3498" s="452"/>
      <c r="M3498" s="40"/>
      <c r="N3498" s="451"/>
      <c r="O3498" s="559">
        <f>TrialBalanceB!I154</f>
        <v>0</v>
      </c>
      <c r="P3498" s="459"/>
      <c r="Q3498" s="469"/>
      <c r="R3498" s="512" t="str">
        <f>IF(R$3385="DELETE","DELETE",IF(O3498=0,"DELETE"," "))</f>
        <v>DELETE</v>
      </c>
      <c r="T3498" s="521"/>
    </row>
    <row r="3499" spans="2:20" ht="31.5" customHeight="1" x14ac:dyDescent="0.45">
      <c r="B3499" s="468"/>
      <c r="C3499" s="450"/>
      <c r="D3499" s="449" t="s">
        <v>605</v>
      </c>
      <c r="J3499" s="451"/>
      <c r="K3499" s="451"/>
      <c r="L3499" s="452"/>
      <c r="M3499" s="40"/>
      <c r="N3499" s="451"/>
      <c r="O3499" s="559">
        <f>TrialBalanceB!I120+TrialBalanceB!I121</f>
        <v>0</v>
      </c>
      <c r="P3499" s="459"/>
      <c r="Q3499" s="469"/>
      <c r="R3499" s="512" t="str">
        <f t="shared" si="234"/>
        <v>DELETE</v>
      </c>
      <c r="T3499" s="521"/>
    </row>
    <row r="3500" spans="2:20" ht="31.5" customHeight="1" x14ac:dyDescent="0.45">
      <c r="B3500" s="468"/>
      <c r="C3500" s="450"/>
      <c r="D3500" s="449" t="s">
        <v>633</v>
      </c>
      <c r="J3500" s="451"/>
      <c r="K3500" s="451"/>
      <c r="L3500" s="452"/>
      <c r="M3500" s="40"/>
      <c r="N3500" s="451"/>
      <c r="O3500" s="559">
        <f>IF(TrialBalanceB!I93&gt;0,TrialBalanceB!I93,0)</f>
        <v>0</v>
      </c>
      <c r="P3500" s="459"/>
      <c r="Q3500" s="469"/>
      <c r="R3500" s="512" t="str">
        <f>IF(R$3385="DELETE","DELETE",IF(O3500=0,"DELETE"," "))</f>
        <v>DELETE</v>
      </c>
      <c r="T3500" s="521"/>
    </row>
    <row r="3501" spans="2:20" ht="31.5" customHeight="1" x14ac:dyDescent="0.45">
      <c r="B3501" s="468"/>
      <c r="C3501" s="450"/>
      <c r="D3501" s="449" t="s">
        <v>936</v>
      </c>
      <c r="J3501" s="451"/>
      <c r="K3501" s="451"/>
      <c r="L3501" s="452"/>
      <c r="M3501" s="40"/>
      <c r="N3501" s="451"/>
      <c r="O3501" s="559">
        <f>TrialBalanceB!I122</f>
        <v>0</v>
      </c>
      <c r="P3501" s="459"/>
      <c r="Q3501" s="469"/>
      <c r="R3501" s="512" t="str">
        <f>IF(R$3385="DELETE","DELETE",IF(O3501=0,"DELETE"," "))</f>
        <v>DELETE</v>
      </c>
      <c r="T3501" s="521"/>
    </row>
    <row r="3502" spans="2:20" ht="31.5" customHeight="1" x14ac:dyDescent="0.45">
      <c r="B3502" s="468"/>
      <c r="C3502" s="450"/>
      <c r="D3502" s="449" t="s">
        <v>316</v>
      </c>
      <c r="J3502" s="451"/>
      <c r="K3502" s="451"/>
      <c r="L3502" s="452"/>
      <c r="M3502" s="40"/>
      <c r="N3502" s="451"/>
      <c r="O3502" s="559">
        <f>TrialBalanceB!I123</f>
        <v>0</v>
      </c>
      <c r="P3502" s="459"/>
      <c r="Q3502" s="469"/>
      <c r="R3502" s="512" t="str">
        <f t="shared" si="234"/>
        <v>DELETE</v>
      </c>
      <c r="T3502" s="521"/>
    </row>
    <row r="3503" spans="2:20" ht="31.5" customHeight="1" x14ac:dyDescent="0.45">
      <c r="B3503" s="468"/>
      <c r="C3503" s="450"/>
      <c r="D3503" s="449" t="s">
        <v>1554</v>
      </c>
      <c r="J3503" s="451"/>
      <c r="K3503" s="451"/>
      <c r="L3503" s="452"/>
      <c r="M3503" s="40"/>
      <c r="N3503" s="451"/>
      <c r="O3503" s="559">
        <f>TrialBalanceB!I155</f>
        <v>0</v>
      </c>
      <c r="P3503" s="459"/>
      <c r="Q3503" s="469"/>
      <c r="R3503" s="512" t="str">
        <f t="shared" si="234"/>
        <v>DELETE</v>
      </c>
      <c r="T3503" s="521"/>
    </row>
    <row r="3504" spans="2:20" ht="31.5" customHeight="1" x14ac:dyDescent="0.45">
      <c r="B3504" s="468"/>
      <c r="C3504" s="450"/>
      <c r="D3504" s="449" t="s">
        <v>309</v>
      </c>
      <c r="J3504" s="451"/>
      <c r="K3504" s="451"/>
      <c r="L3504" s="452"/>
      <c r="M3504" s="40"/>
      <c r="N3504" s="451"/>
      <c r="O3504" s="559">
        <f>SUM(TrialBalanceB!I124:I125)</f>
        <v>0</v>
      </c>
      <c r="P3504" s="459"/>
      <c r="Q3504" s="469"/>
      <c r="R3504" s="512" t="str">
        <f t="shared" si="234"/>
        <v>DELETE</v>
      </c>
      <c r="T3504" s="521"/>
    </row>
    <row r="3505" spans="2:20" ht="31.5" customHeight="1" x14ac:dyDescent="0.45">
      <c r="B3505" s="468"/>
      <c r="C3505" s="450"/>
      <c r="D3505" s="449" t="s">
        <v>317</v>
      </c>
      <c r="J3505" s="451"/>
      <c r="K3505" s="451"/>
      <c r="L3505" s="452"/>
      <c r="M3505" s="40"/>
      <c r="N3505" s="451"/>
      <c r="O3505" s="559">
        <f>TrialBalanceB!I126</f>
        <v>0</v>
      </c>
      <c r="P3505" s="459"/>
      <c r="Q3505" s="469"/>
      <c r="R3505" s="512" t="str">
        <f t="shared" si="234"/>
        <v>DELETE</v>
      </c>
      <c r="T3505" s="521"/>
    </row>
    <row r="3506" spans="2:20" ht="31.5" customHeight="1" x14ac:dyDescent="0.45">
      <c r="B3506" s="468"/>
      <c r="C3506" s="450"/>
      <c r="D3506" s="449" t="s">
        <v>937</v>
      </c>
      <c r="J3506" s="451"/>
      <c r="K3506" s="451"/>
      <c r="L3506" s="452"/>
      <c r="M3506" s="40"/>
      <c r="N3506" s="451"/>
      <c r="O3506" s="559">
        <f>TrialBalanceB!I127</f>
        <v>0</v>
      </c>
      <c r="P3506" s="459"/>
      <c r="Q3506" s="469"/>
      <c r="R3506" s="512" t="str">
        <f t="shared" si="234"/>
        <v>DELETE</v>
      </c>
      <c r="T3506" s="521"/>
    </row>
    <row r="3507" spans="2:20" ht="31.5" customHeight="1" x14ac:dyDescent="0.45">
      <c r="B3507" s="468"/>
      <c r="C3507" s="450"/>
      <c r="D3507" s="449" t="s">
        <v>99</v>
      </c>
      <c r="J3507" s="451"/>
      <c r="K3507" s="451"/>
      <c r="L3507" s="452"/>
      <c r="M3507" s="40"/>
      <c r="N3507" s="451"/>
      <c r="O3507" s="559">
        <f>TrialBalanceB!I128</f>
        <v>0</v>
      </c>
      <c r="P3507" s="459"/>
      <c r="Q3507" s="469"/>
      <c r="R3507" s="512" t="str">
        <f t="shared" si="234"/>
        <v>DELETE</v>
      </c>
      <c r="T3507" s="521"/>
    </row>
    <row r="3508" spans="2:20" ht="31.5" customHeight="1" x14ac:dyDescent="0.45">
      <c r="B3508" s="468"/>
      <c r="C3508" s="450"/>
      <c r="D3508" s="449">
        <f>TrialBalanceB!C129</f>
        <v>0</v>
      </c>
      <c r="J3508" s="451"/>
      <c r="K3508" s="451"/>
      <c r="L3508" s="452"/>
      <c r="M3508" s="40"/>
      <c r="N3508" s="451"/>
      <c r="O3508" s="559">
        <f>TrialBalanceB!I129</f>
        <v>0</v>
      </c>
      <c r="P3508" s="459"/>
      <c r="Q3508" s="469"/>
      <c r="R3508" s="512" t="str">
        <f t="shared" si="234"/>
        <v>DELETE</v>
      </c>
      <c r="T3508" s="521"/>
    </row>
    <row r="3509" spans="2:20" ht="31.5" customHeight="1" x14ac:dyDescent="0.45">
      <c r="B3509" s="468"/>
      <c r="C3509" s="450"/>
      <c r="D3509" s="449">
        <f>TrialBalanceB!C130</f>
        <v>0</v>
      </c>
      <c r="J3509" s="451"/>
      <c r="K3509" s="451"/>
      <c r="L3509" s="452"/>
      <c r="M3509" s="40"/>
      <c r="N3509" s="451"/>
      <c r="O3509" s="559">
        <f>TrialBalanceB!I130</f>
        <v>0</v>
      </c>
      <c r="P3509" s="459"/>
      <c r="Q3509" s="469"/>
      <c r="R3509" s="512" t="str">
        <f t="shared" si="234"/>
        <v>DELETE</v>
      </c>
      <c r="T3509" s="521"/>
    </row>
    <row r="3510" spans="2:20" ht="31.5" customHeight="1" x14ac:dyDescent="0.45">
      <c r="B3510" s="468"/>
      <c r="C3510" s="450"/>
      <c r="D3510" s="449">
        <f>TrialBalanceB!C131</f>
        <v>0</v>
      </c>
      <c r="J3510" s="451"/>
      <c r="K3510" s="451"/>
      <c r="L3510" s="452"/>
      <c r="M3510" s="40"/>
      <c r="N3510" s="451"/>
      <c r="O3510" s="559">
        <f>TrialBalanceB!I131</f>
        <v>0</v>
      </c>
      <c r="P3510" s="459"/>
      <c r="Q3510" s="469"/>
      <c r="R3510" s="512" t="str">
        <f t="shared" si="234"/>
        <v>DELETE</v>
      </c>
      <c r="T3510" s="521"/>
    </row>
    <row r="3511" spans="2:20" ht="31.5" customHeight="1" x14ac:dyDescent="0.45">
      <c r="B3511" s="468"/>
      <c r="C3511" s="450"/>
      <c r="D3511" s="449">
        <f>TrialBalanceB!C132</f>
        <v>0</v>
      </c>
      <c r="J3511" s="451"/>
      <c r="K3511" s="451"/>
      <c r="L3511" s="452"/>
      <c r="M3511" s="40"/>
      <c r="N3511" s="451"/>
      <c r="O3511" s="559">
        <f>TrialBalanceB!I132</f>
        <v>0</v>
      </c>
      <c r="P3511" s="459"/>
      <c r="Q3511" s="469"/>
      <c r="R3511" s="512" t="str">
        <f t="shared" si="234"/>
        <v>DELETE</v>
      </c>
      <c r="T3511" s="521"/>
    </row>
    <row r="3512" spans="2:20" ht="31.5" customHeight="1" x14ac:dyDescent="0.45">
      <c r="B3512" s="468"/>
      <c r="C3512" s="450"/>
      <c r="D3512" s="449">
        <f>TrialBalanceB!C133</f>
        <v>0</v>
      </c>
      <c r="J3512" s="451"/>
      <c r="K3512" s="451"/>
      <c r="L3512" s="452"/>
      <c r="M3512" s="40"/>
      <c r="N3512" s="451"/>
      <c r="O3512" s="559">
        <f>TrialBalanceB!I133</f>
        <v>0</v>
      </c>
      <c r="P3512" s="459"/>
      <c r="Q3512" s="469"/>
      <c r="R3512" s="512" t="str">
        <f t="shared" si="234"/>
        <v>DELETE</v>
      </c>
      <c r="T3512" s="521"/>
    </row>
    <row r="3513" spans="2:20" ht="31.5" customHeight="1" x14ac:dyDescent="0.45">
      <c r="B3513" s="468"/>
      <c r="C3513" s="450"/>
      <c r="D3513" s="449">
        <f>TrialBalanceB!C134</f>
        <v>0</v>
      </c>
      <c r="J3513" s="451"/>
      <c r="K3513" s="451"/>
      <c r="L3513" s="452"/>
      <c r="M3513" s="40"/>
      <c r="N3513" s="451"/>
      <c r="O3513" s="559">
        <f>TrialBalanceB!I134</f>
        <v>0</v>
      </c>
      <c r="P3513" s="459"/>
      <c r="Q3513" s="469"/>
      <c r="R3513" s="512" t="str">
        <f t="shared" si="234"/>
        <v>DELETE</v>
      </c>
      <c r="T3513" s="521"/>
    </row>
    <row r="3514" spans="2:20" ht="31.5" customHeight="1" x14ac:dyDescent="0.45">
      <c r="B3514" s="468"/>
      <c r="C3514" s="450"/>
      <c r="D3514" s="449">
        <f>TrialBalanceB!C135</f>
        <v>0</v>
      </c>
      <c r="J3514" s="451"/>
      <c r="K3514" s="451"/>
      <c r="L3514" s="452"/>
      <c r="M3514" s="40"/>
      <c r="N3514" s="451"/>
      <c r="O3514" s="559">
        <f>TrialBalanceB!I135</f>
        <v>0</v>
      </c>
      <c r="P3514" s="459"/>
      <c r="Q3514" s="469"/>
      <c r="R3514" s="512" t="str">
        <f t="shared" si="234"/>
        <v>DELETE</v>
      </c>
      <c r="T3514" s="521"/>
    </row>
    <row r="3515" spans="2:20" ht="31.5" customHeight="1" x14ac:dyDescent="0.45">
      <c r="B3515" s="468"/>
      <c r="C3515" s="450"/>
      <c r="D3515" s="449">
        <f>TrialBalanceB!C136</f>
        <v>0</v>
      </c>
      <c r="J3515" s="451"/>
      <c r="K3515" s="451"/>
      <c r="L3515" s="452"/>
      <c r="M3515" s="40"/>
      <c r="N3515" s="451"/>
      <c r="O3515" s="559">
        <f>TrialBalanceB!I136</f>
        <v>0</v>
      </c>
      <c r="P3515" s="459"/>
      <c r="Q3515" s="469"/>
      <c r="R3515" s="512" t="str">
        <f t="shared" si="234"/>
        <v>DELETE</v>
      </c>
      <c r="T3515" s="521"/>
    </row>
    <row r="3516" spans="2:20" ht="31.5" customHeight="1" x14ac:dyDescent="0.45">
      <c r="B3516" s="468"/>
      <c r="C3516" s="450"/>
      <c r="D3516" s="449">
        <f>TrialBalanceB!C137</f>
        <v>0</v>
      </c>
      <c r="J3516" s="451"/>
      <c r="K3516" s="451"/>
      <c r="L3516" s="452"/>
      <c r="M3516" s="40"/>
      <c r="N3516" s="451"/>
      <c r="O3516" s="559">
        <f>TrialBalanceB!I137</f>
        <v>0</v>
      </c>
      <c r="P3516" s="459"/>
      <c r="Q3516" s="469"/>
      <c r="R3516" s="512" t="str">
        <f t="shared" si="234"/>
        <v>DELETE</v>
      </c>
      <c r="T3516" s="521"/>
    </row>
    <row r="3517" spans="2:20" ht="31.5" customHeight="1" x14ac:dyDescent="0.45">
      <c r="B3517" s="468"/>
      <c r="C3517" s="450"/>
      <c r="D3517" s="449" t="str">
        <f>TrialBalanceB!C138</f>
        <v>Amortisation of prepaid lease agreement</v>
      </c>
      <c r="J3517" s="451"/>
      <c r="K3517" s="451"/>
      <c r="L3517" s="452"/>
      <c r="M3517" s="40"/>
      <c r="N3517" s="451"/>
      <c r="O3517" s="559">
        <f>TrialBalanceB!I138</f>
        <v>0</v>
      </c>
      <c r="P3517" s="459"/>
      <c r="Q3517" s="469"/>
      <c r="R3517" s="512" t="str">
        <f t="shared" si="234"/>
        <v>DELETE</v>
      </c>
      <c r="T3517" s="521"/>
    </row>
    <row r="3518" spans="2:20" ht="31.5" customHeight="1" x14ac:dyDescent="0.45">
      <c r="B3518" s="468"/>
      <c r="C3518" s="450"/>
      <c r="D3518" s="449" t="str">
        <f>TrialBalanceB!C139</f>
        <v>Amortisation of goodwill</v>
      </c>
      <c r="J3518" s="451"/>
      <c r="K3518" s="451"/>
      <c r="L3518" s="452"/>
      <c r="M3518" s="40"/>
      <c r="N3518" s="451"/>
      <c r="O3518" s="559">
        <f>TrialBalanceB!I139</f>
        <v>0</v>
      </c>
      <c r="P3518" s="459"/>
      <c r="Q3518" s="469"/>
      <c r="R3518" s="512" t="str">
        <f t="shared" ref="R3518" si="235">IF(R$3385="DELETE","DELETE",IF(O3518=0,"DELETE"," "))</f>
        <v>DELETE</v>
      </c>
      <c r="T3518" s="521"/>
    </row>
    <row r="3519" spans="2:20" ht="9" customHeight="1" x14ac:dyDescent="0.45">
      <c r="B3519" s="468"/>
      <c r="C3519" s="450"/>
      <c r="J3519" s="451"/>
      <c r="K3519" s="451"/>
      <c r="L3519" s="452"/>
      <c r="M3519" s="40"/>
      <c r="N3519" s="451"/>
      <c r="O3519" s="560"/>
      <c r="P3519" s="459"/>
      <c r="Q3519" s="469"/>
      <c r="R3519" s="512" t="str">
        <f>R3483</f>
        <v>DELETE</v>
      </c>
      <c r="T3519" s="521"/>
    </row>
    <row r="3520" spans="2:20" ht="9" customHeight="1" x14ac:dyDescent="0.45">
      <c r="B3520" s="468"/>
      <c r="C3520" s="450"/>
      <c r="J3520" s="451"/>
      <c r="K3520" s="451"/>
      <c r="L3520" s="452"/>
      <c r="M3520" s="40"/>
      <c r="N3520" s="451"/>
      <c r="O3520" s="535"/>
      <c r="P3520" s="459"/>
      <c r="Q3520" s="469"/>
      <c r="R3520" s="512" t="str">
        <f t="shared" ref="R3520:R3523" si="236">R$3385</f>
        <v>DELETE</v>
      </c>
      <c r="T3520" s="521"/>
    </row>
    <row r="3521" spans="2:24" ht="9" customHeight="1" x14ac:dyDescent="0.45">
      <c r="B3521" s="468"/>
      <c r="C3521" s="450"/>
      <c r="J3521" s="451"/>
      <c r="K3521" s="451"/>
      <c r="L3521" s="452"/>
      <c r="M3521" s="40"/>
      <c r="N3521" s="451"/>
      <c r="O3521" s="531"/>
      <c r="P3521" s="459"/>
      <c r="Q3521" s="469"/>
      <c r="R3521" s="512" t="str">
        <f t="shared" si="236"/>
        <v>DELETE</v>
      </c>
      <c r="T3521" s="521"/>
    </row>
    <row r="3522" spans="2:24" ht="31.5" customHeight="1" x14ac:dyDescent="0.45">
      <c r="B3522" s="468"/>
      <c r="C3522" s="492" t="str">
        <f>IF(O3522&lt;0,"OPERATING LOSS FOR THE YEAR","OPERATING PROFIT FOR THE YEAR")</f>
        <v>OPERATING PROFIT FOR THE YEAR</v>
      </c>
      <c r="J3522" s="451"/>
      <c r="K3522" s="451">
        <f>FS!B1141</f>
        <v>5</v>
      </c>
      <c r="L3522" s="452"/>
      <c r="M3522" s="40"/>
      <c r="N3522" s="451"/>
      <c r="O3522" s="531">
        <f>SUM(S3397:S3519)</f>
        <v>0</v>
      </c>
      <c r="P3522" s="459"/>
      <c r="Q3522" s="469"/>
      <c r="R3522" s="512" t="str">
        <f t="shared" si="236"/>
        <v>DELETE</v>
      </c>
      <c r="T3522" s="521"/>
    </row>
    <row r="3523" spans="2:24" ht="31.5" customHeight="1" x14ac:dyDescent="0.45">
      <c r="B3523" s="468"/>
      <c r="C3523" s="450"/>
      <c r="J3523" s="451"/>
      <c r="K3523" s="451"/>
      <c r="L3523" s="452"/>
      <c r="M3523" s="40"/>
      <c r="N3523" s="451"/>
      <c r="O3523" s="531"/>
      <c r="P3523" s="459"/>
      <c r="Q3523" s="469"/>
      <c r="R3523" s="512" t="str">
        <f t="shared" si="236"/>
        <v>DELETE</v>
      </c>
      <c r="T3523" s="521"/>
    </row>
    <row r="3524" spans="2:24" ht="31.5" customHeight="1" x14ac:dyDescent="0.45">
      <c r="B3524" s="468"/>
      <c r="C3524" s="450" t="s">
        <v>139</v>
      </c>
      <c r="J3524" s="451"/>
      <c r="K3524" s="451">
        <f>FS!B1228</f>
        <v>6</v>
      </c>
      <c r="L3524" s="452"/>
      <c r="M3524" s="40"/>
      <c r="N3524" s="451"/>
      <c r="O3524" s="531">
        <f>SUM(O3527:O3534)</f>
        <v>0</v>
      </c>
      <c r="P3524" s="459"/>
      <c r="Q3524" s="469"/>
      <c r="R3524" s="512" t="str">
        <f t="shared" ref="R3524" si="237">IF(R$3385="DELETE","DELETE",IF(O3524=0,"DELETE"," "))</f>
        <v>DELETE</v>
      </c>
      <c r="S3524" s="517">
        <f>O3524</f>
        <v>0</v>
      </c>
      <c r="T3524" s="521"/>
      <c r="U3524" s="517"/>
      <c r="V3524" s="517"/>
      <c r="W3524" s="517"/>
      <c r="X3524" s="517"/>
    </row>
    <row r="3525" spans="2:24" ht="9" customHeight="1" x14ac:dyDescent="0.45">
      <c r="B3525" s="468"/>
      <c r="C3525" s="450"/>
      <c r="J3525" s="451"/>
      <c r="K3525" s="451"/>
      <c r="L3525" s="452"/>
      <c r="M3525" s="40"/>
      <c r="N3525" s="451"/>
      <c r="O3525" s="531"/>
      <c r="P3525" s="459"/>
      <c r="Q3525" s="469"/>
      <c r="R3525" s="512" t="str">
        <f>R3524</f>
        <v>DELETE</v>
      </c>
      <c r="T3525" s="521"/>
    </row>
    <row r="3526" spans="2:24" ht="9" customHeight="1" x14ac:dyDescent="0.45">
      <c r="B3526" s="468"/>
      <c r="C3526" s="450"/>
      <c r="J3526" s="451"/>
      <c r="K3526" s="451"/>
      <c r="L3526" s="452"/>
      <c r="M3526" s="40"/>
      <c r="N3526" s="451"/>
      <c r="O3526" s="558"/>
      <c r="P3526" s="459"/>
      <c r="Q3526" s="469"/>
      <c r="R3526" s="512" t="str">
        <f>R3525</f>
        <v>DELETE</v>
      </c>
      <c r="T3526" s="521"/>
    </row>
    <row r="3527" spans="2:24" ht="31.5" customHeight="1" x14ac:dyDescent="0.45">
      <c r="B3527" s="468"/>
      <c r="C3527" s="450"/>
      <c r="D3527" s="449" t="s">
        <v>243</v>
      </c>
      <c r="J3527" s="451"/>
      <c r="K3527" s="451"/>
      <c r="L3527" s="452"/>
      <c r="M3527" s="40"/>
      <c r="N3527" s="451"/>
      <c r="O3527" s="559">
        <f>-TrialBalanceB!I94</f>
        <v>0</v>
      </c>
      <c r="P3527" s="459"/>
      <c r="Q3527" s="469"/>
      <c r="R3527" s="512" t="str">
        <f t="shared" ref="R3527:R3532" si="238">IF(R$3385="DELETE","DELETE",IF(O3527=0,"DELETE"," "))</f>
        <v>DELETE</v>
      </c>
      <c r="T3527" s="521"/>
    </row>
    <row r="3528" spans="2:24" ht="31.5" customHeight="1" x14ac:dyDescent="0.45">
      <c r="B3528" s="468"/>
      <c r="C3528" s="450"/>
      <c r="D3528" s="449" t="s">
        <v>612</v>
      </c>
      <c r="J3528" s="451"/>
      <c r="K3528" s="451"/>
      <c r="L3528" s="452"/>
      <c r="M3528" s="40"/>
      <c r="N3528" s="451"/>
      <c r="O3528" s="559">
        <f>-SUM(TrialBalanceB!I90:I92)</f>
        <v>0</v>
      </c>
      <c r="P3528" s="459"/>
      <c r="Q3528" s="469"/>
      <c r="R3528" s="512" t="str">
        <f t="shared" si="238"/>
        <v>DELETE</v>
      </c>
      <c r="T3528" s="521"/>
    </row>
    <row r="3529" spans="2:24" ht="31.5" customHeight="1" x14ac:dyDescent="0.45">
      <c r="B3529" s="468"/>
      <c r="C3529" s="450"/>
      <c r="D3529" s="449" t="s">
        <v>613</v>
      </c>
      <c r="J3529" s="451"/>
      <c r="K3529" s="451"/>
      <c r="L3529" s="452"/>
      <c r="M3529" s="40"/>
      <c r="N3529" s="451"/>
      <c r="O3529" s="561">
        <f>-SUM(TrialBalanceB!I85:I88)</f>
        <v>0</v>
      </c>
      <c r="P3529" s="459"/>
      <c r="Q3529" s="469"/>
      <c r="R3529" s="512" t="str">
        <f t="shared" si="238"/>
        <v>DELETE</v>
      </c>
      <c r="T3529" s="521"/>
    </row>
    <row r="3530" spans="2:24" ht="31.5" customHeight="1" x14ac:dyDescent="0.45">
      <c r="B3530" s="468"/>
      <c r="C3530" s="450"/>
      <c r="D3530" s="449" t="s">
        <v>245</v>
      </c>
      <c r="J3530" s="451"/>
      <c r="K3530" s="451"/>
      <c r="L3530" s="452"/>
      <c r="M3530" s="40"/>
      <c r="N3530" s="451"/>
      <c r="O3530" s="561">
        <f>-SUM(TrialBalanceB!I95)</f>
        <v>0</v>
      </c>
      <c r="P3530" s="459"/>
      <c r="Q3530" s="469"/>
      <c r="R3530" s="512" t="str">
        <f t="shared" si="238"/>
        <v>DELETE</v>
      </c>
      <c r="T3530" s="521"/>
    </row>
    <row r="3531" spans="2:24" ht="31.5" customHeight="1" x14ac:dyDescent="0.45">
      <c r="B3531" s="468"/>
      <c r="C3531" s="450"/>
      <c r="D3531" s="449" t="s">
        <v>634</v>
      </c>
      <c r="J3531" s="451"/>
      <c r="K3531" s="451"/>
      <c r="L3531" s="452"/>
      <c r="M3531" s="40"/>
      <c r="N3531" s="451"/>
      <c r="O3531" s="559">
        <f>IF(TrialBalanceB!I93&lt;0,-TrialBalanceB!I93,0)</f>
        <v>0</v>
      </c>
      <c r="P3531" s="459"/>
      <c r="Q3531" s="469"/>
      <c r="R3531" s="512" t="str">
        <f t="shared" si="238"/>
        <v>DELETE</v>
      </c>
      <c r="T3531" s="521"/>
    </row>
    <row r="3532" spans="2:24" ht="31.5" customHeight="1" x14ac:dyDescent="0.45">
      <c r="B3532" s="468"/>
      <c r="C3532" s="450"/>
      <c r="D3532" s="449" t="s">
        <v>433</v>
      </c>
      <c r="J3532" s="451"/>
      <c r="K3532" s="451"/>
      <c r="L3532" s="452"/>
      <c r="M3532" s="40"/>
      <c r="N3532" s="451"/>
      <c r="O3532" s="559">
        <f>-TrialBalanceB!I83</f>
        <v>0</v>
      </c>
      <c r="P3532" s="459"/>
      <c r="Q3532" s="469"/>
      <c r="R3532" s="512" t="str">
        <f t="shared" si="238"/>
        <v>DELETE</v>
      </c>
      <c r="T3532" s="521"/>
    </row>
    <row r="3533" spans="2:24" ht="31.5" customHeight="1" x14ac:dyDescent="0.45">
      <c r="B3533" s="468"/>
      <c r="C3533" s="450"/>
      <c r="D3533" s="449" t="str">
        <f>TrialBalance!C96</f>
        <v>Revaluation of investment property</v>
      </c>
      <c r="J3533" s="451"/>
      <c r="K3533" s="451"/>
      <c r="L3533" s="452"/>
      <c r="M3533" s="40"/>
      <c r="N3533" s="451"/>
      <c r="O3533" s="559">
        <f>-TrialBalanceB!I96</f>
        <v>0</v>
      </c>
      <c r="P3533" s="459"/>
      <c r="Q3533" s="469"/>
      <c r="R3533" s="512" t="str">
        <f>IF(R$3385="DELETE","DELETE",IF(O3533=0,"DELETE"," "))</f>
        <v>DELETE</v>
      </c>
      <c r="T3533" s="521"/>
    </row>
    <row r="3534" spans="2:24" ht="9" customHeight="1" x14ac:dyDescent="0.45">
      <c r="B3534" s="468"/>
      <c r="C3534" s="450"/>
      <c r="J3534" s="451"/>
      <c r="K3534" s="451"/>
      <c r="L3534" s="452"/>
      <c r="M3534" s="40"/>
      <c r="N3534" s="451"/>
      <c r="O3534" s="560"/>
      <c r="P3534" s="459"/>
      <c r="Q3534" s="469"/>
      <c r="R3534" s="512" t="str">
        <f>R3524</f>
        <v>DELETE</v>
      </c>
      <c r="T3534" s="521"/>
    </row>
    <row r="3535" spans="2:24" ht="9" customHeight="1" x14ac:dyDescent="0.45">
      <c r="B3535" s="468"/>
      <c r="C3535" s="450"/>
      <c r="J3535" s="451"/>
      <c r="K3535" s="451"/>
      <c r="L3535" s="452"/>
      <c r="M3535" s="40"/>
      <c r="N3535" s="451"/>
      <c r="O3535" s="535"/>
      <c r="P3535" s="459"/>
      <c r="Q3535" s="469"/>
      <c r="R3535" s="512" t="str">
        <f>R3534</f>
        <v>DELETE</v>
      </c>
      <c r="T3535" s="521"/>
    </row>
    <row r="3536" spans="2:24" ht="9" customHeight="1" x14ac:dyDescent="0.45">
      <c r="B3536" s="468"/>
      <c r="C3536" s="450"/>
      <c r="J3536" s="451"/>
      <c r="K3536" s="451"/>
      <c r="L3536" s="452"/>
      <c r="M3536" s="40"/>
      <c r="N3536" s="451"/>
      <c r="O3536" s="531"/>
      <c r="P3536" s="459"/>
      <c r="Q3536" s="469"/>
      <c r="R3536" s="512" t="str">
        <f>R3535</f>
        <v>DELETE</v>
      </c>
      <c r="T3536" s="521"/>
    </row>
    <row r="3537" spans="2:24" ht="31.5" customHeight="1" x14ac:dyDescent="0.45">
      <c r="B3537" s="468"/>
      <c r="C3537" s="450"/>
      <c r="J3537" s="451"/>
      <c r="K3537" s="451"/>
      <c r="L3537" s="452"/>
      <c r="M3537" s="40"/>
      <c r="N3537" s="451"/>
      <c r="O3537" s="531">
        <f>SUM(S3397:S3534)</f>
        <v>0</v>
      </c>
      <c r="P3537" s="459"/>
      <c r="Q3537" s="469"/>
      <c r="R3537" s="512" t="str">
        <f>R3536</f>
        <v>DELETE</v>
      </c>
      <c r="T3537" s="521"/>
    </row>
    <row r="3538" spans="2:24" ht="31.5" customHeight="1" x14ac:dyDescent="0.45">
      <c r="B3538" s="468"/>
      <c r="C3538" s="450"/>
      <c r="J3538" s="451"/>
      <c r="K3538" s="451"/>
      <c r="L3538" s="452"/>
      <c r="M3538" s="40"/>
      <c r="N3538" s="451"/>
      <c r="O3538" s="531"/>
      <c r="P3538" s="459"/>
      <c r="Q3538" s="469"/>
      <c r="R3538" s="512" t="str">
        <f>R3537</f>
        <v>DELETE</v>
      </c>
      <c r="T3538" s="521"/>
    </row>
    <row r="3539" spans="2:24" ht="31.5" customHeight="1" x14ac:dyDescent="0.45">
      <c r="B3539" s="468"/>
      <c r="C3539" s="450" t="s">
        <v>318</v>
      </c>
      <c r="J3539" s="451"/>
      <c r="K3539" s="451">
        <f>FS!B1287</f>
        <v>7</v>
      </c>
      <c r="L3539" s="452"/>
      <c r="M3539" s="40"/>
      <c r="N3539" s="451"/>
      <c r="O3539" s="531">
        <f>SUM(TrialBalanceB!I142:I152)</f>
        <v>0</v>
      </c>
      <c r="P3539" s="459"/>
      <c r="Q3539" s="469"/>
      <c r="R3539" s="512" t="str">
        <f t="shared" ref="R3539" si="239">IF(R$3385="DELETE","DELETE",IF(O3539=0,"DELETE"," "))</f>
        <v>DELETE</v>
      </c>
      <c r="S3539" s="517">
        <f>-O3539</f>
        <v>0</v>
      </c>
      <c r="T3539" s="521"/>
      <c r="U3539" s="517"/>
      <c r="V3539" s="517"/>
      <c r="W3539" s="517"/>
      <c r="X3539" s="517"/>
    </row>
    <row r="3540" spans="2:24" ht="9" customHeight="1" x14ac:dyDescent="0.45">
      <c r="B3540" s="468"/>
      <c r="C3540" s="450"/>
      <c r="J3540" s="451"/>
      <c r="K3540" s="451"/>
      <c r="L3540" s="452"/>
      <c r="M3540" s="40"/>
      <c r="N3540" s="451"/>
      <c r="O3540" s="535"/>
      <c r="P3540" s="459"/>
      <c r="Q3540" s="469"/>
      <c r="R3540" s="512" t="str">
        <f t="shared" ref="R3540:R3548" si="240">R$3385</f>
        <v>DELETE</v>
      </c>
      <c r="T3540" s="521"/>
    </row>
    <row r="3541" spans="2:24" ht="9" customHeight="1" x14ac:dyDescent="0.45">
      <c r="B3541" s="468"/>
      <c r="C3541" s="450"/>
      <c r="J3541" s="451"/>
      <c r="K3541" s="451"/>
      <c r="L3541" s="452"/>
      <c r="M3541" s="40"/>
      <c r="N3541" s="451"/>
      <c r="O3541" s="531"/>
      <c r="P3541" s="459"/>
      <c r="Q3541" s="469"/>
      <c r="R3541" s="512" t="str">
        <f t="shared" si="240"/>
        <v>DELETE</v>
      </c>
      <c r="T3541" s="521"/>
    </row>
    <row r="3542" spans="2:24" ht="31.5" customHeight="1" x14ac:dyDescent="0.45">
      <c r="B3542" s="468"/>
      <c r="C3542" s="492" t="str">
        <f>IF(O3542&lt;0,"LOSS BEFORE TAXATION","PROFIT BEFORE TAXATION")</f>
        <v>PROFIT BEFORE TAXATION</v>
      </c>
      <c r="J3542" s="451"/>
      <c r="K3542" s="451"/>
      <c r="L3542" s="452"/>
      <c r="M3542" s="40"/>
      <c r="N3542" s="451"/>
      <c r="O3542" s="531">
        <f>SUM(S3397:S3541)</f>
        <v>0</v>
      </c>
      <c r="P3542" s="459"/>
      <c r="Q3542" s="469"/>
      <c r="R3542" s="512" t="str">
        <f t="shared" si="240"/>
        <v>DELETE</v>
      </c>
      <c r="T3542" s="521"/>
      <c r="V3542" s="513" t="b">
        <f>O3542=FS!M2738</f>
        <v>1</v>
      </c>
    </row>
    <row r="3543" spans="2:24" ht="9" customHeight="1" thickBot="1" x14ac:dyDescent="0.5">
      <c r="B3543" s="468"/>
      <c r="C3543" s="450"/>
      <c r="J3543" s="451"/>
      <c r="K3543" s="451"/>
      <c r="L3543" s="452"/>
      <c r="M3543" s="40"/>
      <c r="N3543" s="451"/>
      <c r="O3543" s="536"/>
      <c r="P3543" s="459"/>
      <c r="Q3543" s="469"/>
      <c r="R3543" s="512" t="str">
        <f t="shared" si="240"/>
        <v>DELETE</v>
      </c>
      <c r="T3543" s="521"/>
    </row>
    <row r="3544" spans="2:24" ht="9" customHeight="1" thickTop="1" x14ac:dyDescent="0.45">
      <c r="B3544" s="468"/>
      <c r="C3544" s="450"/>
      <c r="J3544" s="451"/>
      <c r="K3544" s="451"/>
      <c r="L3544" s="452"/>
      <c r="M3544" s="40"/>
      <c r="N3544" s="451"/>
      <c r="O3544" s="531"/>
      <c r="P3544" s="459"/>
      <c r="Q3544" s="469"/>
      <c r="R3544" s="512" t="str">
        <f t="shared" si="240"/>
        <v>DELETE</v>
      </c>
      <c r="T3544" s="521"/>
    </row>
    <row r="3545" spans="2:24" ht="31.5" customHeight="1" x14ac:dyDescent="0.45">
      <c r="B3545" s="468"/>
      <c r="C3545" s="450"/>
      <c r="J3545" s="451"/>
      <c r="K3545" s="451"/>
      <c r="L3545" s="452"/>
      <c r="M3545" s="40"/>
      <c r="N3545" s="451"/>
      <c r="O3545" s="531"/>
      <c r="P3545" s="459"/>
      <c r="Q3545" s="469"/>
      <c r="R3545" s="512" t="str">
        <f t="shared" si="240"/>
        <v>DELETE</v>
      </c>
      <c r="T3545" s="521"/>
    </row>
    <row r="3546" spans="2:24" ht="31.5" customHeight="1" x14ac:dyDescent="0.45">
      <c r="B3546" s="468"/>
      <c r="C3546" s="450"/>
      <c r="J3546" s="451"/>
      <c r="K3546" s="451"/>
      <c r="L3546" s="452"/>
      <c r="M3546" s="40"/>
      <c r="N3546" s="451"/>
      <c r="O3546" s="531"/>
      <c r="P3546" s="459"/>
      <c r="Q3546" s="469"/>
      <c r="R3546" s="512" t="str">
        <f t="shared" si="240"/>
        <v>DELETE</v>
      </c>
      <c r="T3546" s="521"/>
    </row>
    <row r="3547" spans="2:24" ht="31.5" customHeight="1" x14ac:dyDescent="0.45">
      <c r="B3547" s="477"/>
      <c r="C3547" s="461"/>
      <c r="D3547" s="461"/>
      <c r="E3547" s="461"/>
      <c r="F3547" s="461"/>
      <c r="G3547" s="461"/>
      <c r="H3547" s="461"/>
      <c r="I3547" s="461"/>
      <c r="J3547" s="461"/>
      <c r="K3547" s="461"/>
      <c r="L3547" s="461"/>
      <c r="M3547" s="640"/>
      <c r="N3547" s="646"/>
      <c r="O3547" s="640"/>
      <c r="P3547" s="631"/>
      <c r="Q3547" s="479"/>
      <c r="R3547" s="512" t="str">
        <f t="shared" si="240"/>
        <v>DELETE</v>
      </c>
      <c r="T3547" s="521"/>
    </row>
    <row r="3548" spans="2:24" ht="31.5" customHeight="1" x14ac:dyDescent="0.45">
      <c r="M3548" s="635"/>
      <c r="N3548" s="621"/>
      <c r="O3548" s="635"/>
      <c r="R3548" s="512" t="str">
        <f t="shared" si="240"/>
        <v>DELETE</v>
      </c>
      <c r="T3548" s="521"/>
    </row>
    <row r="3549" spans="2:24" ht="31.5" customHeight="1" x14ac:dyDescent="0.45">
      <c r="M3549" s="635"/>
      <c r="N3549" s="621"/>
      <c r="O3549" s="635"/>
      <c r="R3549" s="512" t="str">
        <f>IF(SUM(U3561:U3563)+SUM(U3581:U3588)+SUM(U3688:U3698)+O3706=0,"DELETE",IF(SUM(S3561:S3563)+SUM(U3561:U3563)+SUM(S3581:S3588)+SUM(U3581:U3588)+SUM(S3688:S3698)+SUM(U3688:U3698)+M3706+O3706=0,"DELETE"," "))</f>
        <v>DELETE</v>
      </c>
      <c r="V3549" s="516"/>
      <c r="W3549" s="516"/>
      <c r="X3549" s="516"/>
    </row>
    <row r="3550" spans="2:24" ht="31.5" customHeight="1" x14ac:dyDescent="0.45">
      <c r="D3550" s="450" t="s">
        <v>760</v>
      </c>
      <c r="M3550" s="635"/>
      <c r="N3550" s="621"/>
      <c r="O3550" s="635"/>
      <c r="R3550" s="512" t="str">
        <f>R$3549</f>
        <v>DELETE</v>
      </c>
      <c r="V3550" s="515"/>
      <c r="X3550" s="515"/>
    </row>
    <row r="3551" spans="2:24" ht="31.5" customHeight="1" x14ac:dyDescent="0.45">
      <c r="M3551" s="635"/>
      <c r="N3551" s="621"/>
      <c r="O3551" s="635"/>
      <c r="R3551" s="512" t="str">
        <f t="shared" ref="R3551:R3560" si="241">R$3549</f>
        <v>DELETE</v>
      </c>
    </row>
    <row r="3552" spans="2:24" ht="31.5" customHeight="1" x14ac:dyDescent="0.45">
      <c r="D3552" s="450" t="str">
        <f>Criteria!E9</f>
        <v>ABC COMPANY (PROPRIETARY) LIMITED</v>
      </c>
      <c r="M3552" s="635"/>
      <c r="N3552" s="621"/>
      <c r="O3552" s="531" t="s">
        <v>121</v>
      </c>
      <c r="Q3552" s="451">
        <v>1</v>
      </c>
      <c r="R3552" s="512" t="str">
        <f t="shared" si="241"/>
        <v>DELETE</v>
      </c>
    </row>
    <row r="3553" spans="2:24" ht="31.5" customHeight="1" x14ac:dyDescent="0.45">
      <c r="D3553" s="450" t="str">
        <f>CONCATENATE("T/A ",Criteria!E16)</f>
        <v xml:space="preserve">T/A </v>
      </c>
      <c r="M3553" s="635"/>
      <c r="N3553" s="621"/>
      <c r="O3553" s="635"/>
      <c r="R3553" s="512" t="str">
        <f t="shared" si="241"/>
        <v>DELETE</v>
      </c>
    </row>
    <row r="3554" spans="2:24" ht="31.5" customHeight="1" x14ac:dyDescent="0.45">
      <c r="M3554" s="635"/>
      <c r="N3554" s="621"/>
      <c r="O3554" s="635"/>
      <c r="R3554" s="512" t="str">
        <f t="shared" si="241"/>
        <v>DELETE</v>
      </c>
    </row>
    <row r="3555" spans="2:24" ht="31.5" customHeight="1" x14ac:dyDescent="0.45">
      <c r="D3555" s="450" t="s">
        <v>115</v>
      </c>
      <c r="M3555" s="635"/>
      <c r="N3555" s="621"/>
      <c r="O3555" s="635"/>
      <c r="R3555" s="512" t="str">
        <f t="shared" si="241"/>
        <v>DELETE</v>
      </c>
    </row>
    <row r="3556" spans="2:24" ht="31.5" customHeight="1" x14ac:dyDescent="0.45">
      <c r="D3556" s="450" t="str">
        <f>Criteria!E20</f>
        <v>29 FEBRUARY 2024</v>
      </c>
      <c r="M3556" s="635"/>
      <c r="N3556" s="621"/>
      <c r="O3556" s="635"/>
      <c r="R3556" s="512" t="str">
        <f t="shared" si="241"/>
        <v>DELETE</v>
      </c>
    </row>
    <row r="3557" spans="2:24" ht="31.5" customHeight="1" x14ac:dyDescent="0.45">
      <c r="M3557" s="635"/>
      <c r="N3557" s="621"/>
      <c r="O3557" s="635"/>
      <c r="R3557" s="512" t="str">
        <f t="shared" si="241"/>
        <v>DELETE</v>
      </c>
    </row>
    <row r="3558" spans="2:24" ht="31.5" customHeight="1" x14ac:dyDescent="0.45">
      <c r="B3558" s="465"/>
      <c r="C3558" s="466"/>
      <c r="D3558" s="466"/>
      <c r="E3558" s="466"/>
      <c r="F3558" s="466"/>
      <c r="G3558" s="466"/>
      <c r="H3558" s="466"/>
      <c r="I3558" s="466"/>
      <c r="J3558" s="466"/>
      <c r="K3558" s="466"/>
      <c r="L3558" s="466"/>
      <c r="M3558" s="648"/>
      <c r="N3558" s="649"/>
      <c r="O3558" s="648"/>
      <c r="P3558" s="643"/>
      <c r="Q3558" s="467"/>
      <c r="R3558" s="512" t="str">
        <f t="shared" si="241"/>
        <v>DELETE</v>
      </c>
    </row>
    <row r="3559" spans="2:24" ht="31.5" customHeight="1" x14ac:dyDescent="0.45">
      <c r="B3559" s="468"/>
      <c r="J3559" s="451"/>
      <c r="K3559" s="451" t="s">
        <v>129</v>
      </c>
      <c r="L3559" s="451"/>
      <c r="M3559" s="525">
        <f>Criteria!E22</f>
        <v>2024</v>
      </c>
      <c r="N3559" s="458"/>
      <c r="O3559" s="525">
        <f>Criteria!E27</f>
        <v>2023</v>
      </c>
      <c r="P3559" s="459"/>
      <c r="Q3559" s="469"/>
      <c r="R3559" s="512" t="str">
        <f t="shared" si="241"/>
        <v>DELETE</v>
      </c>
    </row>
    <row r="3560" spans="2:24" ht="31.5" customHeight="1" x14ac:dyDescent="0.45">
      <c r="B3560" s="468"/>
      <c r="J3560" s="451"/>
      <c r="K3560" s="451"/>
      <c r="L3560" s="451"/>
      <c r="M3560" s="531"/>
      <c r="N3560" s="470"/>
      <c r="O3560" s="531"/>
      <c r="P3560" s="459"/>
      <c r="Q3560" s="469"/>
      <c r="R3560" s="512" t="str">
        <f t="shared" si="241"/>
        <v>DELETE</v>
      </c>
    </row>
    <row r="3561" spans="2:24" ht="31.5" customHeight="1" x14ac:dyDescent="0.45">
      <c r="B3561" s="468"/>
      <c r="C3561" s="450" t="s">
        <v>137</v>
      </c>
      <c r="J3561" s="451"/>
      <c r="K3561" s="451"/>
      <c r="L3561" s="451"/>
      <c r="M3561" s="531">
        <f>-SUM(TrialBalanceC!I5:I10)</f>
        <v>0</v>
      </c>
      <c r="N3561" s="470"/>
      <c r="O3561" s="531">
        <f>-SUM(TrialBalanceC!K5:K10)</f>
        <v>0</v>
      </c>
      <c r="P3561" s="459"/>
      <c r="Q3561" s="469"/>
      <c r="R3561" s="512" t="str">
        <f>IF(R3549="DELETE","DELETE",IF(M3561+O3561=0,IF(M3563+O3563=0," ","DELETE")," "))</f>
        <v>DELETE</v>
      </c>
      <c r="S3561" s="517">
        <f>M3561</f>
        <v>0</v>
      </c>
      <c r="T3561" s="517"/>
      <c r="U3561" s="517">
        <f>O3561</f>
        <v>0</v>
      </c>
      <c r="V3561" s="517"/>
      <c r="W3561" s="517"/>
      <c r="X3561" s="517"/>
    </row>
    <row r="3562" spans="2:24" ht="31.5" customHeight="1" x14ac:dyDescent="0.45">
      <c r="B3562" s="468"/>
      <c r="C3562" s="450"/>
      <c r="J3562" s="451"/>
      <c r="K3562" s="451"/>
      <c r="L3562" s="451"/>
      <c r="M3562" s="531"/>
      <c r="N3562" s="470"/>
      <c r="O3562" s="531"/>
      <c r="P3562" s="459"/>
      <c r="Q3562" s="469"/>
      <c r="R3562" s="512" t="str">
        <f>R3561</f>
        <v>DELETE</v>
      </c>
      <c r="S3562" s="517"/>
      <c r="T3562" s="517"/>
      <c r="U3562" s="517"/>
      <c r="V3562" s="517"/>
      <c r="W3562" s="517"/>
      <c r="X3562" s="517"/>
    </row>
    <row r="3563" spans="2:24" ht="31.5" customHeight="1" x14ac:dyDescent="0.45">
      <c r="B3563" s="468"/>
      <c r="C3563" s="450" t="s">
        <v>606</v>
      </c>
      <c r="J3563" s="451"/>
      <c r="K3563" s="451"/>
      <c r="L3563" s="451"/>
      <c r="M3563" s="531">
        <f>-TrialBalanceC!I11</f>
        <v>0</v>
      </c>
      <c r="N3563" s="470"/>
      <c r="O3563" s="531">
        <f>-TrialBalanceC!K11</f>
        <v>0</v>
      </c>
      <c r="P3563" s="459"/>
      <c r="Q3563" s="469"/>
      <c r="R3563" s="512" t="str">
        <f>IF(R3549="DELETE","DELETE",IF(M3563+O3563=0,"DELETE"," "))</f>
        <v>DELETE</v>
      </c>
      <c r="S3563" s="517">
        <f>M3563</f>
        <v>0</v>
      </c>
      <c r="T3563" s="517"/>
      <c r="U3563" s="517">
        <f>O3563</f>
        <v>0</v>
      </c>
      <c r="V3563" s="517"/>
      <c r="W3563" s="517"/>
      <c r="X3563" s="517"/>
    </row>
    <row r="3564" spans="2:24" ht="31.5" customHeight="1" x14ac:dyDescent="0.45">
      <c r="B3564" s="468"/>
      <c r="C3564" s="450"/>
      <c r="J3564" s="451"/>
      <c r="K3564" s="451"/>
      <c r="L3564" s="451"/>
      <c r="M3564" s="531"/>
      <c r="N3564" s="470"/>
      <c r="O3564" s="531"/>
      <c r="P3564" s="459"/>
      <c r="Q3564" s="469"/>
      <c r="R3564" s="512" t="str">
        <f>R3563</f>
        <v>DELETE</v>
      </c>
    </row>
    <row r="3565" spans="2:24" ht="31.5" customHeight="1" x14ac:dyDescent="0.45">
      <c r="B3565" s="468"/>
      <c r="C3565" s="450" t="s">
        <v>333</v>
      </c>
      <c r="J3565" s="451"/>
      <c r="K3565" s="451"/>
      <c r="L3565" s="451"/>
      <c r="M3565" s="531">
        <f>SUM(M3568:M3575)</f>
        <v>0</v>
      </c>
      <c r="N3565" s="470"/>
      <c r="O3565" s="531">
        <f>SUM(O3568:O3575)</f>
        <v>0</v>
      </c>
      <c r="P3565" s="459"/>
      <c r="Q3565" s="469"/>
      <c r="R3565" s="512" t="str">
        <f>IF(R$3549="DELETE","DELETE",IF(M3565=0,IF(O3565=0,"DELETE"," ")," "))</f>
        <v>DELETE</v>
      </c>
      <c r="S3565" s="517">
        <f>-M3565</f>
        <v>0</v>
      </c>
      <c r="T3565" s="517"/>
      <c r="U3565" s="517">
        <f>-O3565</f>
        <v>0</v>
      </c>
      <c r="V3565" s="517"/>
      <c r="W3565" s="517"/>
      <c r="X3565" s="517"/>
    </row>
    <row r="3566" spans="2:24" ht="9" customHeight="1" x14ac:dyDescent="0.45">
      <c r="B3566" s="468"/>
      <c r="C3566" s="450"/>
      <c r="J3566" s="451"/>
      <c r="K3566" s="451"/>
      <c r="L3566" s="451"/>
      <c r="M3566" s="531"/>
      <c r="N3566" s="470"/>
      <c r="O3566" s="531"/>
      <c r="P3566" s="459"/>
      <c r="Q3566" s="469"/>
      <c r="R3566" s="512" t="str">
        <f>R3565</f>
        <v>DELETE</v>
      </c>
    </row>
    <row r="3567" spans="2:24" ht="9" customHeight="1" x14ac:dyDescent="0.45">
      <c r="B3567" s="468"/>
      <c r="C3567" s="450"/>
      <c r="J3567" s="451"/>
      <c r="K3567" s="451"/>
      <c r="L3567" s="451"/>
      <c r="M3567" s="532"/>
      <c r="N3567" s="471"/>
      <c r="O3567" s="552"/>
      <c r="P3567" s="459"/>
      <c r="Q3567" s="469"/>
      <c r="R3567" s="512" t="str">
        <f>R3566</f>
        <v>DELETE</v>
      </c>
    </row>
    <row r="3568" spans="2:24" ht="31.5" customHeight="1" x14ac:dyDescent="0.45">
      <c r="B3568" s="468"/>
      <c r="C3568" s="450"/>
      <c r="D3568" s="449" t="s">
        <v>608</v>
      </c>
      <c r="J3568" s="451"/>
      <c r="K3568" s="451"/>
      <c r="L3568" s="451"/>
      <c r="M3568" s="533">
        <f>SUM(TrialBalanceC!I13:I16)</f>
        <v>0</v>
      </c>
      <c r="N3568" s="470"/>
      <c r="O3568" s="553">
        <f>SUM(TrialBalanceC!K13:K16)</f>
        <v>0</v>
      </c>
      <c r="P3568" s="459"/>
      <c r="Q3568" s="469"/>
      <c r="R3568" s="512" t="str">
        <f t="shared" ref="R3568:R3575" si="242">IF(R$3549="DELETE","DELETE",IF(M3568+O3568=0,"DELETE"," "))</f>
        <v>DELETE</v>
      </c>
    </row>
    <row r="3569" spans="2:26" ht="31.5" customHeight="1" x14ac:dyDescent="0.45">
      <c r="B3569" s="468"/>
      <c r="C3569" s="450"/>
      <c r="D3569" s="449" t="s">
        <v>334</v>
      </c>
      <c r="J3569" s="451"/>
      <c r="K3569" s="451"/>
      <c r="L3569" s="451"/>
      <c r="M3569" s="533">
        <f>TrialBalanceC!I17</f>
        <v>0</v>
      </c>
      <c r="N3569" s="470"/>
      <c r="O3569" s="553">
        <f>TrialBalanceC!K17</f>
        <v>0</v>
      </c>
      <c r="P3569" s="459"/>
      <c r="Q3569" s="469"/>
      <c r="R3569" s="512" t="str">
        <f t="shared" si="242"/>
        <v>DELETE</v>
      </c>
    </row>
    <row r="3570" spans="2:26" ht="31.5" customHeight="1" x14ac:dyDescent="0.45">
      <c r="B3570" s="468"/>
      <c r="C3570" s="450"/>
      <c r="D3570" s="449">
        <f>TrialBalanceC!C18</f>
        <v>0</v>
      </c>
      <c r="J3570" s="451"/>
      <c r="K3570" s="451"/>
      <c r="L3570" s="451"/>
      <c r="M3570" s="533">
        <f>TrialBalanceC!I18</f>
        <v>0</v>
      </c>
      <c r="N3570" s="470"/>
      <c r="O3570" s="553">
        <f>TrialBalanceC!K18</f>
        <v>0</v>
      </c>
      <c r="P3570" s="459"/>
      <c r="Q3570" s="469"/>
      <c r="R3570" s="512" t="str">
        <f t="shared" si="242"/>
        <v>DELETE</v>
      </c>
    </row>
    <row r="3571" spans="2:26" ht="31.5" customHeight="1" x14ac:dyDescent="0.45">
      <c r="B3571" s="468"/>
      <c r="C3571" s="450"/>
      <c r="D3571" s="449">
        <f>TrialBalanceC!C19</f>
        <v>0</v>
      </c>
      <c r="J3571" s="451"/>
      <c r="K3571" s="451"/>
      <c r="L3571" s="451"/>
      <c r="M3571" s="533">
        <f>TrialBalanceC!I19</f>
        <v>0</v>
      </c>
      <c r="N3571" s="470"/>
      <c r="O3571" s="553">
        <f>TrialBalanceC!K19</f>
        <v>0</v>
      </c>
      <c r="P3571" s="459"/>
      <c r="Q3571" s="469"/>
      <c r="R3571" s="512" t="str">
        <f t="shared" si="242"/>
        <v>DELETE</v>
      </c>
    </row>
    <row r="3572" spans="2:26" ht="31.5" customHeight="1" x14ac:dyDescent="0.45">
      <c r="B3572" s="468"/>
      <c r="C3572" s="450"/>
      <c r="D3572" s="449">
        <f>TrialBalanceC!C20</f>
        <v>0</v>
      </c>
      <c r="J3572" s="451"/>
      <c r="K3572" s="451"/>
      <c r="L3572" s="451"/>
      <c r="M3572" s="533">
        <f>TrialBalanceC!I20</f>
        <v>0</v>
      </c>
      <c r="N3572" s="470"/>
      <c r="O3572" s="553">
        <f>TrialBalanceC!K20</f>
        <v>0</v>
      </c>
      <c r="P3572" s="459"/>
      <c r="Q3572" s="469"/>
      <c r="R3572" s="512" t="str">
        <f t="shared" si="242"/>
        <v>DELETE</v>
      </c>
    </row>
    <row r="3573" spans="2:26" ht="31.5" customHeight="1" x14ac:dyDescent="0.45">
      <c r="B3573" s="468"/>
      <c r="C3573" s="450"/>
      <c r="D3573" s="449">
        <f>TrialBalanceC!C21</f>
        <v>0</v>
      </c>
      <c r="J3573" s="451"/>
      <c r="K3573" s="451"/>
      <c r="L3573" s="451"/>
      <c r="M3573" s="533">
        <f>TrialBalanceC!I21</f>
        <v>0</v>
      </c>
      <c r="N3573" s="470"/>
      <c r="O3573" s="553">
        <f>TrialBalanceC!K21</f>
        <v>0</v>
      </c>
      <c r="P3573" s="459"/>
      <c r="Q3573" s="469"/>
      <c r="R3573" s="512" t="str">
        <f t="shared" si="242"/>
        <v>DELETE</v>
      </c>
    </row>
    <row r="3574" spans="2:26" ht="31.5" customHeight="1" x14ac:dyDescent="0.45">
      <c r="B3574" s="468"/>
      <c r="C3574" s="450"/>
      <c r="D3574" s="449">
        <f>TrialBalanceC!C22</f>
        <v>0</v>
      </c>
      <c r="J3574" s="451"/>
      <c r="K3574" s="451"/>
      <c r="L3574" s="451"/>
      <c r="M3574" s="533">
        <f>TrialBalanceC!I22</f>
        <v>0</v>
      </c>
      <c r="N3574" s="470"/>
      <c r="O3574" s="553">
        <f>TrialBalanceC!K22</f>
        <v>0</v>
      </c>
      <c r="P3574" s="459"/>
      <c r="Q3574" s="469"/>
      <c r="R3574" s="512" t="str">
        <f t="shared" si="242"/>
        <v>DELETE</v>
      </c>
    </row>
    <row r="3575" spans="2:26" ht="31.5" customHeight="1" x14ac:dyDescent="0.45">
      <c r="B3575" s="468"/>
      <c r="C3575" s="450"/>
      <c r="D3575" s="449" t="s">
        <v>609</v>
      </c>
      <c r="J3575" s="451"/>
      <c r="K3575" s="451"/>
      <c r="L3575" s="451"/>
      <c r="M3575" s="533">
        <f>SUM(TrialBalanceC!I23:I26)</f>
        <v>0</v>
      </c>
      <c r="N3575" s="470"/>
      <c r="O3575" s="553">
        <f>SUM(TrialBalanceC!K23:K26)</f>
        <v>0</v>
      </c>
      <c r="P3575" s="459"/>
      <c r="Q3575" s="469"/>
      <c r="R3575" s="512" t="str">
        <f t="shared" si="242"/>
        <v>DELETE</v>
      </c>
    </row>
    <row r="3576" spans="2:26" ht="9" customHeight="1" x14ac:dyDescent="0.45">
      <c r="B3576" s="468"/>
      <c r="C3576" s="450"/>
      <c r="J3576" s="451"/>
      <c r="K3576" s="451"/>
      <c r="L3576" s="451"/>
      <c r="M3576" s="534"/>
      <c r="N3576" s="473"/>
      <c r="O3576" s="554"/>
      <c r="P3576" s="459"/>
      <c r="Q3576" s="469"/>
      <c r="R3576" s="512" t="str">
        <f>R3565</f>
        <v>DELETE</v>
      </c>
    </row>
    <row r="3577" spans="2:26" ht="9" customHeight="1" x14ac:dyDescent="0.45">
      <c r="B3577" s="468"/>
      <c r="C3577" s="450"/>
      <c r="J3577" s="451"/>
      <c r="K3577" s="451"/>
      <c r="L3577" s="451"/>
      <c r="M3577" s="535"/>
      <c r="N3577" s="473"/>
      <c r="O3577" s="535"/>
      <c r="P3577" s="459"/>
      <c r="Q3577" s="469"/>
      <c r="R3577" s="512" t="str">
        <f>R3565</f>
        <v>DELETE</v>
      </c>
    </row>
    <row r="3578" spans="2:26" ht="9" customHeight="1" x14ac:dyDescent="0.45">
      <c r="B3578" s="468"/>
      <c r="C3578" s="450"/>
      <c r="J3578" s="451"/>
      <c r="K3578" s="451"/>
      <c r="L3578" s="451"/>
      <c r="M3578" s="531"/>
      <c r="N3578" s="470"/>
      <c r="O3578" s="531"/>
      <c r="P3578" s="459"/>
      <c r="Q3578" s="469"/>
      <c r="R3578" s="512" t="str">
        <f>R3577</f>
        <v>DELETE</v>
      </c>
    </row>
    <row r="3579" spans="2:26" ht="31.5" customHeight="1" x14ac:dyDescent="0.45">
      <c r="B3579" s="468"/>
      <c r="C3579" s="492" t="str">
        <f>IF((Y3579+Z3579)=3,"GROSS PROFIT/(LOSS)",(IF((Y3579+Z3579=4),"GROSS PROFIT","GROSS LOSS")))</f>
        <v>GROSS PROFIT</v>
      </c>
      <c r="J3579" s="451"/>
      <c r="K3579" s="451"/>
      <c r="L3579" s="451"/>
      <c r="M3579" s="531">
        <f>SUM(S3561:S3576)</f>
        <v>0</v>
      </c>
      <c r="N3579" s="470"/>
      <c r="O3579" s="531">
        <f>SUM(U3561:U3576)</f>
        <v>0</v>
      </c>
      <c r="P3579" s="459"/>
      <c r="Q3579" s="469"/>
      <c r="R3579" s="512" t="str">
        <f>R3578</f>
        <v>DELETE</v>
      </c>
      <c r="Y3579" s="513">
        <f>IF(M3579&lt;0,1,IF(M3579=0,IF(O3579&lt;0,1,2),2))</f>
        <v>2</v>
      </c>
      <c r="Z3579" s="513">
        <f>IF(O3579&lt;0,1,IF(O3579=0,IF(M3579&lt;0,1,2),2))</f>
        <v>2</v>
      </c>
    </row>
    <row r="3580" spans="2:26" ht="31.5" customHeight="1" x14ac:dyDescent="0.45">
      <c r="B3580" s="468"/>
      <c r="C3580" s="450"/>
      <c r="J3580" s="451"/>
      <c r="K3580" s="451"/>
      <c r="L3580" s="451"/>
      <c r="M3580" s="531"/>
      <c r="N3580" s="470"/>
      <c r="O3580" s="531"/>
      <c r="P3580" s="459"/>
      <c r="Q3580" s="469"/>
      <c r="R3580" s="512" t="str">
        <f>R3579</f>
        <v>DELETE</v>
      </c>
    </row>
    <row r="3581" spans="2:26" ht="31.5" customHeight="1" x14ac:dyDescent="0.45">
      <c r="B3581" s="468"/>
      <c r="C3581" s="450" t="s">
        <v>385</v>
      </c>
      <c r="J3581" s="451"/>
      <c r="K3581" s="451"/>
      <c r="L3581" s="451"/>
      <c r="M3581" s="531">
        <f>SUM(M3583:M3590)</f>
        <v>0</v>
      </c>
      <c r="N3581" s="470"/>
      <c r="O3581" s="531">
        <f>SUM(O3583:O3590)</f>
        <v>0</v>
      </c>
      <c r="P3581" s="459"/>
      <c r="Q3581" s="469"/>
      <c r="R3581" s="512" t="str">
        <f t="shared" ref="R3581" si="243">IF(R$3549="DELETE","DELETE",IF(M3581+O3581=0,"DELETE"," "))</f>
        <v>DELETE</v>
      </c>
      <c r="S3581" s="517">
        <f>M3581</f>
        <v>0</v>
      </c>
      <c r="T3581" s="517"/>
      <c r="U3581" s="517">
        <f>O3581</f>
        <v>0</v>
      </c>
    </row>
    <row r="3582" spans="2:26" ht="9" customHeight="1" x14ac:dyDescent="0.45">
      <c r="B3582" s="468"/>
      <c r="C3582" s="450"/>
      <c r="J3582" s="451"/>
      <c r="K3582" s="451"/>
      <c r="L3582" s="451"/>
      <c r="M3582" s="531"/>
      <c r="N3582" s="470"/>
      <c r="O3582" s="531"/>
      <c r="P3582" s="459"/>
      <c r="Q3582" s="469"/>
      <c r="R3582" s="512" t="str">
        <f>R3581</f>
        <v>DELETE</v>
      </c>
    </row>
    <row r="3583" spans="2:26" ht="9" customHeight="1" x14ac:dyDescent="0.45">
      <c r="B3583" s="468"/>
      <c r="C3583" s="450"/>
      <c r="J3583" s="451"/>
      <c r="K3583" s="451"/>
      <c r="L3583" s="451"/>
      <c r="M3583" s="532"/>
      <c r="N3583" s="471"/>
      <c r="O3583" s="552"/>
      <c r="P3583" s="459"/>
      <c r="Q3583" s="469"/>
      <c r="R3583" s="512" t="str">
        <f>R3581</f>
        <v>DELETE</v>
      </c>
    </row>
    <row r="3584" spans="2:26" ht="31.5" customHeight="1" x14ac:dyDescent="0.45">
      <c r="B3584" s="468"/>
      <c r="C3584" s="450"/>
      <c r="D3584" s="449" t="str">
        <f>TrialBalanceC!C28</f>
        <v xml:space="preserve">Insurance claims - </v>
      </c>
      <c r="J3584" s="451"/>
      <c r="K3584" s="451"/>
      <c r="L3584" s="451"/>
      <c r="M3584" s="533">
        <f>-TrialBalanceC!I28</f>
        <v>0</v>
      </c>
      <c r="N3584" s="470"/>
      <c r="O3584" s="553">
        <f>-TrialBalanceC!K28</f>
        <v>0</v>
      </c>
      <c r="P3584" s="459"/>
      <c r="Q3584" s="469"/>
      <c r="R3584" s="512" t="str">
        <f t="shared" ref="R3584:R3588" si="244">IF(R$3549="DELETE","DELETE",IF(M3584+O3584=0,"DELETE"," "))</f>
        <v>DELETE</v>
      </c>
    </row>
    <row r="3585" spans="2:24" ht="31.5" customHeight="1" x14ac:dyDescent="0.45">
      <c r="B3585" s="468"/>
      <c r="C3585" s="450"/>
      <c r="D3585" s="449" t="str">
        <f>TrialBalanceC!C29</f>
        <v>Government grants received</v>
      </c>
      <c r="J3585" s="451"/>
      <c r="K3585" s="451"/>
      <c r="L3585" s="451"/>
      <c r="M3585" s="533">
        <f>-TrialBalanceC!I29</f>
        <v>0</v>
      </c>
      <c r="N3585" s="470"/>
      <c r="O3585" s="553">
        <f>-TrialBalanceC!K29</f>
        <v>0</v>
      </c>
      <c r="P3585" s="459"/>
      <c r="Q3585" s="469"/>
      <c r="R3585" s="512" t="str">
        <f t="shared" si="244"/>
        <v>DELETE</v>
      </c>
    </row>
    <row r="3586" spans="2:24" ht="31.5" customHeight="1" x14ac:dyDescent="0.45">
      <c r="B3586" s="468"/>
      <c r="C3586" s="450"/>
      <c r="D3586" s="449">
        <f>TrialBalanceC!C30</f>
        <v>0</v>
      </c>
      <c r="J3586" s="451"/>
      <c r="K3586" s="451"/>
      <c r="L3586" s="451"/>
      <c r="M3586" s="533">
        <f>-TrialBalanceC!I30</f>
        <v>0</v>
      </c>
      <c r="N3586" s="470"/>
      <c r="O3586" s="553">
        <f>-TrialBalanceC!K30</f>
        <v>0</v>
      </c>
      <c r="P3586" s="459"/>
      <c r="Q3586" s="469"/>
      <c r="R3586" s="512" t="str">
        <f t="shared" si="244"/>
        <v>DELETE</v>
      </c>
    </row>
    <row r="3587" spans="2:24" ht="31.5" customHeight="1" x14ac:dyDescent="0.45">
      <c r="B3587" s="468"/>
      <c r="C3587" s="450"/>
      <c r="D3587" s="449">
        <f>TrialBalanceC!C31</f>
        <v>0</v>
      </c>
      <c r="J3587" s="451"/>
      <c r="K3587" s="451"/>
      <c r="L3587" s="451"/>
      <c r="M3587" s="533">
        <f>-TrialBalanceC!I31</f>
        <v>0</v>
      </c>
      <c r="N3587" s="470"/>
      <c r="O3587" s="553">
        <f>-TrialBalanceC!K31</f>
        <v>0</v>
      </c>
      <c r="P3587" s="459"/>
      <c r="Q3587" s="469"/>
      <c r="R3587" s="512" t="str">
        <f t="shared" si="244"/>
        <v>DELETE</v>
      </c>
    </row>
    <row r="3588" spans="2:24" ht="31.5" customHeight="1" x14ac:dyDescent="0.45">
      <c r="B3588" s="468"/>
      <c r="C3588" s="450"/>
      <c r="D3588" s="449">
        <f>TrialBalanceC!C32</f>
        <v>0</v>
      </c>
      <c r="J3588" s="451"/>
      <c r="K3588" s="451"/>
      <c r="L3588" s="451"/>
      <c r="M3588" s="533">
        <f>-TrialBalanceC!I32</f>
        <v>0</v>
      </c>
      <c r="N3588" s="470"/>
      <c r="O3588" s="553">
        <f>-TrialBalanceC!K32</f>
        <v>0</v>
      </c>
      <c r="P3588" s="459"/>
      <c r="Q3588" s="469"/>
      <c r="R3588" s="512" t="str">
        <f t="shared" si="244"/>
        <v>DELETE</v>
      </c>
    </row>
    <row r="3589" spans="2:24" ht="31.5" customHeight="1" x14ac:dyDescent="0.45">
      <c r="B3589" s="468"/>
      <c r="C3589" s="450"/>
      <c r="D3589" s="449" t="str">
        <f>TrialBalanceC!C33</f>
        <v>Recoupment of depreciation</v>
      </c>
      <c r="J3589" s="451"/>
      <c r="K3589" s="451"/>
      <c r="L3589" s="451"/>
      <c r="M3589" s="533">
        <f>-TrialBalanceC!I33</f>
        <v>0</v>
      </c>
      <c r="N3589" s="470"/>
      <c r="O3589" s="553">
        <f>-TrialBalanceC!K33</f>
        <v>0</v>
      </c>
      <c r="P3589" s="459"/>
      <c r="Q3589" s="469"/>
      <c r="R3589" s="512" t="str">
        <f t="shared" ref="R3589" si="245">IF(R$3549="DELETE","DELETE",IF(M3589+O3589=0,"DELETE"," "))</f>
        <v>DELETE</v>
      </c>
    </row>
    <row r="3590" spans="2:24" ht="9" customHeight="1" x14ac:dyDescent="0.45">
      <c r="B3590" s="468"/>
      <c r="C3590" s="450"/>
      <c r="J3590" s="451"/>
      <c r="K3590" s="451"/>
      <c r="L3590" s="451"/>
      <c r="M3590" s="534"/>
      <c r="N3590" s="473"/>
      <c r="O3590" s="554"/>
      <c r="P3590" s="459"/>
      <c r="Q3590" s="469"/>
      <c r="R3590" s="512" t="str">
        <f>R3581</f>
        <v>DELETE</v>
      </c>
    </row>
    <row r="3591" spans="2:24" ht="9" customHeight="1" x14ac:dyDescent="0.45">
      <c r="B3591" s="468"/>
      <c r="C3591" s="450"/>
      <c r="J3591" s="451"/>
      <c r="K3591" s="451"/>
      <c r="L3591" s="451"/>
      <c r="M3591" s="547"/>
      <c r="N3591" s="496"/>
      <c r="O3591" s="547"/>
      <c r="P3591" s="459"/>
      <c r="Q3591" s="469"/>
      <c r="R3591" s="512" t="str">
        <f>R3590</f>
        <v>DELETE</v>
      </c>
    </row>
    <row r="3592" spans="2:24" ht="9" customHeight="1" x14ac:dyDescent="0.45">
      <c r="B3592" s="468"/>
      <c r="C3592" s="450"/>
      <c r="J3592" s="451"/>
      <c r="K3592" s="451"/>
      <c r="L3592" s="451"/>
      <c r="M3592" s="531"/>
      <c r="N3592" s="470"/>
      <c r="O3592" s="531"/>
      <c r="P3592" s="459"/>
      <c r="Q3592" s="469"/>
      <c r="R3592" s="512" t="str">
        <f>R3591</f>
        <v>DELETE</v>
      </c>
    </row>
    <row r="3593" spans="2:24" ht="31.5" customHeight="1" x14ac:dyDescent="0.45">
      <c r="B3593" s="468"/>
      <c r="C3593" s="450"/>
      <c r="J3593" s="451"/>
      <c r="K3593" s="451"/>
      <c r="L3593" s="451"/>
      <c r="M3593" s="531">
        <f>SUM(S3561:S3581)</f>
        <v>0</v>
      </c>
      <c r="N3593" s="470"/>
      <c r="O3593" s="531">
        <f>SUM(U3561:U3581)</f>
        <v>0</v>
      </c>
      <c r="P3593" s="459"/>
      <c r="Q3593" s="469"/>
      <c r="R3593" s="512" t="str">
        <f>R3581</f>
        <v>DELETE</v>
      </c>
    </row>
    <row r="3594" spans="2:24" ht="31.5" customHeight="1" x14ac:dyDescent="0.45">
      <c r="B3594" s="468"/>
      <c r="C3594" s="450"/>
      <c r="J3594" s="451"/>
      <c r="K3594" s="451"/>
      <c r="L3594" s="451"/>
      <c r="M3594" s="531"/>
      <c r="N3594" s="470"/>
      <c r="O3594" s="531"/>
      <c r="P3594" s="459"/>
      <c r="Q3594" s="469"/>
      <c r="R3594" s="512" t="str">
        <f>R3593</f>
        <v>DELETE</v>
      </c>
    </row>
    <row r="3595" spans="2:24" ht="31.5" customHeight="1" x14ac:dyDescent="0.45">
      <c r="B3595" s="468"/>
      <c r="C3595" s="450" t="s">
        <v>1416</v>
      </c>
      <c r="J3595" s="451"/>
      <c r="K3595" s="451"/>
      <c r="L3595" s="451"/>
      <c r="M3595" s="531">
        <f>SUM(M3597:M3625)</f>
        <v>0</v>
      </c>
      <c r="N3595" s="470"/>
      <c r="O3595" s="531">
        <f>SUM(O3597:O3625)</f>
        <v>0</v>
      </c>
      <c r="P3595" s="459"/>
      <c r="Q3595" s="469"/>
      <c r="R3595" s="512" t="str">
        <f t="shared" ref="R3595" si="246">IF(R$3549="DELETE","DELETE",IF(M3595+O3595=0,"DELETE"," "))</f>
        <v>DELETE</v>
      </c>
      <c r="S3595" s="517">
        <f>-M3595</f>
        <v>0</v>
      </c>
      <c r="T3595" s="517"/>
      <c r="U3595" s="517">
        <f>-O3595</f>
        <v>0</v>
      </c>
      <c r="V3595" s="517"/>
      <c r="W3595" s="517"/>
      <c r="X3595" s="517"/>
    </row>
    <row r="3596" spans="2:24" ht="9" customHeight="1" x14ac:dyDescent="0.45">
      <c r="B3596" s="468"/>
      <c r="C3596" s="450"/>
      <c r="J3596" s="451"/>
      <c r="K3596" s="451"/>
      <c r="L3596" s="451"/>
      <c r="M3596" s="531"/>
      <c r="N3596" s="470"/>
      <c r="O3596" s="531"/>
      <c r="P3596" s="459"/>
      <c r="Q3596" s="469"/>
      <c r="R3596" s="512" t="str">
        <f>R3595</f>
        <v>DELETE</v>
      </c>
    </row>
    <row r="3597" spans="2:24" ht="9" customHeight="1" x14ac:dyDescent="0.45">
      <c r="B3597" s="468"/>
      <c r="C3597" s="450"/>
      <c r="J3597" s="451"/>
      <c r="K3597" s="451"/>
      <c r="L3597" s="451"/>
      <c r="M3597" s="532"/>
      <c r="N3597" s="471"/>
      <c r="O3597" s="552"/>
      <c r="P3597" s="459"/>
      <c r="Q3597" s="469"/>
      <c r="R3597" s="512" t="str">
        <f>R3596</f>
        <v>DELETE</v>
      </c>
    </row>
    <row r="3598" spans="2:24" ht="31.5" customHeight="1" x14ac:dyDescent="0.45">
      <c r="B3598" s="468"/>
      <c r="C3598" s="450"/>
      <c r="D3598" s="449" t="s">
        <v>335</v>
      </c>
      <c r="J3598" s="451"/>
      <c r="K3598" s="451"/>
      <c r="L3598" s="451"/>
      <c r="M3598" s="533">
        <f>TrialBalanceC!I40</f>
        <v>0</v>
      </c>
      <c r="N3598" s="470"/>
      <c r="O3598" s="553">
        <f>TrialBalanceC!K40</f>
        <v>0</v>
      </c>
      <c r="P3598" s="459"/>
      <c r="Q3598" s="469"/>
      <c r="R3598" s="512" t="str">
        <f t="shared" ref="R3598:R3624" si="247">IF(R$3549="DELETE","DELETE",IF(M3598+O3598=0,"DELETE"," "))</f>
        <v>DELETE</v>
      </c>
    </row>
    <row r="3599" spans="2:24" ht="31.5" customHeight="1" x14ac:dyDescent="0.45">
      <c r="B3599" s="468"/>
      <c r="C3599" s="450"/>
      <c r="D3599" s="449" t="s">
        <v>888</v>
      </c>
      <c r="J3599" s="451"/>
      <c r="K3599" s="451"/>
      <c r="L3599" s="451"/>
      <c r="M3599" s="533">
        <f>TrialBalanceC!I41</f>
        <v>0</v>
      </c>
      <c r="N3599" s="470"/>
      <c r="O3599" s="553">
        <f>TrialBalanceC!K41</f>
        <v>0</v>
      </c>
      <c r="P3599" s="459"/>
      <c r="Q3599" s="469"/>
      <c r="R3599" s="512" t="str">
        <f t="shared" si="247"/>
        <v>DELETE</v>
      </c>
    </row>
    <row r="3600" spans="2:24" ht="31.5" customHeight="1" x14ac:dyDescent="0.45">
      <c r="B3600" s="468"/>
      <c r="C3600" s="450"/>
      <c r="D3600" s="449" t="s">
        <v>336</v>
      </c>
      <c r="J3600" s="451"/>
      <c r="K3600" s="451"/>
      <c r="L3600" s="451"/>
      <c r="M3600" s="533">
        <f>TrialBalanceC!I42</f>
        <v>0</v>
      </c>
      <c r="N3600" s="470"/>
      <c r="O3600" s="553">
        <f>TrialBalanceC!K42</f>
        <v>0</v>
      </c>
      <c r="P3600" s="459"/>
      <c r="Q3600" s="469"/>
      <c r="R3600" s="512" t="str">
        <f t="shared" si="247"/>
        <v>DELETE</v>
      </c>
    </row>
    <row r="3601" spans="2:24" ht="31.5" customHeight="1" x14ac:dyDescent="0.45">
      <c r="B3601" s="468"/>
      <c r="C3601" s="450"/>
      <c r="D3601" s="449" t="s">
        <v>337</v>
      </c>
      <c r="J3601" s="451"/>
      <c r="K3601" s="451">
        <f>C$1203</f>
        <v>5.2999999999999989</v>
      </c>
      <c r="L3601" s="451"/>
      <c r="M3601" s="533">
        <f>SUM(TrialBalanceC!I44:I46)</f>
        <v>0</v>
      </c>
      <c r="N3601" s="470"/>
      <c r="O3601" s="553">
        <f>SUM(TrialBalanceC!K44:K46)</f>
        <v>0</v>
      </c>
      <c r="P3601" s="459"/>
      <c r="Q3601" s="469"/>
      <c r="R3601" s="512" t="str">
        <f t="shared" si="247"/>
        <v>DELETE</v>
      </c>
    </row>
    <row r="3602" spans="2:24" ht="31.5" customHeight="1" x14ac:dyDescent="0.45">
      <c r="B3602" s="468"/>
      <c r="C3602" s="450"/>
      <c r="D3602" s="449" t="s">
        <v>610</v>
      </c>
      <c r="J3602" s="451"/>
      <c r="K3602" s="451"/>
      <c r="L3602" s="451"/>
      <c r="M3602" s="533">
        <f>TrialBalanceC!I47</f>
        <v>0</v>
      </c>
      <c r="N3602" s="470"/>
      <c r="O3602" s="553">
        <f>TrialBalanceC!K47</f>
        <v>0</v>
      </c>
      <c r="P3602" s="459"/>
      <c r="Q3602" s="469"/>
      <c r="R3602" s="512" t="str">
        <f t="shared" si="247"/>
        <v>DELETE</v>
      </c>
      <c r="S3602" s="518"/>
      <c r="T3602" s="518"/>
      <c r="U3602" s="518"/>
      <c r="V3602" s="518"/>
      <c r="W3602" s="518"/>
      <c r="X3602" s="518"/>
    </row>
    <row r="3603" spans="2:24" ht="31.5" customHeight="1" x14ac:dyDescent="0.45">
      <c r="B3603" s="468"/>
      <c r="C3603" s="450"/>
      <c r="D3603" s="449" t="s">
        <v>933</v>
      </c>
      <c r="J3603" s="451"/>
      <c r="K3603" s="451"/>
      <c r="L3603" s="451"/>
      <c r="M3603" s="533">
        <f>TrialBalanceC!I48</f>
        <v>0</v>
      </c>
      <c r="N3603" s="470"/>
      <c r="O3603" s="553">
        <f>TrialBalanceC!K48</f>
        <v>0</v>
      </c>
      <c r="P3603" s="459"/>
      <c r="Q3603" s="469"/>
      <c r="R3603" s="512" t="str">
        <f t="shared" si="247"/>
        <v>DELETE</v>
      </c>
    </row>
    <row r="3604" spans="2:24" ht="31.5" customHeight="1" x14ac:dyDescent="0.45">
      <c r="B3604" s="468"/>
      <c r="C3604" s="450"/>
      <c r="D3604" s="449" t="s">
        <v>74</v>
      </c>
      <c r="J3604" s="451"/>
      <c r="K3604" s="451"/>
      <c r="L3604" s="451"/>
      <c r="M3604" s="533">
        <f>TrialBalanceC!I49</f>
        <v>0</v>
      </c>
      <c r="N3604" s="470"/>
      <c r="O3604" s="553">
        <f>TrialBalanceC!K49</f>
        <v>0</v>
      </c>
      <c r="P3604" s="459"/>
      <c r="Q3604" s="469"/>
      <c r="R3604" s="512" t="str">
        <f t="shared" si="247"/>
        <v>DELETE</v>
      </c>
    </row>
    <row r="3605" spans="2:24" ht="31.5" customHeight="1" x14ac:dyDescent="0.45">
      <c r="B3605" s="468"/>
      <c r="C3605" s="450"/>
      <c r="D3605" s="449" t="s">
        <v>338</v>
      </c>
      <c r="J3605" s="451"/>
      <c r="K3605" s="451"/>
      <c r="L3605" s="451"/>
      <c r="M3605" s="533">
        <f>TrialBalanceC!I50</f>
        <v>0</v>
      </c>
      <c r="N3605" s="470"/>
      <c r="O3605" s="553">
        <f>TrialBalanceC!K50</f>
        <v>0</v>
      </c>
      <c r="P3605" s="459"/>
      <c r="Q3605" s="469"/>
      <c r="R3605" s="512" t="str">
        <f t="shared" si="247"/>
        <v>DELETE</v>
      </c>
    </row>
    <row r="3606" spans="2:24" ht="31.5" customHeight="1" x14ac:dyDescent="0.45">
      <c r="B3606" s="468"/>
      <c r="C3606" s="450"/>
      <c r="D3606" s="449" t="s">
        <v>632</v>
      </c>
      <c r="J3606" s="451"/>
      <c r="K3606" s="451"/>
      <c r="L3606" s="451"/>
      <c r="M3606" s="533">
        <f>SUM(TrialBalanceC!I51:I52)</f>
        <v>0</v>
      </c>
      <c r="N3606" s="470"/>
      <c r="O3606" s="553">
        <f>SUM(TrialBalanceC!K51:K52)</f>
        <v>0</v>
      </c>
      <c r="P3606" s="459"/>
      <c r="Q3606" s="469"/>
      <c r="R3606" s="512" t="str">
        <f t="shared" si="247"/>
        <v>DELETE</v>
      </c>
    </row>
    <row r="3607" spans="2:24" ht="31.5" customHeight="1" x14ac:dyDescent="0.45">
      <c r="B3607" s="468"/>
      <c r="C3607" s="450"/>
      <c r="D3607" s="449" t="s">
        <v>630</v>
      </c>
      <c r="J3607" s="451"/>
      <c r="K3607" s="451"/>
      <c r="L3607" s="451"/>
      <c r="M3607" s="533">
        <f>TrialBalanceC!I53</f>
        <v>0</v>
      </c>
      <c r="N3607" s="470"/>
      <c r="O3607" s="553">
        <f>TrialBalanceC!K53</f>
        <v>0</v>
      </c>
      <c r="P3607" s="459"/>
      <c r="Q3607" s="469"/>
      <c r="R3607" s="512" t="str">
        <f t="shared" si="247"/>
        <v>DELETE</v>
      </c>
    </row>
    <row r="3608" spans="2:24" ht="31.5" customHeight="1" x14ac:dyDescent="0.45">
      <c r="B3608" s="468"/>
      <c r="C3608" s="450"/>
      <c r="D3608" s="449" t="s">
        <v>611</v>
      </c>
      <c r="J3608" s="451"/>
      <c r="K3608" s="451"/>
      <c r="L3608" s="451"/>
      <c r="M3608" s="533">
        <f>SUM(TrialBalanceC!I55:I59)</f>
        <v>0</v>
      </c>
      <c r="N3608" s="470"/>
      <c r="O3608" s="553">
        <f>SUM(TrialBalanceC!K55:K59)</f>
        <v>0</v>
      </c>
      <c r="P3608" s="459"/>
      <c r="Q3608" s="469"/>
      <c r="R3608" s="512" t="str">
        <f t="shared" si="247"/>
        <v>DELETE</v>
      </c>
    </row>
    <row r="3609" spans="2:24" ht="31.5" customHeight="1" x14ac:dyDescent="0.45">
      <c r="B3609" s="468"/>
      <c r="C3609" s="450"/>
      <c r="D3609" s="449" t="s">
        <v>590</v>
      </c>
      <c r="J3609" s="451"/>
      <c r="K3609" s="451">
        <f>FS!C$1171</f>
        <v>5.1999999999999993</v>
      </c>
      <c r="L3609" s="451"/>
      <c r="M3609" s="533">
        <f>SUM(TrialBalanceC!I61:I63)</f>
        <v>0</v>
      </c>
      <c r="N3609" s="470"/>
      <c r="O3609" s="553">
        <f>SUM(TrialBalanceC!K61:K63)</f>
        <v>0</v>
      </c>
      <c r="P3609" s="459"/>
      <c r="Q3609" s="469"/>
      <c r="R3609" s="512" t="str">
        <f t="shared" si="247"/>
        <v>DELETE</v>
      </c>
    </row>
    <row r="3610" spans="2:24" ht="31.5" customHeight="1" x14ac:dyDescent="0.45">
      <c r="B3610" s="468"/>
      <c r="C3610" s="450"/>
      <c r="D3610" s="449" t="s">
        <v>82</v>
      </c>
      <c r="J3610" s="451"/>
      <c r="K3610" s="451"/>
      <c r="L3610" s="451"/>
      <c r="M3610" s="533">
        <f>TrialBalanceC!I64</f>
        <v>0</v>
      </c>
      <c r="N3610" s="470"/>
      <c r="O3610" s="553">
        <f>TrialBalanceC!K64</f>
        <v>0</v>
      </c>
      <c r="P3610" s="459"/>
      <c r="Q3610" s="469"/>
      <c r="R3610" s="512" t="str">
        <f t="shared" si="247"/>
        <v>DELETE</v>
      </c>
    </row>
    <row r="3611" spans="2:24" ht="31.5" customHeight="1" x14ac:dyDescent="0.45">
      <c r="B3611" s="468"/>
      <c r="C3611" s="450"/>
      <c r="D3611" s="449" t="s">
        <v>309</v>
      </c>
      <c r="J3611" s="451"/>
      <c r="K3611" s="451"/>
      <c r="L3611" s="451"/>
      <c r="M3611" s="533">
        <f>SUM(TrialBalanceC!I65:I67)</f>
        <v>0</v>
      </c>
      <c r="N3611" s="470"/>
      <c r="O3611" s="553">
        <f>SUM(TrialBalanceC!K65:K67)</f>
        <v>0</v>
      </c>
      <c r="P3611" s="459"/>
      <c r="Q3611" s="469"/>
      <c r="R3611" s="512" t="str">
        <f t="shared" si="247"/>
        <v>DELETE</v>
      </c>
    </row>
    <row r="3612" spans="2:24" ht="31.5" customHeight="1" x14ac:dyDescent="0.45">
      <c r="B3612" s="468"/>
      <c r="C3612" s="450"/>
      <c r="D3612" s="449" t="s">
        <v>934</v>
      </c>
      <c r="J3612" s="451"/>
      <c r="K3612" s="451"/>
      <c r="L3612" s="451"/>
      <c r="M3612" s="533">
        <f>SUM(TrialBalanceC!I68:I69)</f>
        <v>0</v>
      </c>
      <c r="N3612" s="470"/>
      <c r="O3612" s="553">
        <f>SUM(TrialBalanceC!K68:K69)</f>
        <v>0</v>
      </c>
      <c r="P3612" s="459"/>
      <c r="Q3612" s="469"/>
      <c r="R3612" s="512" t="str">
        <f t="shared" si="247"/>
        <v>DELETE</v>
      </c>
    </row>
    <row r="3613" spans="2:24" ht="31.5" customHeight="1" x14ac:dyDescent="0.45">
      <c r="B3613" s="468"/>
      <c r="C3613" s="450"/>
      <c r="D3613" s="449" t="s">
        <v>310</v>
      </c>
      <c r="J3613" s="451"/>
      <c r="K3613" s="451"/>
      <c r="L3613" s="451"/>
      <c r="M3613" s="533">
        <f>TrialBalanceC!I70</f>
        <v>0</v>
      </c>
      <c r="N3613" s="470"/>
      <c r="O3613" s="553">
        <f>TrialBalanceC!K70</f>
        <v>0</v>
      </c>
      <c r="P3613" s="459"/>
      <c r="Q3613" s="469"/>
      <c r="R3613" s="512" t="str">
        <f t="shared" si="247"/>
        <v>DELETE</v>
      </c>
    </row>
    <row r="3614" spans="2:24" ht="31.5" customHeight="1" x14ac:dyDescent="0.45">
      <c r="B3614" s="468"/>
      <c r="C3614" s="450"/>
      <c r="D3614" s="449" t="s">
        <v>461</v>
      </c>
      <c r="J3614" s="451"/>
      <c r="K3614" s="451"/>
      <c r="L3614" s="451"/>
      <c r="M3614" s="533">
        <f>TrialBalanceC!I71</f>
        <v>0</v>
      </c>
      <c r="N3614" s="470"/>
      <c r="O3614" s="553">
        <f>TrialBalanceC!K71</f>
        <v>0</v>
      </c>
      <c r="P3614" s="459"/>
      <c r="Q3614" s="469"/>
      <c r="R3614" s="512" t="str">
        <f t="shared" si="247"/>
        <v>DELETE</v>
      </c>
    </row>
    <row r="3615" spans="2:24" ht="31.5" customHeight="1" x14ac:dyDescent="0.45">
      <c r="B3615" s="468"/>
      <c r="C3615" s="450"/>
      <c r="D3615" s="449">
        <f>TrialBalanceC!C72</f>
        <v>0</v>
      </c>
      <c r="J3615" s="451"/>
      <c r="K3615" s="451"/>
      <c r="L3615" s="451"/>
      <c r="M3615" s="533">
        <f>TrialBalanceC!I72</f>
        <v>0</v>
      </c>
      <c r="N3615" s="470"/>
      <c r="O3615" s="553">
        <f>TrialBalanceC!K72</f>
        <v>0</v>
      </c>
      <c r="P3615" s="459"/>
      <c r="Q3615" s="469"/>
      <c r="R3615" s="512" t="str">
        <f t="shared" si="247"/>
        <v>DELETE</v>
      </c>
    </row>
    <row r="3616" spans="2:24" ht="31.5" customHeight="1" x14ac:dyDescent="0.45">
      <c r="B3616" s="468"/>
      <c r="C3616" s="450"/>
      <c r="D3616" s="449">
        <f>TrialBalanceC!C73</f>
        <v>0</v>
      </c>
      <c r="J3616" s="451"/>
      <c r="K3616" s="451"/>
      <c r="L3616" s="451"/>
      <c r="M3616" s="533">
        <f>TrialBalanceC!I73</f>
        <v>0</v>
      </c>
      <c r="N3616" s="470"/>
      <c r="O3616" s="553">
        <f>TrialBalanceC!K73</f>
        <v>0</v>
      </c>
      <c r="P3616" s="459"/>
      <c r="Q3616" s="469"/>
      <c r="R3616" s="512" t="str">
        <f t="shared" si="247"/>
        <v>DELETE</v>
      </c>
    </row>
    <row r="3617" spans="2:26" ht="31.5" customHeight="1" x14ac:dyDescent="0.45">
      <c r="B3617" s="468"/>
      <c r="C3617" s="450"/>
      <c r="D3617" s="449">
        <f>TrialBalanceC!C74</f>
        <v>0</v>
      </c>
      <c r="J3617" s="451"/>
      <c r="K3617" s="451"/>
      <c r="L3617" s="451"/>
      <c r="M3617" s="533">
        <f>TrialBalanceC!I74</f>
        <v>0</v>
      </c>
      <c r="N3617" s="470"/>
      <c r="O3617" s="553">
        <f>TrialBalanceC!K74</f>
        <v>0</v>
      </c>
      <c r="P3617" s="459"/>
      <c r="Q3617" s="469"/>
      <c r="R3617" s="512" t="str">
        <f t="shared" si="247"/>
        <v>DELETE</v>
      </c>
    </row>
    <row r="3618" spans="2:26" ht="31.5" customHeight="1" x14ac:dyDescent="0.45">
      <c r="B3618" s="468"/>
      <c r="C3618" s="450"/>
      <c r="D3618" s="449">
        <f>TrialBalanceC!C75</f>
        <v>0</v>
      </c>
      <c r="J3618" s="451"/>
      <c r="K3618" s="451"/>
      <c r="L3618" s="451"/>
      <c r="M3618" s="533">
        <f>TrialBalanceC!I75</f>
        <v>0</v>
      </c>
      <c r="N3618" s="470"/>
      <c r="O3618" s="553">
        <f>TrialBalanceC!K75</f>
        <v>0</v>
      </c>
      <c r="P3618" s="459"/>
      <c r="Q3618" s="469"/>
      <c r="R3618" s="512" t="str">
        <f t="shared" si="247"/>
        <v>DELETE</v>
      </c>
    </row>
    <row r="3619" spans="2:26" ht="31.5" customHeight="1" x14ac:dyDescent="0.45">
      <c r="B3619" s="468"/>
      <c r="C3619" s="450"/>
      <c r="D3619" s="449">
        <f>TrialBalanceC!C76</f>
        <v>0</v>
      </c>
      <c r="J3619" s="451"/>
      <c r="K3619" s="451"/>
      <c r="L3619" s="451"/>
      <c r="M3619" s="533">
        <f>TrialBalanceC!I76</f>
        <v>0</v>
      </c>
      <c r="N3619" s="470"/>
      <c r="O3619" s="553">
        <f>TrialBalanceC!K76</f>
        <v>0</v>
      </c>
      <c r="P3619" s="459"/>
      <c r="Q3619" s="469"/>
      <c r="R3619" s="512" t="str">
        <f t="shared" si="247"/>
        <v>DELETE</v>
      </c>
    </row>
    <row r="3620" spans="2:26" ht="31.5" customHeight="1" x14ac:dyDescent="0.45">
      <c r="B3620" s="468"/>
      <c r="C3620" s="450"/>
      <c r="D3620" s="449">
        <f>TrialBalanceC!C77</f>
        <v>0</v>
      </c>
      <c r="J3620" s="451"/>
      <c r="K3620" s="451"/>
      <c r="L3620" s="451"/>
      <c r="M3620" s="533">
        <f>TrialBalanceC!I77</f>
        <v>0</v>
      </c>
      <c r="N3620" s="470"/>
      <c r="O3620" s="553">
        <f>TrialBalanceC!K77</f>
        <v>0</v>
      </c>
      <c r="P3620" s="459"/>
      <c r="Q3620" s="469"/>
      <c r="R3620" s="512" t="str">
        <f t="shared" si="247"/>
        <v>DELETE</v>
      </c>
    </row>
    <row r="3621" spans="2:26" ht="31.5" customHeight="1" x14ac:dyDescent="0.45">
      <c r="B3621" s="468"/>
      <c r="C3621" s="450"/>
      <c r="D3621" s="449">
        <f>TrialBalanceC!C78</f>
        <v>0</v>
      </c>
      <c r="J3621" s="451"/>
      <c r="K3621" s="451"/>
      <c r="L3621" s="451"/>
      <c r="M3621" s="533">
        <f>TrialBalanceC!I78</f>
        <v>0</v>
      </c>
      <c r="N3621" s="470"/>
      <c r="O3621" s="553">
        <f>TrialBalanceC!K78</f>
        <v>0</v>
      </c>
      <c r="P3621" s="459"/>
      <c r="Q3621" s="469"/>
      <c r="R3621" s="512" t="str">
        <f t="shared" si="247"/>
        <v>DELETE</v>
      </c>
    </row>
    <row r="3622" spans="2:26" ht="31.5" customHeight="1" x14ac:dyDescent="0.45">
      <c r="B3622" s="468"/>
      <c r="C3622" s="450"/>
      <c r="D3622" s="449">
        <f>TrialBalanceC!C79</f>
        <v>0</v>
      </c>
      <c r="J3622" s="451"/>
      <c r="K3622" s="451"/>
      <c r="L3622" s="451"/>
      <c r="M3622" s="533">
        <f>TrialBalanceC!I79</f>
        <v>0</v>
      </c>
      <c r="N3622" s="470"/>
      <c r="O3622" s="553">
        <f>TrialBalanceC!K79</f>
        <v>0</v>
      </c>
      <c r="P3622" s="459"/>
      <c r="Q3622" s="469"/>
      <c r="R3622" s="512" t="str">
        <f t="shared" si="247"/>
        <v>DELETE</v>
      </c>
    </row>
    <row r="3623" spans="2:26" ht="31.5" customHeight="1" x14ac:dyDescent="0.45">
      <c r="B3623" s="468"/>
      <c r="C3623" s="450"/>
      <c r="D3623" s="449">
        <f>TrialBalanceC!C80</f>
        <v>0</v>
      </c>
      <c r="J3623" s="451"/>
      <c r="K3623" s="451"/>
      <c r="L3623" s="451"/>
      <c r="M3623" s="533">
        <f>TrialBalanceC!I80</f>
        <v>0</v>
      </c>
      <c r="N3623" s="470"/>
      <c r="O3623" s="553">
        <f>TrialBalanceC!K80</f>
        <v>0</v>
      </c>
      <c r="P3623" s="459"/>
      <c r="Q3623" s="469"/>
      <c r="R3623" s="512" t="str">
        <f t="shared" si="247"/>
        <v>DELETE</v>
      </c>
    </row>
    <row r="3624" spans="2:26" ht="31.5" customHeight="1" x14ac:dyDescent="0.45">
      <c r="B3624" s="468"/>
      <c r="C3624" s="450"/>
      <c r="D3624" s="449">
        <f>TrialBalanceC!C81</f>
        <v>0</v>
      </c>
      <c r="J3624" s="451"/>
      <c r="K3624" s="451"/>
      <c r="L3624" s="451"/>
      <c r="M3624" s="533">
        <f>TrialBalanceC!I81</f>
        <v>0</v>
      </c>
      <c r="N3624" s="470"/>
      <c r="O3624" s="553">
        <f>TrialBalanceC!K81</f>
        <v>0</v>
      </c>
      <c r="P3624" s="459"/>
      <c r="Q3624" s="469"/>
      <c r="R3624" s="512" t="str">
        <f t="shared" si="247"/>
        <v>DELETE</v>
      </c>
    </row>
    <row r="3625" spans="2:26" ht="9" customHeight="1" x14ac:dyDescent="0.45">
      <c r="B3625" s="468"/>
      <c r="C3625" s="450"/>
      <c r="J3625" s="451"/>
      <c r="K3625" s="451"/>
      <c r="L3625" s="451"/>
      <c r="M3625" s="534"/>
      <c r="N3625" s="473"/>
      <c r="O3625" s="554"/>
      <c r="P3625" s="459"/>
      <c r="Q3625" s="469"/>
      <c r="R3625" s="512" t="str">
        <f>R3595</f>
        <v>DELETE</v>
      </c>
    </row>
    <row r="3626" spans="2:26" ht="9" customHeight="1" x14ac:dyDescent="0.45">
      <c r="B3626" s="468"/>
      <c r="C3626" s="450"/>
      <c r="J3626" s="451"/>
      <c r="K3626" s="451"/>
      <c r="L3626" s="451"/>
      <c r="M3626" s="535"/>
      <c r="N3626" s="473"/>
      <c r="O3626" s="535"/>
      <c r="P3626" s="459"/>
      <c r="Q3626" s="469"/>
      <c r="R3626" s="512" t="str">
        <f t="shared" ref="R3626:R3646" si="248">R$3549</f>
        <v>DELETE</v>
      </c>
    </row>
    <row r="3627" spans="2:26" ht="9" customHeight="1" x14ac:dyDescent="0.45">
      <c r="B3627" s="468"/>
      <c r="C3627" s="450"/>
      <c r="J3627" s="451"/>
      <c r="K3627" s="451"/>
      <c r="L3627" s="451"/>
      <c r="M3627" s="531"/>
      <c r="N3627" s="470"/>
      <c r="O3627" s="531"/>
      <c r="P3627" s="459"/>
      <c r="Q3627" s="469"/>
      <c r="R3627" s="512" t="str">
        <f t="shared" si="248"/>
        <v>DELETE</v>
      </c>
    </row>
    <row r="3628" spans="2:26" ht="31.5" customHeight="1" x14ac:dyDescent="0.45">
      <c r="B3628" s="468"/>
      <c r="C3628" s="492" t="str">
        <f>IF((Y3628+Z3628)=3,"OPERATING PROFIT/(LOSS)",(IF((Y3628+Z3628=4),"OPERATING PROFIT","OPERATING LOSS")))</f>
        <v>OPERATING PROFIT</v>
      </c>
      <c r="J3628" s="451"/>
      <c r="K3628" s="451"/>
      <c r="L3628" s="451"/>
      <c r="M3628" s="531">
        <f>SUM(S3561:S3626)</f>
        <v>0</v>
      </c>
      <c r="N3628" s="470"/>
      <c r="O3628" s="531">
        <f>SUM(U3561:U3626)</f>
        <v>0</v>
      </c>
      <c r="P3628" s="459"/>
      <c r="Q3628" s="469"/>
      <c r="R3628" s="512" t="str">
        <f t="shared" si="248"/>
        <v>DELETE</v>
      </c>
      <c r="Y3628" s="513">
        <f>IF(M3628&lt;0,1,IF(M3628=0,IF(O3628&lt;0,1,2),2))</f>
        <v>2</v>
      </c>
      <c r="Z3628" s="513">
        <f>IF(O3628&lt;0,1,IF(O3628=0,IF(M3628&lt;0,1,2),2))</f>
        <v>2</v>
      </c>
    </row>
    <row r="3629" spans="2:26" ht="31.5" customHeight="1" x14ac:dyDescent="0.45">
      <c r="B3629" s="468"/>
      <c r="C3629" s="450"/>
      <c r="D3629" s="449" t="s">
        <v>312</v>
      </c>
      <c r="J3629" s="451"/>
      <c r="K3629" s="451"/>
      <c r="L3629" s="451"/>
      <c r="M3629" s="531"/>
      <c r="N3629" s="470"/>
      <c r="O3629" s="531"/>
      <c r="P3629" s="459"/>
      <c r="Q3629" s="469"/>
      <c r="R3629" s="512" t="str">
        <f t="shared" si="248"/>
        <v>DELETE</v>
      </c>
    </row>
    <row r="3630" spans="2:26" ht="31.5" customHeight="1" x14ac:dyDescent="0.45">
      <c r="B3630" s="468"/>
      <c r="C3630" s="450"/>
      <c r="J3630" s="451"/>
      <c r="K3630" s="451"/>
      <c r="L3630" s="451"/>
      <c r="M3630" s="531"/>
      <c r="N3630" s="470"/>
      <c r="O3630" s="531"/>
      <c r="P3630" s="459"/>
      <c r="Q3630" s="469"/>
      <c r="R3630" s="512" t="str">
        <f t="shared" si="248"/>
        <v>DELETE</v>
      </c>
    </row>
    <row r="3631" spans="2:26" ht="31.5" customHeight="1" x14ac:dyDescent="0.45">
      <c r="B3631" s="468"/>
      <c r="C3631" s="450"/>
      <c r="J3631" s="451"/>
      <c r="K3631" s="451"/>
      <c r="L3631" s="451"/>
      <c r="M3631" s="531"/>
      <c r="N3631" s="470"/>
      <c r="O3631" s="531"/>
      <c r="P3631" s="459"/>
      <c r="Q3631" s="469"/>
      <c r="R3631" s="512" t="str">
        <f t="shared" si="248"/>
        <v>DELETE</v>
      </c>
    </row>
    <row r="3632" spans="2:26" ht="31.5" customHeight="1" x14ac:dyDescent="0.45">
      <c r="B3632" s="477"/>
      <c r="C3632" s="502"/>
      <c r="D3632" s="461"/>
      <c r="E3632" s="461"/>
      <c r="F3632" s="461"/>
      <c r="G3632" s="461"/>
      <c r="H3632" s="461"/>
      <c r="I3632" s="461"/>
      <c r="J3632" s="483"/>
      <c r="K3632" s="483"/>
      <c r="L3632" s="483"/>
      <c r="M3632" s="535"/>
      <c r="N3632" s="473"/>
      <c r="O3632" s="535"/>
      <c r="P3632" s="484"/>
      <c r="Q3632" s="479"/>
      <c r="R3632" s="512" t="str">
        <f t="shared" si="248"/>
        <v>DELETE</v>
      </c>
    </row>
    <row r="3633" spans="2:26" ht="31.5" customHeight="1" x14ac:dyDescent="0.45">
      <c r="C3633" s="450"/>
      <c r="J3633" s="451"/>
      <c r="K3633" s="451"/>
      <c r="L3633" s="451"/>
      <c r="M3633" s="531"/>
      <c r="N3633" s="470"/>
      <c r="O3633" s="531"/>
      <c r="P3633" s="459"/>
      <c r="R3633" s="512" t="str">
        <f t="shared" si="248"/>
        <v>DELETE</v>
      </c>
    </row>
    <row r="3634" spans="2:26" ht="31.5" customHeight="1" x14ac:dyDescent="0.45">
      <c r="C3634" s="450"/>
      <c r="J3634" s="451"/>
      <c r="K3634" s="451"/>
      <c r="L3634" s="451"/>
      <c r="M3634" s="531"/>
      <c r="N3634" s="470"/>
      <c r="O3634" s="531"/>
      <c r="P3634" s="459"/>
      <c r="R3634" s="512" t="str">
        <f t="shared" si="248"/>
        <v>DELETE</v>
      </c>
    </row>
    <row r="3635" spans="2:26" ht="31.5" customHeight="1" x14ac:dyDescent="0.45">
      <c r="C3635" s="450"/>
      <c r="D3635" s="450" t="str">
        <f>Criteria!E9</f>
        <v>ABC COMPANY (PROPRIETARY) LIMITED</v>
      </c>
      <c r="J3635" s="451"/>
      <c r="K3635" s="451"/>
      <c r="L3635" s="451"/>
      <c r="M3635" s="531"/>
      <c r="N3635" s="470"/>
      <c r="O3635" s="531" t="s">
        <v>121</v>
      </c>
      <c r="P3635" s="459"/>
      <c r="Q3635" s="451">
        <f>MAX($Q$3552:Q3634)+1</f>
        <v>2</v>
      </c>
      <c r="R3635" s="512" t="str">
        <f t="shared" si="248"/>
        <v>DELETE</v>
      </c>
    </row>
    <row r="3636" spans="2:26" ht="31.5" customHeight="1" x14ac:dyDescent="0.45">
      <c r="C3636" s="450"/>
      <c r="D3636" s="450" t="str">
        <f>CONCATENATE("T/A ",Criteria!E16)</f>
        <v xml:space="preserve">T/A </v>
      </c>
      <c r="J3636" s="451"/>
      <c r="K3636" s="451"/>
      <c r="L3636" s="451"/>
      <c r="M3636" s="531"/>
      <c r="N3636" s="470"/>
      <c r="O3636" s="531"/>
      <c r="P3636" s="459"/>
      <c r="R3636" s="512" t="str">
        <f t="shared" si="248"/>
        <v>DELETE</v>
      </c>
    </row>
    <row r="3637" spans="2:26" ht="31.5" customHeight="1" x14ac:dyDescent="0.45">
      <c r="C3637" s="450"/>
      <c r="J3637" s="451"/>
      <c r="K3637" s="451"/>
      <c r="L3637" s="451"/>
      <c r="M3637" s="531"/>
      <c r="N3637" s="470"/>
      <c r="O3637" s="531"/>
      <c r="P3637" s="459"/>
      <c r="R3637" s="512" t="str">
        <f t="shared" si="248"/>
        <v>DELETE</v>
      </c>
    </row>
    <row r="3638" spans="2:26" ht="31.5" customHeight="1" x14ac:dyDescent="0.45">
      <c r="C3638" s="450"/>
      <c r="D3638" s="450" t="s">
        <v>115</v>
      </c>
      <c r="J3638" s="451"/>
      <c r="K3638" s="451"/>
      <c r="L3638" s="451"/>
      <c r="M3638" s="531"/>
      <c r="N3638" s="470"/>
      <c r="O3638" s="531"/>
      <c r="P3638" s="459"/>
      <c r="R3638" s="512" t="str">
        <f t="shared" si="248"/>
        <v>DELETE</v>
      </c>
    </row>
    <row r="3639" spans="2:26" ht="31.5" customHeight="1" x14ac:dyDescent="0.45">
      <c r="C3639" s="450"/>
      <c r="D3639" s="450" t="str">
        <f>D3556</f>
        <v>29 FEBRUARY 2024</v>
      </c>
      <c r="H3639" s="449" t="s">
        <v>127</v>
      </c>
      <c r="J3639" s="451"/>
      <c r="K3639" s="451"/>
      <c r="L3639" s="451"/>
      <c r="M3639" s="531"/>
      <c r="N3639" s="470"/>
      <c r="O3639" s="531"/>
      <c r="P3639" s="459"/>
      <c r="R3639" s="512" t="str">
        <f t="shared" si="248"/>
        <v>DELETE</v>
      </c>
    </row>
    <row r="3640" spans="2:26" ht="31.5" customHeight="1" x14ac:dyDescent="0.45">
      <c r="C3640" s="450"/>
      <c r="J3640" s="451"/>
      <c r="K3640" s="483"/>
      <c r="L3640" s="483"/>
      <c r="M3640" s="535"/>
      <c r="N3640" s="473"/>
      <c r="O3640" s="535"/>
      <c r="P3640" s="459"/>
      <c r="R3640" s="512" t="str">
        <f t="shared" si="248"/>
        <v>DELETE</v>
      </c>
    </row>
    <row r="3641" spans="2:26" ht="31.5" customHeight="1" x14ac:dyDescent="0.45">
      <c r="B3641" s="465"/>
      <c r="C3641" s="503"/>
      <c r="D3641" s="466"/>
      <c r="E3641" s="466"/>
      <c r="F3641" s="466"/>
      <c r="G3641" s="466"/>
      <c r="H3641" s="466"/>
      <c r="I3641" s="466"/>
      <c r="J3641" s="511"/>
      <c r="M3641" s="635"/>
      <c r="N3641" s="621"/>
      <c r="O3641" s="635"/>
      <c r="P3641" s="506"/>
      <c r="Q3641" s="467"/>
      <c r="R3641" s="512" t="str">
        <f t="shared" si="248"/>
        <v>DELETE</v>
      </c>
    </row>
    <row r="3642" spans="2:26" ht="31.5" customHeight="1" x14ac:dyDescent="0.45">
      <c r="B3642" s="468"/>
      <c r="C3642" s="450"/>
      <c r="J3642" s="451"/>
      <c r="K3642" s="451"/>
      <c r="L3642" s="451"/>
      <c r="M3642" s="525">
        <f>Criteria!E22</f>
        <v>2024</v>
      </c>
      <c r="N3642" s="458"/>
      <c r="O3642" s="525">
        <f>Criteria!E27</f>
        <v>2023</v>
      </c>
      <c r="P3642" s="459"/>
      <c r="Q3642" s="469"/>
      <c r="R3642" s="512" t="str">
        <f t="shared" si="248"/>
        <v>DELETE</v>
      </c>
    </row>
    <row r="3643" spans="2:26" ht="31.5" customHeight="1" x14ac:dyDescent="0.45">
      <c r="B3643" s="468"/>
      <c r="C3643" s="450"/>
      <c r="J3643" s="451"/>
      <c r="K3643" s="451"/>
      <c r="L3643" s="451"/>
      <c r="M3643" s="531"/>
      <c r="N3643" s="470"/>
      <c r="O3643" s="531"/>
      <c r="P3643" s="459"/>
      <c r="Q3643" s="469"/>
      <c r="R3643" s="512" t="str">
        <f t="shared" si="248"/>
        <v>DELETE</v>
      </c>
    </row>
    <row r="3644" spans="2:26" ht="31.5" customHeight="1" x14ac:dyDescent="0.45">
      <c r="B3644" s="468"/>
      <c r="C3644" s="492" t="str">
        <f>IF((Y3644+Z3644)=3,"OPERATING PROFIT/(LOSS)",(IF((Y3644+Z3644=4),"OPERATING PROFIT","OPERATING LOSS")))</f>
        <v>OPERATING PROFIT</v>
      </c>
      <c r="J3644" s="451"/>
      <c r="K3644" s="451"/>
      <c r="L3644" s="451"/>
      <c r="M3644" s="531">
        <f>SUM(S3561:S3625)</f>
        <v>0</v>
      </c>
      <c r="N3644" s="470"/>
      <c r="O3644" s="531">
        <f>SUM(U3561:U3625)</f>
        <v>0</v>
      </c>
      <c r="P3644" s="459"/>
      <c r="Q3644" s="469"/>
      <c r="R3644" s="512" t="str">
        <f t="shared" si="248"/>
        <v>DELETE</v>
      </c>
      <c r="V3644" s="513" t="b">
        <f>M3644=M3628</f>
        <v>1</v>
      </c>
      <c r="X3644" s="513" t="b">
        <f>O3644=O3628</f>
        <v>1</v>
      </c>
      <c r="Y3644" s="513">
        <f>IF(M3644&lt;0,1,IF(M3644=0,IF(O3644&lt;0,1,2),2))</f>
        <v>2</v>
      </c>
      <c r="Z3644" s="513">
        <f>IF(O3644&lt;0,1,IF(O3644=0,IF(M3644&lt;0,1,2),2))</f>
        <v>2</v>
      </c>
    </row>
    <row r="3645" spans="2:26" ht="31.5" customHeight="1" x14ac:dyDescent="0.45">
      <c r="B3645" s="468"/>
      <c r="C3645" s="450"/>
      <c r="D3645" s="449" t="s">
        <v>313</v>
      </c>
      <c r="J3645" s="451"/>
      <c r="K3645" s="451"/>
      <c r="L3645" s="451"/>
      <c r="M3645" s="531"/>
      <c r="N3645" s="470"/>
      <c r="O3645" s="531"/>
      <c r="P3645" s="459"/>
      <c r="Q3645" s="469"/>
      <c r="R3645" s="512" t="str">
        <f t="shared" si="248"/>
        <v>DELETE</v>
      </c>
    </row>
    <row r="3646" spans="2:26" ht="31.5" customHeight="1" x14ac:dyDescent="0.45">
      <c r="B3646" s="468"/>
      <c r="C3646" s="450"/>
      <c r="J3646" s="451"/>
      <c r="K3646" s="451"/>
      <c r="L3646" s="451"/>
      <c r="M3646" s="531"/>
      <c r="N3646" s="470"/>
      <c r="O3646" s="531"/>
      <c r="P3646" s="459"/>
      <c r="Q3646" s="469"/>
      <c r="R3646" s="512" t="str">
        <f t="shared" si="248"/>
        <v>DELETE</v>
      </c>
    </row>
    <row r="3647" spans="2:26" ht="31.5" customHeight="1" x14ac:dyDescent="0.45">
      <c r="B3647" s="468"/>
      <c r="C3647" s="450" t="s">
        <v>1307</v>
      </c>
      <c r="J3647" s="451"/>
      <c r="K3647" s="451"/>
      <c r="L3647" s="451"/>
      <c r="M3647" s="531">
        <f>SUM(M3650:M3683)</f>
        <v>0</v>
      </c>
      <c r="N3647" s="470"/>
      <c r="O3647" s="531">
        <f>SUM(O3650:O3683)</f>
        <v>0</v>
      </c>
      <c r="P3647" s="459"/>
      <c r="Q3647" s="469"/>
      <c r="R3647" s="512" t="str">
        <f t="shared" ref="R3647" si="249">IF(R$3549="DELETE","DELETE",IF(M3647+O3647=0,"DELETE"," "))</f>
        <v>DELETE</v>
      </c>
      <c r="S3647" s="517">
        <f>-M3647</f>
        <v>0</v>
      </c>
      <c r="T3647" s="517"/>
      <c r="U3647" s="517">
        <f>-O3647</f>
        <v>0</v>
      </c>
      <c r="V3647" s="517"/>
      <c r="W3647" s="517"/>
      <c r="X3647" s="517"/>
    </row>
    <row r="3648" spans="2:26" ht="9" customHeight="1" x14ac:dyDescent="0.45">
      <c r="B3648" s="468"/>
      <c r="C3648" s="450"/>
      <c r="J3648" s="451"/>
      <c r="K3648" s="451"/>
      <c r="L3648" s="451"/>
      <c r="M3648" s="531"/>
      <c r="N3648" s="470"/>
      <c r="O3648" s="531"/>
      <c r="P3648" s="459"/>
      <c r="Q3648" s="469"/>
      <c r="R3648" s="512" t="str">
        <f>R3647</f>
        <v>DELETE</v>
      </c>
    </row>
    <row r="3649" spans="2:18" ht="9" customHeight="1" x14ac:dyDescent="0.45">
      <c r="B3649" s="468"/>
      <c r="C3649" s="450"/>
      <c r="J3649" s="451"/>
      <c r="K3649" s="451"/>
      <c r="L3649" s="451"/>
      <c r="M3649" s="532"/>
      <c r="N3649" s="471"/>
      <c r="O3649" s="552"/>
      <c r="P3649" s="459"/>
      <c r="Q3649" s="469"/>
      <c r="R3649" s="512" t="str">
        <f>R3648</f>
        <v>DELETE</v>
      </c>
    </row>
    <row r="3650" spans="2:18" ht="31.5" customHeight="1" x14ac:dyDescent="0.45">
      <c r="B3650" s="468"/>
      <c r="C3650" s="450"/>
      <c r="D3650" s="449" t="s">
        <v>253</v>
      </c>
      <c r="J3650" s="451"/>
      <c r="K3650" s="451"/>
      <c r="L3650" s="451"/>
      <c r="M3650" s="533">
        <f>SUM(TrialBalanceC!I98:I101)</f>
        <v>0</v>
      </c>
      <c r="N3650" s="470"/>
      <c r="O3650" s="553">
        <f>SUM(TrialBalanceC!K98:K101)</f>
        <v>0</v>
      </c>
      <c r="P3650" s="459"/>
      <c r="Q3650" s="469"/>
      <c r="R3650" s="512" t="str">
        <f t="shared" ref="R3650:R3681" si="250">IF(R$3549="DELETE","DELETE",IF(M3650+O3650=0,"DELETE"," "))</f>
        <v>DELETE</v>
      </c>
    </row>
    <row r="3651" spans="2:18" ht="31.5" customHeight="1" x14ac:dyDescent="0.45">
      <c r="B3651" s="468"/>
      <c r="C3651" s="450"/>
      <c r="D3651" s="449" t="s">
        <v>257</v>
      </c>
      <c r="J3651" s="451"/>
      <c r="K3651" s="451"/>
      <c r="L3651" s="451"/>
      <c r="M3651" s="533">
        <f>TrialBalanceC!I103</f>
        <v>0</v>
      </c>
      <c r="N3651" s="470"/>
      <c r="O3651" s="553">
        <f>TrialBalanceC!K103</f>
        <v>0</v>
      </c>
      <c r="P3651" s="459"/>
      <c r="Q3651" s="469"/>
      <c r="R3651" s="512" t="str">
        <f>IF(R$3549="DELETE","DELETE",IF(M3651+O3651=0,"DELETE"," "))</f>
        <v>DELETE</v>
      </c>
    </row>
    <row r="3652" spans="2:18" ht="31.5" customHeight="1" x14ac:dyDescent="0.45">
      <c r="B3652" s="468"/>
      <c r="C3652" s="450"/>
      <c r="D3652" s="449" t="s">
        <v>255</v>
      </c>
      <c r="J3652" s="451"/>
      <c r="K3652" s="451"/>
      <c r="L3652" s="451"/>
      <c r="M3652" s="533">
        <f>TrialBalanceC!I102</f>
        <v>0</v>
      </c>
      <c r="N3652" s="470"/>
      <c r="O3652" s="553">
        <f>TrialBalanceC!K102</f>
        <v>0</v>
      </c>
      <c r="P3652" s="459"/>
      <c r="Q3652" s="469"/>
      <c r="R3652" s="512" t="str">
        <f>IF(R$3549="DELETE","DELETE",IF(M3652+O3652=0,"DELETE"," "))</f>
        <v>DELETE</v>
      </c>
    </row>
    <row r="3653" spans="2:18" ht="31.5" customHeight="1" x14ac:dyDescent="0.45">
      <c r="B3653" s="468"/>
      <c r="C3653" s="450"/>
      <c r="D3653" s="449" t="s">
        <v>314</v>
      </c>
      <c r="J3653" s="451"/>
      <c r="K3653" s="451"/>
      <c r="L3653" s="451"/>
      <c r="M3653" s="533">
        <f>TrialBalanceC!I104</f>
        <v>0</v>
      </c>
      <c r="N3653" s="470"/>
      <c r="O3653" s="553">
        <f>TrialBalanceC!K104</f>
        <v>0</v>
      </c>
      <c r="P3653" s="459"/>
      <c r="Q3653" s="469"/>
      <c r="R3653" s="512" t="str">
        <f t="shared" si="250"/>
        <v>DELETE</v>
      </c>
    </row>
    <row r="3654" spans="2:18" ht="31.5" customHeight="1" x14ac:dyDescent="0.45">
      <c r="B3654" s="468"/>
      <c r="C3654" s="450"/>
      <c r="D3654" s="449" t="s">
        <v>260</v>
      </c>
      <c r="J3654" s="451"/>
      <c r="K3654" s="451"/>
      <c r="L3654" s="451"/>
      <c r="M3654" s="533">
        <f>TrialBalanceC!I105</f>
        <v>0</v>
      </c>
      <c r="N3654" s="470"/>
      <c r="O3654" s="553">
        <f>TrialBalanceC!K105</f>
        <v>0</v>
      </c>
      <c r="P3654" s="459"/>
      <c r="Q3654" s="469"/>
      <c r="R3654" s="512" t="str">
        <f t="shared" si="250"/>
        <v>DELETE</v>
      </c>
    </row>
    <row r="3655" spans="2:18" ht="31.5" customHeight="1" x14ac:dyDescent="0.45">
      <c r="B3655" s="468"/>
      <c r="C3655" s="450"/>
      <c r="D3655" s="449" t="s">
        <v>935</v>
      </c>
      <c r="J3655" s="451"/>
      <c r="K3655" s="451"/>
      <c r="L3655" s="451"/>
      <c r="M3655" s="533">
        <f>TrialBalanceC!I106</f>
        <v>0</v>
      </c>
      <c r="N3655" s="470"/>
      <c r="O3655" s="553">
        <f>TrialBalanceC!K106</f>
        <v>0</v>
      </c>
      <c r="P3655" s="459"/>
      <c r="Q3655" s="469"/>
      <c r="R3655" s="512" t="str">
        <f t="shared" si="250"/>
        <v>DELETE</v>
      </c>
    </row>
    <row r="3656" spans="2:18" ht="31.5" customHeight="1" x14ac:dyDescent="0.45">
      <c r="B3656" s="468"/>
      <c r="C3656" s="450"/>
      <c r="D3656" s="449" t="s">
        <v>337</v>
      </c>
      <c r="J3656" s="451"/>
      <c r="K3656" s="451">
        <f>C$1203</f>
        <v>5.2999999999999989</v>
      </c>
      <c r="L3656" s="451"/>
      <c r="M3656" s="533">
        <f>SUM(TrialBalanceC!I108:I109)</f>
        <v>0</v>
      </c>
      <c r="N3656" s="470"/>
      <c r="O3656" s="553">
        <f>SUM(TrialBalanceC!K108:K109)</f>
        <v>0</v>
      </c>
      <c r="P3656" s="459"/>
      <c r="Q3656" s="469"/>
      <c r="R3656" s="512" t="str">
        <f t="shared" si="250"/>
        <v>DELETE</v>
      </c>
    </row>
    <row r="3657" spans="2:18" ht="31.5" customHeight="1" x14ac:dyDescent="0.45">
      <c r="B3657" s="468"/>
      <c r="C3657" s="450"/>
      <c r="D3657" s="449" t="str">
        <f>IF(MAX(Criteria!I41:I45)&gt;1,"Directors' remuneration","Director's remuneration")</f>
        <v>Directors' remuneration</v>
      </c>
      <c r="J3657" s="451"/>
      <c r="K3657" s="451">
        <f>C$1144</f>
        <v>5.0999999999999996</v>
      </c>
      <c r="L3657" s="451"/>
      <c r="M3657" s="533">
        <f>SUM(TrialBalanceC!I111:I115)</f>
        <v>0</v>
      </c>
      <c r="N3657" s="470"/>
      <c r="O3657" s="553">
        <f>SUM(TrialBalanceC!K111:K115)</f>
        <v>0</v>
      </c>
      <c r="P3657" s="459"/>
      <c r="Q3657" s="469"/>
      <c r="R3657" s="512" t="str">
        <f t="shared" si="250"/>
        <v>DELETE</v>
      </c>
    </row>
    <row r="3658" spans="2:18" ht="31.5" customHeight="1" x14ac:dyDescent="0.45">
      <c r="B3658" s="468"/>
      <c r="C3658" s="450"/>
      <c r="D3658" s="449" t="s">
        <v>315</v>
      </c>
      <c r="J3658" s="451"/>
      <c r="K3658" s="451"/>
      <c r="L3658" s="451"/>
      <c r="M3658" s="533">
        <f>TrialBalanceC!I116</f>
        <v>0</v>
      </c>
      <c r="N3658" s="470"/>
      <c r="O3658" s="553">
        <f>TrialBalanceC!K116</f>
        <v>0</v>
      </c>
      <c r="P3658" s="459"/>
      <c r="Q3658" s="469"/>
      <c r="R3658" s="512" t="str">
        <f t="shared" si="250"/>
        <v>DELETE</v>
      </c>
    </row>
    <row r="3659" spans="2:18" ht="31.5" customHeight="1" x14ac:dyDescent="0.45">
      <c r="B3659" s="468"/>
      <c r="C3659" s="450"/>
      <c r="D3659" s="449" t="s">
        <v>443</v>
      </c>
      <c r="J3659" s="451"/>
      <c r="K3659" s="451"/>
      <c r="L3659" s="451"/>
      <c r="M3659" s="533">
        <f>TrialBalanceC!I117</f>
        <v>0</v>
      </c>
      <c r="N3659" s="470"/>
      <c r="O3659" s="553">
        <f>TrialBalanceC!K117</f>
        <v>0</v>
      </c>
      <c r="P3659" s="459"/>
      <c r="Q3659" s="469"/>
      <c r="R3659" s="512" t="str">
        <f t="shared" si="250"/>
        <v>DELETE</v>
      </c>
    </row>
    <row r="3660" spans="2:18" ht="31.5" customHeight="1" x14ac:dyDescent="0.45">
      <c r="B3660" s="468"/>
      <c r="C3660" s="450"/>
      <c r="D3660" s="449" t="s">
        <v>392</v>
      </c>
      <c r="J3660" s="451"/>
      <c r="K3660" s="451"/>
      <c r="L3660" s="451"/>
      <c r="M3660" s="533">
        <f>TrialBalanceC!I118</f>
        <v>0</v>
      </c>
      <c r="N3660" s="470"/>
      <c r="O3660" s="553">
        <f>TrialBalanceC!K118</f>
        <v>0</v>
      </c>
      <c r="P3660" s="459"/>
      <c r="Q3660" s="469"/>
      <c r="R3660" s="512" t="str">
        <f t="shared" si="250"/>
        <v>DELETE</v>
      </c>
    </row>
    <row r="3661" spans="2:18" ht="31.5" customHeight="1" x14ac:dyDescent="0.45">
      <c r="B3661" s="468"/>
      <c r="C3661" s="450"/>
      <c r="D3661" s="449" t="s">
        <v>445</v>
      </c>
      <c r="J3661" s="451"/>
      <c r="K3661" s="451"/>
      <c r="L3661" s="451"/>
      <c r="M3661" s="533">
        <f>TrialBalanceC!I119</f>
        <v>0</v>
      </c>
      <c r="N3661" s="470"/>
      <c r="O3661" s="553">
        <f>TrialBalanceC!K119</f>
        <v>0</v>
      </c>
      <c r="P3661" s="459"/>
      <c r="Q3661" s="469"/>
      <c r="R3661" s="512" t="str">
        <f t="shared" si="250"/>
        <v>DELETE</v>
      </c>
    </row>
    <row r="3662" spans="2:18" ht="31.5" customHeight="1" x14ac:dyDescent="0.45">
      <c r="B3662" s="468"/>
      <c r="C3662" s="450"/>
      <c r="D3662" s="449" t="s">
        <v>1486</v>
      </c>
      <c r="J3662" s="451"/>
      <c r="K3662" s="451"/>
      <c r="L3662" s="451"/>
      <c r="M3662" s="533">
        <f>TrialBalanceC!I154</f>
        <v>0</v>
      </c>
      <c r="N3662" s="470"/>
      <c r="O3662" s="553">
        <f>TrialBalanceC!K154</f>
        <v>0</v>
      </c>
      <c r="P3662" s="459"/>
      <c r="Q3662" s="469"/>
      <c r="R3662" s="512" t="str">
        <f>IF(R$3549="DELETE","DELETE",IF(M3662+O3662=0,"DELETE"," "))</f>
        <v>DELETE</v>
      </c>
    </row>
    <row r="3663" spans="2:18" ht="31.5" customHeight="1" x14ac:dyDescent="0.45">
      <c r="B3663" s="468"/>
      <c r="C3663" s="450"/>
      <c r="D3663" s="449" t="s">
        <v>605</v>
      </c>
      <c r="J3663" s="451"/>
      <c r="K3663" s="451"/>
      <c r="L3663" s="451"/>
      <c r="M3663" s="533">
        <f>TrialBalanceC!I120+TrialBalanceC!I121</f>
        <v>0</v>
      </c>
      <c r="N3663" s="470"/>
      <c r="O3663" s="553">
        <f>TrialBalanceC!K120+TrialBalanceC!K121</f>
        <v>0</v>
      </c>
      <c r="P3663" s="459"/>
      <c r="Q3663" s="469"/>
      <c r="R3663" s="512" t="str">
        <f t="shared" si="250"/>
        <v>DELETE</v>
      </c>
    </row>
    <row r="3664" spans="2:18" ht="31.5" customHeight="1" x14ac:dyDescent="0.45">
      <c r="B3664" s="468"/>
      <c r="C3664" s="450"/>
      <c r="D3664" s="449" t="s">
        <v>633</v>
      </c>
      <c r="J3664" s="451"/>
      <c r="K3664" s="451"/>
      <c r="L3664" s="451"/>
      <c r="M3664" s="533">
        <f>IF(TrialBalanceC!I93&gt;0,TrialBalanceC!I93,0)</f>
        <v>0</v>
      </c>
      <c r="N3664" s="470"/>
      <c r="O3664" s="553">
        <f>IF(TrialBalanceC!K93&gt;0,TrialBalanceC!K93,0)</f>
        <v>0</v>
      </c>
      <c r="P3664" s="459"/>
      <c r="Q3664" s="469"/>
      <c r="R3664" s="512" t="str">
        <f>IF(R$3549="DELETE","DELETE",IF(M3664+O3664=0,"DELETE"," "))</f>
        <v>DELETE</v>
      </c>
    </row>
    <row r="3665" spans="2:18" ht="31.5" customHeight="1" x14ac:dyDescent="0.45">
      <c r="B3665" s="468"/>
      <c r="C3665" s="450"/>
      <c r="D3665" s="449" t="s">
        <v>936</v>
      </c>
      <c r="J3665" s="451"/>
      <c r="K3665" s="451"/>
      <c r="L3665" s="451"/>
      <c r="M3665" s="533">
        <f>TrialBalanceC!I122</f>
        <v>0</v>
      </c>
      <c r="N3665" s="470"/>
      <c r="O3665" s="553">
        <f>TrialBalanceC!K122</f>
        <v>0</v>
      </c>
      <c r="P3665" s="459"/>
      <c r="Q3665" s="469"/>
      <c r="R3665" s="512" t="str">
        <f>IF(R$3549="DELETE","DELETE",IF(M3665+O3665=0,"DELETE"," "))</f>
        <v>DELETE</v>
      </c>
    </row>
    <row r="3666" spans="2:18" ht="31.5" customHeight="1" x14ac:dyDescent="0.45">
      <c r="B3666" s="468"/>
      <c r="C3666" s="450"/>
      <c r="D3666" s="449" t="s">
        <v>316</v>
      </c>
      <c r="J3666" s="451"/>
      <c r="K3666" s="451"/>
      <c r="L3666" s="451"/>
      <c r="M3666" s="533">
        <f>TrialBalanceC!I123</f>
        <v>0</v>
      </c>
      <c r="N3666" s="470"/>
      <c r="O3666" s="553">
        <f>TrialBalanceC!K123</f>
        <v>0</v>
      </c>
      <c r="P3666" s="459"/>
      <c r="Q3666" s="469"/>
      <c r="R3666" s="512" t="str">
        <f t="shared" si="250"/>
        <v>DELETE</v>
      </c>
    </row>
    <row r="3667" spans="2:18" ht="31.5" customHeight="1" x14ac:dyDescent="0.45">
      <c r="B3667" s="468"/>
      <c r="C3667" s="450"/>
      <c r="D3667" s="449" t="s">
        <v>1554</v>
      </c>
      <c r="J3667" s="451"/>
      <c r="K3667" s="451"/>
      <c r="L3667" s="451"/>
      <c r="M3667" s="533">
        <f>TrialBalanceC!I155</f>
        <v>0</v>
      </c>
      <c r="N3667" s="470"/>
      <c r="O3667" s="553">
        <f>TrialBalanceC!K155</f>
        <v>0</v>
      </c>
      <c r="P3667" s="459"/>
      <c r="Q3667" s="469"/>
      <c r="R3667" s="512" t="str">
        <f t="shared" si="250"/>
        <v>DELETE</v>
      </c>
    </row>
    <row r="3668" spans="2:18" ht="31.5" customHeight="1" x14ac:dyDescent="0.45">
      <c r="B3668" s="468"/>
      <c r="C3668" s="450"/>
      <c r="D3668" s="449" t="s">
        <v>309</v>
      </c>
      <c r="J3668" s="451"/>
      <c r="K3668" s="451"/>
      <c r="L3668" s="451"/>
      <c r="M3668" s="533">
        <f>SUM(TrialBalanceC!I124:I125)</f>
        <v>0</v>
      </c>
      <c r="N3668" s="470"/>
      <c r="O3668" s="553">
        <f>SUM(TrialBalanceC!K124:K125)</f>
        <v>0</v>
      </c>
      <c r="P3668" s="459"/>
      <c r="Q3668" s="469"/>
      <c r="R3668" s="512" t="str">
        <f t="shared" si="250"/>
        <v>DELETE</v>
      </c>
    </row>
    <row r="3669" spans="2:18" ht="31.5" customHeight="1" x14ac:dyDescent="0.45">
      <c r="B3669" s="468"/>
      <c r="C3669" s="450"/>
      <c r="D3669" s="449" t="s">
        <v>317</v>
      </c>
      <c r="J3669" s="451"/>
      <c r="K3669" s="451"/>
      <c r="L3669" s="451"/>
      <c r="M3669" s="533">
        <f>TrialBalanceC!I126</f>
        <v>0</v>
      </c>
      <c r="N3669" s="470"/>
      <c r="O3669" s="553">
        <f>TrialBalanceC!K126</f>
        <v>0</v>
      </c>
      <c r="P3669" s="459"/>
      <c r="Q3669" s="469"/>
      <c r="R3669" s="512" t="str">
        <f t="shared" si="250"/>
        <v>DELETE</v>
      </c>
    </row>
    <row r="3670" spans="2:18" ht="31.5" customHeight="1" x14ac:dyDescent="0.45">
      <c r="B3670" s="468"/>
      <c r="C3670" s="450"/>
      <c r="D3670" s="449" t="s">
        <v>937</v>
      </c>
      <c r="J3670" s="451"/>
      <c r="K3670" s="451"/>
      <c r="L3670" s="451"/>
      <c r="M3670" s="533">
        <f>TrialBalanceC!I127</f>
        <v>0</v>
      </c>
      <c r="N3670" s="470"/>
      <c r="O3670" s="553">
        <f>TrialBalanceC!K127</f>
        <v>0</v>
      </c>
      <c r="P3670" s="459"/>
      <c r="Q3670" s="469"/>
      <c r="R3670" s="512" t="str">
        <f t="shared" si="250"/>
        <v>DELETE</v>
      </c>
    </row>
    <row r="3671" spans="2:18" ht="31.5" customHeight="1" x14ac:dyDescent="0.45">
      <c r="B3671" s="468"/>
      <c r="C3671" s="450"/>
      <c r="D3671" s="449" t="s">
        <v>99</v>
      </c>
      <c r="J3671" s="451"/>
      <c r="K3671" s="451"/>
      <c r="L3671" s="451"/>
      <c r="M3671" s="533">
        <f>TrialBalanceC!I128</f>
        <v>0</v>
      </c>
      <c r="N3671" s="470"/>
      <c r="O3671" s="553">
        <f>TrialBalanceC!K128</f>
        <v>0</v>
      </c>
      <c r="P3671" s="459"/>
      <c r="Q3671" s="469"/>
      <c r="R3671" s="512" t="str">
        <f t="shared" si="250"/>
        <v>DELETE</v>
      </c>
    </row>
    <row r="3672" spans="2:18" ht="31.5" customHeight="1" x14ac:dyDescent="0.45">
      <c r="B3672" s="468"/>
      <c r="C3672" s="450"/>
      <c r="D3672" s="449">
        <f>TrialBalanceC!C129</f>
        <v>0</v>
      </c>
      <c r="J3672" s="451"/>
      <c r="K3672" s="451"/>
      <c r="L3672" s="451"/>
      <c r="M3672" s="533">
        <f>TrialBalanceC!I129</f>
        <v>0</v>
      </c>
      <c r="N3672" s="470"/>
      <c r="O3672" s="553">
        <f>TrialBalanceC!K129</f>
        <v>0</v>
      </c>
      <c r="P3672" s="459"/>
      <c r="Q3672" s="469"/>
      <c r="R3672" s="512" t="str">
        <f t="shared" si="250"/>
        <v>DELETE</v>
      </c>
    </row>
    <row r="3673" spans="2:18" ht="31.5" customHeight="1" x14ac:dyDescent="0.45">
      <c r="B3673" s="468"/>
      <c r="C3673" s="450"/>
      <c r="D3673" s="449">
        <f>TrialBalanceC!C130</f>
        <v>0</v>
      </c>
      <c r="J3673" s="451"/>
      <c r="K3673" s="451"/>
      <c r="L3673" s="451"/>
      <c r="M3673" s="533">
        <f>TrialBalanceC!I130</f>
        <v>0</v>
      </c>
      <c r="N3673" s="470"/>
      <c r="O3673" s="553">
        <f>TrialBalanceC!K130</f>
        <v>0</v>
      </c>
      <c r="P3673" s="459"/>
      <c r="Q3673" s="469"/>
      <c r="R3673" s="512" t="str">
        <f t="shared" si="250"/>
        <v>DELETE</v>
      </c>
    </row>
    <row r="3674" spans="2:18" ht="31.5" customHeight="1" x14ac:dyDescent="0.45">
      <c r="B3674" s="468"/>
      <c r="C3674" s="450"/>
      <c r="D3674" s="449">
        <f>TrialBalanceC!C131</f>
        <v>0</v>
      </c>
      <c r="J3674" s="451"/>
      <c r="K3674" s="451"/>
      <c r="L3674" s="451"/>
      <c r="M3674" s="533">
        <f>TrialBalanceC!I131</f>
        <v>0</v>
      </c>
      <c r="N3674" s="470"/>
      <c r="O3674" s="553">
        <f>TrialBalanceC!K131</f>
        <v>0</v>
      </c>
      <c r="P3674" s="459"/>
      <c r="Q3674" s="469"/>
      <c r="R3674" s="512" t="str">
        <f t="shared" si="250"/>
        <v>DELETE</v>
      </c>
    </row>
    <row r="3675" spans="2:18" ht="31.5" customHeight="1" x14ac:dyDescent="0.45">
      <c r="B3675" s="468"/>
      <c r="C3675" s="450"/>
      <c r="D3675" s="449">
        <f>TrialBalanceC!C132</f>
        <v>0</v>
      </c>
      <c r="J3675" s="451"/>
      <c r="K3675" s="451"/>
      <c r="L3675" s="451"/>
      <c r="M3675" s="533">
        <f>TrialBalanceC!I132</f>
        <v>0</v>
      </c>
      <c r="N3675" s="470"/>
      <c r="O3675" s="553">
        <f>TrialBalanceC!K132</f>
        <v>0</v>
      </c>
      <c r="P3675" s="459"/>
      <c r="Q3675" s="469"/>
      <c r="R3675" s="512" t="str">
        <f t="shared" si="250"/>
        <v>DELETE</v>
      </c>
    </row>
    <row r="3676" spans="2:18" ht="31.5" customHeight="1" x14ac:dyDescent="0.45">
      <c r="B3676" s="468"/>
      <c r="C3676" s="450"/>
      <c r="D3676" s="449">
        <f>TrialBalanceC!C133</f>
        <v>0</v>
      </c>
      <c r="J3676" s="451"/>
      <c r="K3676" s="451"/>
      <c r="L3676" s="451"/>
      <c r="M3676" s="533">
        <f>TrialBalanceC!I133</f>
        <v>0</v>
      </c>
      <c r="N3676" s="470"/>
      <c r="O3676" s="553">
        <f>TrialBalanceC!K133</f>
        <v>0</v>
      </c>
      <c r="P3676" s="459"/>
      <c r="Q3676" s="469"/>
      <c r="R3676" s="512" t="str">
        <f t="shared" si="250"/>
        <v>DELETE</v>
      </c>
    </row>
    <row r="3677" spans="2:18" ht="31.5" customHeight="1" x14ac:dyDescent="0.45">
      <c r="B3677" s="468"/>
      <c r="C3677" s="450"/>
      <c r="D3677" s="449">
        <f>TrialBalanceC!C134</f>
        <v>0</v>
      </c>
      <c r="J3677" s="451"/>
      <c r="K3677" s="451"/>
      <c r="L3677" s="451"/>
      <c r="M3677" s="533">
        <f>TrialBalanceC!I134</f>
        <v>0</v>
      </c>
      <c r="N3677" s="470"/>
      <c r="O3677" s="553">
        <f>TrialBalanceC!K134</f>
        <v>0</v>
      </c>
      <c r="P3677" s="459"/>
      <c r="Q3677" s="469"/>
      <c r="R3677" s="512" t="str">
        <f t="shared" si="250"/>
        <v>DELETE</v>
      </c>
    </row>
    <row r="3678" spans="2:18" ht="31.5" customHeight="1" x14ac:dyDescent="0.45">
      <c r="B3678" s="468"/>
      <c r="C3678" s="450"/>
      <c r="D3678" s="449">
        <f>TrialBalanceC!C135</f>
        <v>0</v>
      </c>
      <c r="J3678" s="451"/>
      <c r="K3678" s="451"/>
      <c r="L3678" s="451"/>
      <c r="M3678" s="533">
        <f>TrialBalanceC!I135</f>
        <v>0</v>
      </c>
      <c r="N3678" s="470"/>
      <c r="O3678" s="553">
        <f>TrialBalanceC!K135</f>
        <v>0</v>
      </c>
      <c r="P3678" s="459"/>
      <c r="Q3678" s="469"/>
      <c r="R3678" s="512" t="str">
        <f t="shared" si="250"/>
        <v>DELETE</v>
      </c>
    </row>
    <row r="3679" spans="2:18" ht="31.5" customHeight="1" x14ac:dyDescent="0.45">
      <c r="B3679" s="468"/>
      <c r="C3679" s="450"/>
      <c r="D3679" s="449">
        <f>TrialBalanceC!C136</f>
        <v>0</v>
      </c>
      <c r="J3679" s="451"/>
      <c r="K3679" s="451"/>
      <c r="L3679" s="451"/>
      <c r="M3679" s="533">
        <f>TrialBalanceC!I136</f>
        <v>0</v>
      </c>
      <c r="N3679" s="470"/>
      <c r="O3679" s="553">
        <f>TrialBalanceC!K136</f>
        <v>0</v>
      </c>
      <c r="P3679" s="459"/>
      <c r="Q3679" s="469"/>
      <c r="R3679" s="512" t="str">
        <f t="shared" si="250"/>
        <v>DELETE</v>
      </c>
    </row>
    <row r="3680" spans="2:18" ht="31.5" customHeight="1" x14ac:dyDescent="0.45">
      <c r="B3680" s="468"/>
      <c r="C3680" s="450"/>
      <c r="D3680" s="449">
        <f>TrialBalanceC!C137</f>
        <v>0</v>
      </c>
      <c r="J3680" s="451"/>
      <c r="K3680" s="451"/>
      <c r="L3680" s="451"/>
      <c r="M3680" s="533">
        <f>TrialBalanceC!I137</f>
        <v>0</v>
      </c>
      <c r="N3680" s="470"/>
      <c r="O3680" s="553">
        <f>TrialBalanceC!K137</f>
        <v>0</v>
      </c>
      <c r="P3680" s="459"/>
      <c r="Q3680" s="469"/>
      <c r="R3680" s="512" t="str">
        <f t="shared" si="250"/>
        <v>DELETE</v>
      </c>
    </row>
    <row r="3681" spans="2:26" ht="31.5" customHeight="1" x14ac:dyDescent="0.45">
      <c r="B3681" s="468"/>
      <c r="C3681" s="450"/>
      <c r="D3681" s="449" t="str">
        <f>TrialBalanceC!C138</f>
        <v>Amortisation of prepaid lease agreement</v>
      </c>
      <c r="J3681" s="451"/>
      <c r="K3681" s="451"/>
      <c r="L3681" s="451"/>
      <c r="M3681" s="533">
        <f>TrialBalanceC!I138</f>
        <v>0</v>
      </c>
      <c r="N3681" s="470"/>
      <c r="O3681" s="553">
        <f>TrialBalanceC!K138</f>
        <v>0</v>
      </c>
      <c r="P3681" s="459"/>
      <c r="Q3681" s="469"/>
      <c r="R3681" s="512" t="str">
        <f t="shared" si="250"/>
        <v>DELETE</v>
      </c>
    </row>
    <row r="3682" spans="2:26" ht="31.5" customHeight="1" x14ac:dyDescent="0.45">
      <c r="B3682" s="468"/>
      <c r="C3682" s="450"/>
      <c r="D3682" s="449" t="str">
        <f>TrialBalanceC!C139</f>
        <v>Amortisation of goodwill</v>
      </c>
      <c r="J3682" s="451"/>
      <c r="K3682" s="451"/>
      <c r="L3682" s="451"/>
      <c r="M3682" s="533">
        <f>TrialBalanceC!I139</f>
        <v>0</v>
      </c>
      <c r="N3682" s="470"/>
      <c r="O3682" s="553">
        <f>TrialBalanceC!K139</f>
        <v>0</v>
      </c>
      <c r="P3682" s="459"/>
      <c r="Q3682" s="469"/>
      <c r="R3682" s="512" t="str">
        <f t="shared" ref="R3682" si="251">IF(R$3549="DELETE","DELETE",IF(M3682+O3682=0,"DELETE"," "))</f>
        <v>DELETE</v>
      </c>
    </row>
    <row r="3683" spans="2:26" ht="9" customHeight="1" x14ac:dyDescent="0.45">
      <c r="B3683" s="468"/>
      <c r="C3683" s="450"/>
      <c r="J3683" s="451"/>
      <c r="K3683" s="451"/>
      <c r="L3683" s="451"/>
      <c r="M3683" s="534"/>
      <c r="N3683" s="473"/>
      <c r="O3683" s="554"/>
      <c r="P3683" s="459"/>
      <c r="Q3683" s="469"/>
      <c r="R3683" s="512" t="str">
        <f>R3647</f>
        <v>DELETE</v>
      </c>
    </row>
    <row r="3684" spans="2:26" ht="9" customHeight="1" x14ac:dyDescent="0.45">
      <c r="B3684" s="468"/>
      <c r="C3684" s="450"/>
      <c r="J3684" s="451"/>
      <c r="K3684" s="451"/>
      <c r="L3684" s="451"/>
      <c r="M3684" s="535"/>
      <c r="N3684" s="473"/>
      <c r="O3684" s="535"/>
      <c r="P3684" s="459"/>
      <c r="Q3684" s="469"/>
      <c r="R3684" s="512" t="str">
        <f t="shared" ref="R3684:R3687" si="252">R$3549</f>
        <v>DELETE</v>
      </c>
    </row>
    <row r="3685" spans="2:26" ht="9" customHeight="1" x14ac:dyDescent="0.45">
      <c r="B3685" s="468"/>
      <c r="C3685" s="450"/>
      <c r="J3685" s="451"/>
      <c r="K3685" s="451"/>
      <c r="L3685" s="451"/>
      <c r="M3685" s="531"/>
      <c r="N3685" s="470"/>
      <c r="O3685" s="531"/>
      <c r="P3685" s="459"/>
      <c r="Q3685" s="469"/>
      <c r="R3685" s="512" t="str">
        <f t="shared" si="252"/>
        <v>DELETE</v>
      </c>
    </row>
    <row r="3686" spans="2:26" ht="31.5" customHeight="1" x14ac:dyDescent="0.45">
      <c r="B3686" s="468"/>
      <c r="C3686" s="492" t="str">
        <f>IF((Y3686+Z3686)=3,"OPERATING PROFIT/(LOSS) FOR THE YEAR",(IF((Y3686+Z3686=4),"OPERATING PROFIT FOR THE YEAR","OPERATING LOSS FOR THE YEAR")))</f>
        <v>OPERATING PROFIT FOR THE YEAR</v>
      </c>
      <c r="J3686" s="451"/>
      <c r="K3686" s="451">
        <f>FS!B1141</f>
        <v>5</v>
      </c>
      <c r="L3686" s="451"/>
      <c r="M3686" s="531">
        <f>SUM(S3561:S3683)</f>
        <v>0</v>
      </c>
      <c r="N3686" s="470"/>
      <c r="O3686" s="531">
        <f>SUM(U3561:U3683)</f>
        <v>0</v>
      </c>
      <c r="P3686" s="459"/>
      <c r="Q3686" s="469"/>
      <c r="R3686" s="512" t="str">
        <f t="shared" si="252"/>
        <v>DELETE</v>
      </c>
      <c r="Y3686" s="513">
        <f>IF(M3686&lt;0,1,IF(M3686=0,IF(O3686&lt;0,1,2),2))</f>
        <v>2</v>
      </c>
      <c r="Z3686" s="513">
        <f>IF(O3686&lt;0,1,IF(O3686=0,IF(M3686&lt;0,1,2),2))</f>
        <v>2</v>
      </c>
    </row>
    <row r="3687" spans="2:26" ht="31.5" customHeight="1" x14ac:dyDescent="0.45">
      <c r="B3687" s="468"/>
      <c r="C3687" s="450"/>
      <c r="J3687" s="451"/>
      <c r="K3687" s="451"/>
      <c r="L3687" s="451"/>
      <c r="M3687" s="531"/>
      <c r="N3687" s="470"/>
      <c r="O3687" s="531"/>
      <c r="P3687" s="459"/>
      <c r="Q3687" s="469"/>
      <c r="R3687" s="512" t="str">
        <f t="shared" si="252"/>
        <v>DELETE</v>
      </c>
    </row>
    <row r="3688" spans="2:26" ht="31.5" customHeight="1" x14ac:dyDescent="0.45">
      <c r="B3688" s="468"/>
      <c r="C3688" s="450" t="s">
        <v>139</v>
      </c>
      <c r="J3688" s="451"/>
      <c r="K3688" s="451">
        <f>FS!B1228</f>
        <v>6</v>
      </c>
      <c r="L3688" s="451"/>
      <c r="M3688" s="531">
        <f>SUM(M3691:M3698)</f>
        <v>0</v>
      </c>
      <c r="N3688" s="470"/>
      <c r="O3688" s="531">
        <f>SUM(O3691:O3698)</f>
        <v>0</v>
      </c>
      <c r="P3688" s="459"/>
      <c r="Q3688" s="469"/>
      <c r="R3688" s="512" t="str">
        <f t="shared" ref="R3688" si="253">IF(R$3549="DELETE","DELETE",IF(M3688+O3688=0,"DELETE"," "))</f>
        <v>DELETE</v>
      </c>
      <c r="S3688" s="517">
        <f>M3688</f>
        <v>0</v>
      </c>
      <c r="T3688" s="517"/>
      <c r="U3688" s="517">
        <f>O3688</f>
        <v>0</v>
      </c>
      <c r="V3688" s="517"/>
      <c r="W3688" s="517"/>
      <c r="X3688" s="517"/>
    </row>
    <row r="3689" spans="2:26" ht="9" customHeight="1" x14ac:dyDescent="0.45">
      <c r="B3689" s="468"/>
      <c r="C3689" s="450"/>
      <c r="J3689" s="451"/>
      <c r="K3689" s="451"/>
      <c r="L3689" s="451"/>
      <c r="M3689" s="531"/>
      <c r="N3689" s="470"/>
      <c r="O3689" s="531"/>
      <c r="P3689" s="459"/>
      <c r="Q3689" s="469"/>
      <c r="R3689" s="512" t="str">
        <f>R3688</f>
        <v>DELETE</v>
      </c>
    </row>
    <row r="3690" spans="2:26" ht="9" customHeight="1" x14ac:dyDescent="0.45">
      <c r="B3690" s="468"/>
      <c r="C3690" s="450"/>
      <c r="J3690" s="451"/>
      <c r="K3690" s="451"/>
      <c r="L3690" s="451"/>
      <c r="M3690" s="532"/>
      <c r="N3690" s="471"/>
      <c r="O3690" s="552"/>
      <c r="P3690" s="459"/>
      <c r="Q3690" s="469"/>
      <c r="R3690" s="512" t="str">
        <f>R3689</f>
        <v>DELETE</v>
      </c>
    </row>
    <row r="3691" spans="2:26" ht="31.5" customHeight="1" x14ac:dyDescent="0.45">
      <c r="B3691" s="468"/>
      <c r="C3691" s="450"/>
      <c r="D3691" s="449" t="s">
        <v>243</v>
      </c>
      <c r="J3691" s="451"/>
      <c r="K3691" s="451"/>
      <c r="L3691" s="451"/>
      <c r="M3691" s="533">
        <f>-TrialBalanceC!I94</f>
        <v>0</v>
      </c>
      <c r="N3691" s="470"/>
      <c r="O3691" s="553">
        <f>-TrialBalanceC!K94</f>
        <v>0</v>
      </c>
      <c r="P3691" s="459"/>
      <c r="Q3691" s="469"/>
      <c r="R3691" s="512" t="str">
        <f t="shared" ref="R3691:R3696" si="254">IF(R$3549="DELETE","DELETE",IF(M3691+O3691=0,"DELETE"," "))</f>
        <v>DELETE</v>
      </c>
    </row>
    <row r="3692" spans="2:26" ht="31.5" customHeight="1" x14ac:dyDescent="0.45">
      <c r="B3692" s="468"/>
      <c r="C3692" s="450"/>
      <c r="D3692" s="449" t="s">
        <v>612</v>
      </c>
      <c r="J3692" s="451"/>
      <c r="K3692" s="451"/>
      <c r="L3692" s="451"/>
      <c r="M3692" s="533">
        <f>-SUM(TrialBalanceC!I90:I92)</f>
        <v>0</v>
      </c>
      <c r="N3692" s="470"/>
      <c r="O3692" s="553">
        <f>-SUM(TrialBalanceC!K90:K92)</f>
        <v>0</v>
      </c>
      <c r="P3692" s="459"/>
      <c r="Q3692" s="469"/>
      <c r="R3692" s="512" t="str">
        <f t="shared" si="254"/>
        <v>DELETE</v>
      </c>
    </row>
    <row r="3693" spans="2:26" ht="31.5" customHeight="1" x14ac:dyDescent="0.45">
      <c r="B3693" s="468"/>
      <c r="C3693" s="450"/>
      <c r="D3693" s="449" t="s">
        <v>613</v>
      </c>
      <c r="J3693" s="451"/>
      <c r="K3693" s="451"/>
      <c r="L3693" s="451"/>
      <c r="M3693" s="550">
        <f>-SUM(TrialBalanceC!I85:I88)</f>
        <v>0</v>
      </c>
      <c r="N3693" s="481"/>
      <c r="O3693" s="557">
        <f>-SUM(TrialBalanceC!K85:K88)</f>
        <v>0</v>
      </c>
      <c r="P3693" s="459"/>
      <c r="Q3693" s="469"/>
      <c r="R3693" s="512" t="str">
        <f t="shared" si="254"/>
        <v>DELETE</v>
      </c>
    </row>
    <row r="3694" spans="2:26" ht="31.5" customHeight="1" x14ac:dyDescent="0.45">
      <c r="B3694" s="468"/>
      <c r="C3694" s="450"/>
      <c r="D3694" s="449" t="s">
        <v>245</v>
      </c>
      <c r="J3694" s="451"/>
      <c r="K3694" s="451"/>
      <c r="L3694" s="451"/>
      <c r="M3694" s="550">
        <f>-SUM(TrialBalanceC!I95)</f>
        <v>0</v>
      </c>
      <c r="N3694" s="481"/>
      <c r="O3694" s="557">
        <f>-TrialBalanceC!K95</f>
        <v>0</v>
      </c>
      <c r="P3694" s="459"/>
      <c r="Q3694" s="469"/>
      <c r="R3694" s="512" t="str">
        <f t="shared" si="254"/>
        <v>DELETE</v>
      </c>
    </row>
    <row r="3695" spans="2:26" ht="31.5" customHeight="1" x14ac:dyDescent="0.45">
      <c r="B3695" s="468"/>
      <c r="C3695" s="450"/>
      <c r="D3695" s="449" t="s">
        <v>634</v>
      </c>
      <c r="J3695" s="451"/>
      <c r="K3695" s="451"/>
      <c r="L3695" s="451"/>
      <c r="M3695" s="533">
        <f>IF(TrialBalanceC!I93&lt;0,-TrialBalanceC!I93,0)</f>
        <v>0</v>
      </c>
      <c r="N3695" s="470"/>
      <c r="O3695" s="553">
        <f>IF(TrialBalanceC!K93&lt;0,-TrialBalanceC!K93,0)</f>
        <v>0</v>
      </c>
      <c r="P3695" s="459"/>
      <c r="Q3695" s="469"/>
      <c r="R3695" s="512" t="str">
        <f t="shared" si="254"/>
        <v>DELETE</v>
      </c>
    </row>
    <row r="3696" spans="2:26" ht="31.5" customHeight="1" x14ac:dyDescent="0.45">
      <c r="B3696" s="468"/>
      <c r="C3696" s="450"/>
      <c r="D3696" s="449" t="s">
        <v>433</v>
      </c>
      <c r="J3696" s="451"/>
      <c r="K3696" s="451"/>
      <c r="L3696" s="451"/>
      <c r="M3696" s="533">
        <f>-TrialBalanceC!I83</f>
        <v>0</v>
      </c>
      <c r="N3696" s="470"/>
      <c r="O3696" s="553">
        <f>-TrialBalanceC!K83</f>
        <v>0</v>
      </c>
      <c r="P3696" s="459"/>
      <c r="Q3696" s="469"/>
      <c r="R3696" s="512" t="str">
        <f t="shared" si="254"/>
        <v>DELETE</v>
      </c>
    </row>
    <row r="3697" spans="2:26" ht="31.5" customHeight="1" x14ac:dyDescent="0.45">
      <c r="B3697" s="468"/>
      <c r="C3697" s="450"/>
      <c r="D3697" s="449" t="str">
        <f>TrialBalance!C96</f>
        <v>Revaluation of investment property</v>
      </c>
      <c r="J3697" s="451"/>
      <c r="K3697" s="451"/>
      <c r="L3697" s="451"/>
      <c r="M3697" s="533">
        <f>-TrialBalanceC!I96</f>
        <v>0</v>
      </c>
      <c r="N3697" s="470"/>
      <c r="O3697" s="553">
        <f>-TrialBalanceC!K96</f>
        <v>0</v>
      </c>
      <c r="P3697" s="459"/>
      <c r="Q3697" s="469"/>
      <c r="R3697" s="512" t="str">
        <f>IF(R$3549="DELETE","DELETE",IF(M3697+O3697=0,"DELETE"," "))</f>
        <v>DELETE</v>
      </c>
    </row>
    <row r="3698" spans="2:26" ht="9" customHeight="1" x14ac:dyDescent="0.45">
      <c r="B3698" s="468"/>
      <c r="C3698" s="450"/>
      <c r="J3698" s="451"/>
      <c r="K3698" s="451"/>
      <c r="L3698" s="451"/>
      <c r="M3698" s="534"/>
      <c r="N3698" s="473"/>
      <c r="O3698" s="554"/>
      <c r="P3698" s="459"/>
      <c r="Q3698" s="469"/>
      <c r="R3698" s="512" t="str">
        <f>R3688</f>
        <v>DELETE</v>
      </c>
    </row>
    <row r="3699" spans="2:26" ht="9" customHeight="1" x14ac:dyDescent="0.45">
      <c r="B3699" s="468"/>
      <c r="C3699" s="450"/>
      <c r="J3699" s="451"/>
      <c r="K3699" s="451"/>
      <c r="L3699" s="451"/>
      <c r="M3699" s="535"/>
      <c r="N3699" s="473"/>
      <c r="O3699" s="535"/>
      <c r="P3699" s="459"/>
      <c r="Q3699" s="469"/>
      <c r="R3699" s="512" t="str">
        <f>R3698</f>
        <v>DELETE</v>
      </c>
    </row>
    <row r="3700" spans="2:26" ht="9" customHeight="1" x14ac:dyDescent="0.45">
      <c r="B3700" s="468"/>
      <c r="C3700" s="450"/>
      <c r="J3700" s="451"/>
      <c r="K3700" s="451"/>
      <c r="L3700" s="451"/>
      <c r="M3700" s="531"/>
      <c r="N3700" s="470"/>
      <c r="O3700" s="531"/>
      <c r="P3700" s="459"/>
      <c r="Q3700" s="469"/>
      <c r="R3700" s="512" t="str">
        <f>R3699</f>
        <v>DELETE</v>
      </c>
    </row>
    <row r="3701" spans="2:26" ht="31.5" customHeight="1" x14ac:dyDescent="0.45">
      <c r="B3701" s="468"/>
      <c r="C3701" s="450"/>
      <c r="J3701" s="451"/>
      <c r="K3701" s="451"/>
      <c r="L3701" s="451"/>
      <c r="M3701" s="531">
        <f>SUM(S3561:S3698)</f>
        <v>0</v>
      </c>
      <c r="N3701" s="470"/>
      <c r="O3701" s="531">
        <f>SUM(U3561:U3698)</f>
        <v>0</v>
      </c>
      <c r="P3701" s="459"/>
      <c r="Q3701" s="469"/>
      <c r="R3701" s="512" t="str">
        <f>R3700</f>
        <v>DELETE</v>
      </c>
    </row>
    <row r="3702" spans="2:26" ht="31.5" customHeight="1" x14ac:dyDescent="0.45">
      <c r="B3702" s="468"/>
      <c r="C3702" s="450"/>
      <c r="J3702" s="451"/>
      <c r="K3702" s="451"/>
      <c r="L3702" s="451"/>
      <c r="M3702" s="531"/>
      <c r="N3702" s="470"/>
      <c r="O3702" s="531"/>
      <c r="P3702" s="459"/>
      <c r="Q3702" s="469"/>
      <c r="R3702" s="512" t="str">
        <f>R3701</f>
        <v>DELETE</v>
      </c>
    </row>
    <row r="3703" spans="2:26" ht="31.5" customHeight="1" x14ac:dyDescent="0.45">
      <c r="B3703" s="468"/>
      <c r="C3703" s="450" t="s">
        <v>318</v>
      </c>
      <c r="J3703" s="451"/>
      <c r="K3703" s="451">
        <f>FS!B1287</f>
        <v>7</v>
      </c>
      <c r="L3703" s="451"/>
      <c r="M3703" s="531">
        <f>SUM(TrialBalanceC!I142:I152)</f>
        <v>0</v>
      </c>
      <c r="N3703" s="470"/>
      <c r="O3703" s="531">
        <f>SUM(TrialBalanceC!K142:K152)</f>
        <v>0</v>
      </c>
      <c r="P3703" s="459"/>
      <c r="Q3703" s="469"/>
      <c r="R3703" s="512" t="str">
        <f t="shared" ref="R3703" si="255">IF(R$3549="DELETE","DELETE",IF(M3703+O3703=0,"DELETE"," "))</f>
        <v>DELETE</v>
      </c>
      <c r="S3703" s="517">
        <f>-M3703</f>
        <v>0</v>
      </c>
      <c r="T3703" s="517"/>
      <c r="U3703" s="517">
        <f>-O3703</f>
        <v>0</v>
      </c>
      <c r="V3703" s="517"/>
      <c r="W3703" s="517"/>
      <c r="X3703" s="517"/>
    </row>
    <row r="3704" spans="2:26" ht="9" customHeight="1" x14ac:dyDescent="0.45">
      <c r="B3704" s="468"/>
      <c r="C3704" s="450"/>
      <c r="J3704" s="451"/>
      <c r="K3704" s="451"/>
      <c r="L3704" s="451"/>
      <c r="M3704" s="535"/>
      <c r="N3704" s="473"/>
      <c r="O3704" s="535"/>
      <c r="P3704" s="459"/>
      <c r="Q3704" s="469"/>
      <c r="R3704" s="512" t="str">
        <f t="shared" ref="R3704:R3712" si="256">R$3549</f>
        <v>DELETE</v>
      </c>
    </row>
    <row r="3705" spans="2:26" ht="9" customHeight="1" x14ac:dyDescent="0.45">
      <c r="B3705" s="468"/>
      <c r="C3705" s="450"/>
      <c r="J3705" s="451"/>
      <c r="K3705" s="451"/>
      <c r="L3705" s="451"/>
      <c r="M3705" s="531"/>
      <c r="N3705" s="470"/>
      <c r="O3705" s="531"/>
      <c r="P3705" s="459"/>
      <c r="Q3705" s="469"/>
      <c r="R3705" s="512" t="str">
        <f t="shared" si="256"/>
        <v>DELETE</v>
      </c>
    </row>
    <row r="3706" spans="2:26" ht="31.5" customHeight="1" x14ac:dyDescent="0.45">
      <c r="B3706" s="468"/>
      <c r="C3706" s="492" t="str">
        <f>IF((Y3706+Z3706)=3,"PROFIT/(LOSS) BEFORE TAXATION",(IF((Y3706+Z3706=4),"PROFIT BEFORE TAXATION","LOSS BEFORE TAXATION")))</f>
        <v>PROFIT BEFORE TAXATION</v>
      </c>
      <c r="J3706" s="451"/>
      <c r="K3706" s="451"/>
      <c r="L3706" s="451"/>
      <c r="M3706" s="531">
        <f>SUM(S3561:S3705)</f>
        <v>0</v>
      </c>
      <c r="N3706" s="470"/>
      <c r="O3706" s="531">
        <f>SUM(U3561:U3705)</f>
        <v>0</v>
      </c>
      <c r="P3706" s="459"/>
      <c r="Q3706" s="469"/>
      <c r="R3706" s="512" t="str">
        <f t="shared" si="256"/>
        <v>DELETE</v>
      </c>
      <c r="V3706" s="513" t="b">
        <f>M3706=FS!M2739</f>
        <v>1</v>
      </c>
      <c r="X3706" s="513" t="b">
        <f>O3706=FS!O2739</f>
        <v>1</v>
      </c>
      <c r="Y3706" s="513">
        <f>IF(M3706&lt;0,1,IF(M3706=0,IF(O3706&lt;0,1,2),2))</f>
        <v>2</v>
      </c>
      <c r="Z3706" s="513">
        <f>IF(O3706&lt;0,1,IF(O3706=0,IF(M3706&lt;0,1,2),2))</f>
        <v>2</v>
      </c>
    </row>
    <row r="3707" spans="2:26" ht="9" customHeight="1" thickBot="1" x14ac:dyDescent="0.5">
      <c r="B3707" s="468"/>
      <c r="C3707" s="450"/>
      <c r="J3707" s="451"/>
      <c r="K3707" s="451"/>
      <c r="L3707" s="451"/>
      <c r="M3707" s="536"/>
      <c r="N3707" s="474"/>
      <c r="O3707" s="536"/>
      <c r="P3707" s="459"/>
      <c r="Q3707" s="469"/>
      <c r="R3707" s="512" t="str">
        <f t="shared" si="256"/>
        <v>DELETE</v>
      </c>
    </row>
    <row r="3708" spans="2:26" ht="9" customHeight="1" thickTop="1" x14ac:dyDescent="0.45">
      <c r="B3708" s="468"/>
      <c r="C3708" s="450"/>
      <c r="J3708" s="451"/>
      <c r="K3708" s="451"/>
      <c r="L3708" s="451"/>
      <c r="M3708" s="531"/>
      <c r="N3708" s="470"/>
      <c r="O3708" s="531"/>
      <c r="P3708" s="459"/>
      <c r="Q3708" s="469"/>
      <c r="R3708" s="512" t="str">
        <f t="shared" si="256"/>
        <v>DELETE</v>
      </c>
    </row>
    <row r="3709" spans="2:26" ht="31.5" customHeight="1" x14ac:dyDescent="0.45">
      <c r="B3709" s="468"/>
      <c r="C3709" s="450"/>
      <c r="J3709" s="451"/>
      <c r="K3709" s="451"/>
      <c r="L3709" s="451"/>
      <c r="M3709" s="531"/>
      <c r="N3709" s="470"/>
      <c r="O3709" s="531"/>
      <c r="P3709" s="459"/>
      <c r="Q3709" s="469"/>
      <c r="R3709" s="512" t="str">
        <f t="shared" si="256"/>
        <v>DELETE</v>
      </c>
    </row>
    <row r="3710" spans="2:26" ht="31.5" customHeight="1" x14ac:dyDescent="0.45">
      <c r="B3710" s="468"/>
      <c r="C3710" s="450"/>
      <c r="J3710" s="451"/>
      <c r="K3710" s="451"/>
      <c r="L3710" s="451"/>
      <c r="M3710" s="531"/>
      <c r="N3710" s="470"/>
      <c r="O3710" s="531"/>
      <c r="P3710" s="459"/>
      <c r="Q3710" s="469"/>
      <c r="R3710" s="512" t="str">
        <f t="shared" si="256"/>
        <v>DELETE</v>
      </c>
    </row>
    <row r="3711" spans="2:26" ht="31.5" customHeight="1" x14ac:dyDescent="0.45">
      <c r="B3711" s="477"/>
      <c r="C3711" s="461"/>
      <c r="D3711" s="461"/>
      <c r="E3711" s="461"/>
      <c r="F3711" s="461"/>
      <c r="G3711" s="461"/>
      <c r="H3711" s="461"/>
      <c r="I3711" s="461"/>
      <c r="J3711" s="461"/>
      <c r="K3711" s="461"/>
      <c r="L3711" s="461"/>
      <c r="M3711" s="640"/>
      <c r="N3711" s="646"/>
      <c r="O3711" s="640"/>
      <c r="P3711" s="631"/>
      <c r="Q3711" s="479"/>
      <c r="R3711" s="512" t="str">
        <f t="shared" si="256"/>
        <v>DELETE</v>
      </c>
    </row>
    <row r="3712" spans="2:26" ht="31.5" customHeight="1" x14ac:dyDescent="0.45">
      <c r="M3712" s="635"/>
      <c r="N3712" s="621"/>
      <c r="O3712" s="635"/>
      <c r="R3712" s="512" t="str">
        <f t="shared" si="256"/>
        <v>DELETE</v>
      </c>
    </row>
    <row r="3713" spans="2:24" ht="31.5" customHeight="1" x14ac:dyDescent="0.45">
      <c r="M3713" s="635"/>
      <c r="N3713" s="621"/>
      <c r="O3713" s="635"/>
      <c r="R3713" s="512" t="str">
        <f>IF(SUM(U3561:U3565)+SUM(U3581:U3590)+SUM(U3688:U3698)+O3706=0,IF(SUM(S3725:S3727)+SUM(S3745:S3752)+SUM(S3852:S3862)+O3870=0,"DELETE"," "),"DELETE")</f>
        <v>DELETE</v>
      </c>
      <c r="V3713" s="516"/>
      <c r="W3713" s="516"/>
      <c r="X3713" s="516"/>
    </row>
    <row r="3714" spans="2:24" ht="31.5" customHeight="1" x14ac:dyDescent="0.45">
      <c r="D3714" s="450" t="s">
        <v>760</v>
      </c>
      <c r="M3714" s="635"/>
      <c r="N3714" s="621"/>
      <c r="O3714" s="635"/>
      <c r="R3714" s="512" t="str">
        <f>R$3713</f>
        <v>DELETE</v>
      </c>
      <c r="V3714" s="515"/>
      <c r="X3714" s="515"/>
    </row>
    <row r="3715" spans="2:24" ht="31.5" customHeight="1" x14ac:dyDescent="0.45">
      <c r="M3715" s="635"/>
      <c r="N3715" s="621"/>
      <c r="O3715" s="635"/>
      <c r="R3715" s="512" t="str">
        <f t="shared" ref="R3715:R3724" si="257">R$3713</f>
        <v>DELETE</v>
      </c>
    </row>
    <row r="3716" spans="2:24" ht="31.5" customHeight="1" x14ac:dyDescent="0.45">
      <c r="D3716" s="450" t="str">
        <f>Criteria!E9</f>
        <v>ABC COMPANY (PROPRIETARY) LIMITED</v>
      </c>
      <c r="M3716" s="635"/>
      <c r="N3716" s="621"/>
      <c r="O3716" s="531" t="s">
        <v>121</v>
      </c>
      <c r="Q3716" s="451">
        <v>1</v>
      </c>
      <c r="R3716" s="512" t="str">
        <f t="shared" si="257"/>
        <v>DELETE</v>
      </c>
    </row>
    <row r="3717" spans="2:24" ht="31.5" customHeight="1" x14ac:dyDescent="0.45">
      <c r="D3717" s="450" t="str">
        <f>CONCATENATE("T/A ",Criteria!E16)</f>
        <v xml:space="preserve">T/A </v>
      </c>
      <c r="M3717" s="635"/>
      <c r="N3717" s="621"/>
      <c r="O3717" s="635"/>
      <c r="R3717" s="512" t="str">
        <f t="shared" si="257"/>
        <v>DELETE</v>
      </c>
    </row>
    <row r="3718" spans="2:24" ht="31.5" customHeight="1" x14ac:dyDescent="0.45">
      <c r="M3718" s="635"/>
      <c r="N3718" s="621"/>
      <c r="O3718" s="635"/>
      <c r="R3718" s="512" t="str">
        <f t="shared" si="257"/>
        <v>DELETE</v>
      </c>
    </row>
    <row r="3719" spans="2:24" ht="31.5" customHeight="1" x14ac:dyDescent="0.45">
      <c r="D3719" s="450" t="s">
        <v>115</v>
      </c>
      <c r="M3719" s="635"/>
      <c r="N3719" s="621"/>
      <c r="O3719" s="635"/>
      <c r="R3719" s="512" t="str">
        <f t="shared" si="257"/>
        <v>DELETE</v>
      </c>
    </row>
    <row r="3720" spans="2:24" ht="31.5" customHeight="1" x14ac:dyDescent="0.45">
      <c r="D3720" s="450" t="str">
        <f>Criteria!E20</f>
        <v>29 FEBRUARY 2024</v>
      </c>
      <c r="M3720" s="635"/>
      <c r="N3720" s="621"/>
      <c r="O3720" s="635"/>
      <c r="R3720" s="512" t="str">
        <f t="shared" si="257"/>
        <v>DELETE</v>
      </c>
    </row>
    <row r="3721" spans="2:24" ht="31.5" customHeight="1" x14ac:dyDescent="0.45">
      <c r="M3721" s="635"/>
      <c r="N3721" s="621"/>
      <c r="O3721" s="635"/>
      <c r="R3721" s="512" t="str">
        <f t="shared" si="257"/>
        <v>DELETE</v>
      </c>
    </row>
    <row r="3722" spans="2:24" ht="31.5" customHeight="1" x14ac:dyDescent="0.45">
      <c r="B3722" s="465"/>
      <c r="C3722" s="466"/>
      <c r="D3722" s="466"/>
      <c r="E3722" s="466"/>
      <c r="F3722" s="466"/>
      <c r="G3722" s="466"/>
      <c r="H3722" s="466"/>
      <c r="I3722" s="466"/>
      <c r="J3722" s="466"/>
      <c r="K3722" s="466"/>
      <c r="L3722" s="466"/>
      <c r="M3722" s="648"/>
      <c r="N3722" s="649"/>
      <c r="O3722" s="648"/>
      <c r="P3722" s="643"/>
      <c r="Q3722" s="467"/>
      <c r="R3722" s="512" t="str">
        <f t="shared" si="257"/>
        <v>DELETE</v>
      </c>
    </row>
    <row r="3723" spans="2:24" ht="31.5" customHeight="1" x14ac:dyDescent="0.45">
      <c r="B3723" s="468"/>
      <c r="J3723" s="451"/>
      <c r="K3723" s="451" t="s">
        <v>129</v>
      </c>
      <c r="L3723" s="452"/>
      <c r="M3723" s="40"/>
      <c r="N3723" s="451"/>
      <c r="O3723" s="525">
        <f>Criteria!E22</f>
        <v>2024</v>
      </c>
      <c r="P3723" s="459"/>
      <c r="Q3723" s="469"/>
      <c r="R3723" s="512" t="str">
        <f t="shared" si="257"/>
        <v>DELETE</v>
      </c>
    </row>
    <row r="3724" spans="2:24" ht="31.5" customHeight="1" x14ac:dyDescent="0.45">
      <c r="B3724" s="468"/>
      <c r="J3724" s="451"/>
      <c r="K3724" s="451"/>
      <c r="L3724" s="452"/>
      <c r="M3724" s="40"/>
      <c r="N3724" s="451"/>
      <c r="O3724" s="531"/>
      <c r="P3724" s="459"/>
      <c r="Q3724" s="469"/>
      <c r="R3724" s="512" t="str">
        <f t="shared" si="257"/>
        <v>DELETE</v>
      </c>
    </row>
    <row r="3725" spans="2:24" ht="31.5" customHeight="1" x14ac:dyDescent="0.45">
      <c r="B3725" s="468"/>
      <c r="C3725" s="450" t="s">
        <v>137</v>
      </c>
      <c r="J3725" s="451"/>
      <c r="K3725" s="451"/>
      <c r="L3725" s="452"/>
      <c r="M3725" s="40"/>
      <c r="N3725" s="451"/>
      <c r="O3725" s="531">
        <f>-SUM(TrialBalanceC!I5:I10)</f>
        <v>0</v>
      </c>
      <c r="P3725" s="459"/>
      <c r="Q3725" s="469"/>
      <c r="R3725" s="512" t="str">
        <f>IF(R3713="DELETE","DELETE",IF(O3725=0,IF(O3727=0," ","DELETE")," "))</f>
        <v>DELETE</v>
      </c>
      <c r="S3725" s="517">
        <f>O3725</f>
        <v>0</v>
      </c>
      <c r="T3725" s="517"/>
      <c r="U3725" s="517"/>
      <c r="V3725" s="517"/>
      <c r="W3725" s="517"/>
      <c r="X3725" s="517"/>
    </row>
    <row r="3726" spans="2:24" ht="31.5" customHeight="1" x14ac:dyDescent="0.45">
      <c r="B3726" s="468"/>
      <c r="C3726" s="450"/>
      <c r="J3726" s="451"/>
      <c r="K3726" s="451"/>
      <c r="L3726" s="452"/>
      <c r="M3726" s="40"/>
      <c r="N3726" s="451"/>
      <c r="O3726" s="531"/>
      <c r="P3726" s="459"/>
      <c r="Q3726" s="469"/>
      <c r="R3726" s="512" t="str">
        <f>R3725</f>
        <v>DELETE</v>
      </c>
      <c r="S3726" s="517"/>
      <c r="T3726" s="517"/>
      <c r="U3726" s="517"/>
      <c r="V3726" s="517"/>
      <c r="W3726" s="517"/>
      <c r="X3726" s="517"/>
    </row>
    <row r="3727" spans="2:24" ht="31.5" customHeight="1" x14ac:dyDescent="0.45">
      <c r="B3727" s="468"/>
      <c r="C3727" s="450" t="s">
        <v>606</v>
      </c>
      <c r="J3727" s="451"/>
      <c r="K3727" s="451"/>
      <c r="L3727" s="452"/>
      <c r="M3727" s="40"/>
      <c r="N3727" s="451"/>
      <c r="O3727" s="531">
        <f>-TrialBalanceC!I11</f>
        <v>0</v>
      </c>
      <c r="P3727" s="459"/>
      <c r="Q3727" s="469"/>
      <c r="R3727" s="512" t="str">
        <f>IF(R3713="DELETE","DELETE",IF(O3727=0,"DELETE"," "))</f>
        <v>DELETE</v>
      </c>
      <c r="S3727" s="517">
        <f>O3727</f>
        <v>0</v>
      </c>
      <c r="T3727" s="517"/>
      <c r="U3727" s="517"/>
      <c r="V3727" s="517"/>
      <c r="W3727" s="517"/>
      <c r="X3727" s="517"/>
    </row>
    <row r="3728" spans="2:24" ht="31.5" customHeight="1" x14ac:dyDescent="0.45">
      <c r="B3728" s="468"/>
      <c r="C3728" s="450"/>
      <c r="J3728" s="451"/>
      <c r="K3728" s="451"/>
      <c r="L3728" s="452"/>
      <c r="M3728" s="40"/>
      <c r="N3728" s="451"/>
      <c r="O3728" s="531"/>
      <c r="P3728" s="459"/>
      <c r="Q3728" s="469"/>
      <c r="R3728" s="512" t="str">
        <f>R3727</f>
        <v>DELETE</v>
      </c>
    </row>
    <row r="3729" spans="2:24" ht="31.5" customHeight="1" x14ac:dyDescent="0.45">
      <c r="B3729" s="468"/>
      <c r="C3729" s="450" t="s">
        <v>333</v>
      </c>
      <c r="J3729" s="451"/>
      <c r="K3729" s="451"/>
      <c r="L3729" s="452"/>
      <c r="M3729" s="40"/>
      <c r="N3729" s="451"/>
      <c r="O3729" s="531">
        <f>SUM(O3732:O3739)</f>
        <v>0</v>
      </c>
      <c r="P3729" s="459"/>
      <c r="Q3729" s="469"/>
      <c r="R3729" s="512" t="str">
        <f>IF(R$3713="DELETE","DELETE",IF(O3729=0,"DELETE"," "))</f>
        <v>DELETE</v>
      </c>
      <c r="S3729" s="517">
        <f>-O3729</f>
        <v>0</v>
      </c>
      <c r="T3729" s="517"/>
      <c r="U3729" s="517"/>
      <c r="V3729" s="517"/>
      <c r="W3729" s="517"/>
      <c r="X3729" s="517"/>
    </row>
    <row r="3730" spans="2:24" ht="9" customHeight="1" x14ac:dyDescent="0.45">
      <c r="B3730" s="468"/>
      <c r="C3730" s="450"/>
      <c r="J3730" s="451"/>
      <c r="K3730" s="451"/>
      <c r="L3730" s="452"/>
      <c r="M3730" s="40"/>
      <c r="N3730" s="451"/>
      <c r="O3730" s="531"/>
      <c r="P3730" s="459"/>
      <c r="Q3730" s="469"/>
      <c r="R3730" s="512" t="str">
        <f>R3729</f>
        <v>DELETE</v>
      </c>
    </row>
    <row r="3731" spans="2:24" ht="9" customHeight="1" x14ac:dyDescent="0.45">
      <c r="B3731" s="468"/>
      <c r="C3731" s="450"/>
      <c r="J3731" s="451"/>
      <c r="K3731" s="451"/>
      <c r="L3731" s="452"/>
      <c r="M3731" s="40"/>
      <c r="N3731" s="451"/>
      <c r="O3731" s="558"/>
      <c r="P3731" s="459"/>
      <c r="Q3731" s="469"/>
      <c r="R3731" s="512" t="str">
        <f>R3730</f>
        <v>DELETE</v>
      </c>
    </row>
    <row r="3732" spans="2:24" ht="31.5" customHeight="1" x14ac:dyDescent="0.45">
      <c r="B3732" s="468"/>
      <c r="C3732" s="450"/>
      <c r="D3732" s="449" t="s">
        <v>608</v>
      </c>
      <c r="J3732" s="451"/>
      <c r="K3732" s="451"/>
      <c r="L3732" s="452"/>
      <c r="M3732" s="40"/>
      <c r="N3732" s="451"/>
      <c r="O3732" s="559">
        <f>SUM(TrialBalanceC!I13:I16)</f>
        <v>0</v>
      </c>
      <c r="P3732" s="459"/>
      <c r="Q3732" s="469"/>
      <c r="R3732" s="512" t="str">
        <f t="shared" ref="R3732:R3739" si="258">IF(R$3713="DELETE","DELETE",IF(O3732=0,"DELETE"," "))</f>
        <v>DELETE</v>
      </c>
    </row>
    <row r="3733" spans="2:24" ht="31.5" customHeight="1" x14ac:dyDescent="0.45">
      <c r="B3733" s="468"/>
      <c r="C3733" s="450"/>
      <c r="D3733" s="449" t="s">
        <v>334</v>
      </c>
      <c r="J3733" s="451"/>
      <c r="K3733" s="451"/>
      <c r="L3733" s="452"/>
      <c r="M3733" s="40"/>
      <c r="N3733" s="451"/>
      <c r="O3733" s="559">
        <f>TrialBalanceC!I17</f>
        <v>0</v>
      </c>
      <c r="P3733" s="459"/>
      <c r="Q3733" s="469"/>
      <c r="R3733" s="512" t="str">
        <f t="shared" si="258"/>
        <v>DELETE</v>
      </c>
    </row>
    <row r="3734" spans="2:24" ht="31.5" customHeight="1" x14ac:dyDescent="0.45">
      <c r="B3734" s="468"/>
      <c r="C3734" s="450"/>
      <c r="D3734" s="449">
        <f>TrialBalanceC!C18</f>
        <v>0</v>
      </c>
      <c r="J3734" s="451"/>
      <c r="K3734" s="451"/>
      <c r="L3734" s="452"/>
      <c r="M3734" s="40"/>
      <c r="N3734" s="451"/>
      <c r="O3734" s="559">
        <f>TrialBalanceC!I18</f>
        <v>0</v>
      </c>
      <c r="P3734" s="459"/>
      <c r="Q3734" s="469"/>
      <c r="R3734" s="512" t="str">
        <f t="shared" si="258"/>
        <v>DELETE</v>
      </c>
    </row>
    <row r="3735" spans="2:24" ht="31.5" customHeight="1" x14ac:dyDescent="0.45">
      <c r="B3735" s="468"/>
      <c r="C3735" s="450"/>
      <c r="D3735" s="449">
        <f>TrialBalanceC!C19</f>
        <v>0</v>
      </c>
      <c r="J3735" s="451"/>
      <c r="K3735" s="451"/>
      <c r="L3735" s="452"/>
      <c r="M3735" s="40"/>
      <c r="N3735" s="451"/>
      <c r="O3735" s="559">
        <f>TrialBalanceC!I19</f>
        <v>0</v>
      </c>
      <c r="P3735" s="459"/>
      <c r="Q3735" s="469"/>
      <c r="R3735" s="512" t="str">
        <f t="shared" si="258"/>
        <v>DELETE</v>
      </c>
    </row>
    <row r="3736" spans="2:24" ht="31.5" customHeight="1" x14ac:dyDescent="0.45">
      <c r="B3736" s="468"/>
      <c r="C3736" s="450"/>
      <c r="D3736" s="449">
        <f>TrialBalanceC!C20</f>
        <v>0</v>
      </c>
      <c r="J3736" s="451"/>
      <c r="K3736" s="451"/>
      <c r="L3736" s="452"/>
      <c r="M3736" s="40"/>
      <c r="N3736" s="451"/>
      <c r="O3736" s="559">
        <f>TrialBalanceC!I20</f>
        <v>0</v>
      </c>
      <c r="P3736" s="459"/>
      <c r="Q3736" s="469"/>
      <c r="R3736" s="512" t="str">
        <f t="shared" si="258"/>
        <v>DELETE</v>
      </c>
    </row>
    <row r="3737" spans="2:24" ht="31.5" customHeight="1" x14ac:dyDescent="0.45">
      <c r="B3737" s="468"/>
      <c r="C3737" s="450"/>
      <c r="D3737" s="449">
        <f>TrialBalanceC!C21</f>
        <v>0</v>
      </c>
      <c r="J3737" s="451"/>
      <c r="K3737" s="451"/>
      <c r="L3737" s="452"/>
      <c r="M3737" s="40"/>
      <c r="N3737" s="451"/>
      <c r="O3737" s="559">
        <f>TrialBalanceC!I21</f>
        <v>0</v>
      </c>
      <c r="P3737" s="459"/>
      <c r="Q3737" s="469"/>
      <c r="R3737" s="512" t="str">
        <f t="shared" si="258"/>
        <v>DELETE</v>
      </c>
    </row>
    <row r="3738" spans="2:24" ht="31.5" customHeight="1" x14ac:dyDescent="0.45">
      <c r="B3738" s="468"/>
      <c r="C3738" s="450"/>
      <c r="D3738" s="449">
        <f>TrialBalanceC!C22</f>
        <v>0</v>
      </c>
      <c r="J3738" s="451"/>
      <c r="K3738" s="451"/>
      <c r="L3738" s="452"/>
      <c r="M3738" s="40"/>
      <c r="N3738" s="451"/>
      <c r="O3738" s="559">
        <f>TrialBalanceC!I22</f>
        <v>0</v>
      </c>
      <c r="P3738" s="459"/>
      <c r="Q3738" s="469"/>
      <c r="R3738" s="512" t="str">
        <f t="shared" si="258"/>
        <v>DELETE</v>
      </c>
    </row>
    <row r="3739" spans="2:24" ht="31.5" customHeight="1" x14ac:dyDescent="0.45">
      <c r="B3739" s="468"/>
      <c r="C3739" s="450"/>
      <c r="D3739" s="449" t="s">
        <v>609</v>
      </c>
      <c r="J3739" s="451"/>
      <c r="K3739" s="451"/>
      <c r="L3739" s="452"/>
      <c r="M3739" s="40"/>
      <c r="N3739" s="451"/>
      <c r="O3739" s="559">
        <f>SUM(TrialBalanceC!I23:I26)</f>
        <v>0</v>
      </c>
      <c r="P3739" s="459"/>
      <c r="Q3739" s="469"/>
      <c r="R3739" s="512" t="str">
        <f t="shared" si="258"/>
        <v>DELETE</v>
      </c>
    </row>
    <row r="3740" spans="2:24" ht="9" customHeight="1" x14ac:dyDescent="0.45">
      <c r="B3740" s="468"/>
      <c r="C3740" s="450"/>
      <c r="J3740" s="451"/>
      <c r="K3740" s="451"/>
      <c r="L3740" s="452"/>
      <c r="M3740" s="40"/>
      <c r="N3740" s="451"/>
      <c r="O3740" s="560"/>
      <c r="P3740" s="459"/>
      <c r="Q3740" s="469"/>
      <c r="R3740" s="512" t="str">
        <f>R3729</f>
        <v>DELETE</v>
      </c>
    </row>
    <row r="3741" spans="2:24" ht="9" customHeight="1" x14ac:dyDescent="0.45">
      <c r="B3741" s="468"/>
      <c r="C3741" s="450"/>
      <c r="J3741" s="451"/>
      <c r="K3741" s="451"/>
      <c r="L3741" s="452"/>
      <c r="M3741" s="40"/>
      <c r="N3741" s="451"/>
      <c r="O3741" s="535"/>
      <c r="P3741" s="459"/>
      <c r="Q3741" s="469"/>
      <c r="R3741" s="512" t="str">
        <f>R3729</f>
        <v>DELETE</v>
      </c>
    </row>
    <row r="3742" spans="2:24" ht="9" customHeight="1" x14ac:dyDescent="0.45">
      <c r="B3742" s="468"/>
      <c r="C3742" s="450"/>
      <c r="J3742" s="451"/>
      <c r="K3742" s="451"/>
      <c r="L3742" s="452"/>
      <c r="M3742" s="40"/>
      <c r="N3742" s="451"/>
      <c r="O3742" s="531"/>
      <c r="P3742" s="459"/>
      <c r="Q3742" s="469"/>
      <c r="R3742" s="512" t="str">
        <f>R3741</f>
        <v>DELETE</v>
      </c>
    </row>
    <row r="3743" spans="2:24" ht="31.5" customHeight="1" x14ac:dyDescent="0.45">
      <c r="B3743" s="468"/>
      <c r="C3743" s="492" t="str">
        <f>IF(O3743&lt;0,"GROSS LOSS","GROSS PROFIT")</f>
        <v>GROSS PROFIT</v>
      </c>
      <c r="J3743" s="451"/>
      <c r="K3743" s="451"/>
      <c r="L3743" s="452"/>
      <c r="M3743" s="40"/>
      <c r="N3743" s="451"/>
      <c r="O3743" s="531">
        <f>SUM(S3725:S3740)</f>
        <v>0</v>
      </c>
      <c r="P3743" s="459"/>
      <c r="Q3743" s="469"/>
      <c r="R3743" s="512" t="str">
        <f>R3742</f>
        <v>DELETE</v>
      </c>
    </row>
    <row r="3744" spans="2:24" ht="31.5" customHeight="1" x14ac:dyDescent="0.45">
      <c r="B3744" s="468"/>
      <c r="C3744" s="450"/>
      <c r="J3744" s="451"/>
      <c r="K3744" s="451"/>
      <c r="L3744" s="452"/>
      <c r="M3744" s="40"/>
      <c r="N3744" s="451"/>
      <c r="O3744" s="531"/>
      <c r="P3744" s="459"/>
      <c r="Q3744" s="469"/>
      <c r="R3744" s="512" t="str">
        <f>R3743</f>
        <v>DELETE</v>
      </c>
    </row>
    <row r="3745" spans="2:24" ht="31.5" customHeight="1" x14ac:dyDescent="0.45">
      <c r="B3745" s="468"/>
      <c r="C3745" s="450" t="s">
        <v>385</v>
      </c>
      <c r="J3745" s="451"/>
      <c r="K3745" s="451"/>
      <c r="L3745" s="452"/>
      <c r="M3745" s="40"/>
      <c r="N3745" s="451"/>
      <c r="O3745" s="531">
        <f>SUM(O3747:O3754)</f>
        <v>0</v>
      </c>
      <c r="P3745" s="459"/>
      <c r="Q3745" s="469"/>
      <c r="R3745" s="512" t="str">
        <f t="shared" ref="R3745" si="259">IF(R$3713="DELETE","DELETE",IF(O3745=0,"DELETE"," "))</f>
        <v>DELETE</v>
      </c>
      <c r="S3745" s="517">
        <f>O3745</f>
        <v>0</v>
      </c>
      <c r="T3745" s="517"/>
      <c r="U3745" s="517"/>
    </row>
    <row r="3746" spans="2:24" ht="9" customHeight="1" x14ac:dyDescent="0.45">
      <c r="B3746" s="468"/>
      <c r="C3746" s="450"/>
      <c r="J3746" s="451"/>
      <c r="K3746" s="451"/>
      <c r="L3746" s="452"/>
      <c r="M3746" s="40"/>
      <c r="N3746" s="451"/>
      <c r="O3746" s="531"/>
      <c r="P3746" s="459"/>
      <c r="Q3746" s="469"/>
      <c r="R3746" s="512" t="str">
        <f>R3745</f>
        <v>DELETE</v>
      </c>
    </row>
    <row r="3747" spans="2:24" ht="9" customHeight="1" x14ac:dyDescent="0.45">
      <c r="B3747" s="468"/>
      <c r="C3747" s="450"/>
      <c r="J3747" s="451"/>
      <c r="K3747" s="451"/>
      <c r="L3747" s="452"/>
      <c r="M3747" s="40"/>
      <c r="N3747" s="451"/>
      <c r="O3747" s="558"/>
      <c r="P3747" s="459"/>
      <c r="Q3747" s="469"/>
      <c r="R3747" s="512" t="str">
        <f>R3745</f>
        <v>DELETE</v>
      </c>
    </row>
    <row r="3748" spans="2:24" ht="31.5" customHeight="1" x14ac:dyDescent="0.45">
      <c r="B3748" s="468"/>
      <c r="C3748" s="450"/>
      <c r="D3748" s="449" t="str">
        <f>TrialBalanceC!C28</f>
        <v xml:space="preserve">Insurance claims - </v>
      </c>
      <c r="J3748" s="451"/>
      <c r="K3748" s="451"/>
      <c r="L3748" s="452"/>
      <c r="M3748" s="40"/>
      <c r="N3748" s="451"/>
      <c r="O3748" s="559">
        <f>-TrialBalanceC!I28</f>
        <v>0</v>
      </c>
      <c r="P3748" s="459"/>
      <c r="Q3748" s="469"/>
      <c r="R3748" s="512" t="str">
        <f t="shared" ref="R3748:R3752" si="260">IF(R$3713="DELETE","DELETE",IF(O3748=0,"DELETE"," "))</f>
        <v>DELETE</v>
      </c>
    </row>
    <row r="3749" spans="2:24" ht="31.5" customHeight="1" x14ac:dyDescent="0.45">
      <c r="B3749" s="468"/>
      <c r="C3749" s="450"/>
      <c r="D3749" s="449" t="str">
        <f>TrialBalanceC!C29</f>
        <v>Government grants received</v>
      </c>
      <c r="J3749" s="451"/>
      <c r="K3749" s="451"/>
      <c r="L3749" s="452"/>
      <c r="M3749" s="40"/>
      <c r="N3749" s="451"/>
      <c r="O3749" s="559">
        <f>-TrialBalanceC!I29</f>
        <v>0</v>
      </c>
      <c r="P3749" s="459"/>
      <c r="Q3749" s="469"/>
      <c r="R3749" s="512" t="str">
        <f t="shared" si="260"/>
        <v>DELETE</v>
      </c>
    </row>
    <row r="3750" spans="2:24" ht="31.5" customHeight="1" x14ac:dyDescent="0.45">
      <c r="B3750" s="468"/>
      <c r="C3750" s="450"/>
      <c r="D3750" s="449">
        <f>TrialBalanceC!C30</f>
        <v>0</v>
      </c>
      <c r="J3750" s="451"/>
      <c r="K3750" s="451"/>
      <c r="L3750" s="452"/>
      <c r="M3750" s="40"/>
      <c r="N3750" s="451"/>
      <c r="O3750" s="559">
        <f>-TrialBalanceC!I30</f>
        <v>0</v>
      </c>
      <c r="P3750" s="459"/>
      <c r="Q3750" s="469"/>
      <c r="R3750" s="512" t="str">
        <f t="shared" si="260"/>
        <v>DELETE</v>
      </c>
    </row>
    <row r="3751" spans="2:24" ht="31.5" customHeight="1" x14ac:dyDescent="0.45">
      <c r="B3751" s="468"/>
      <c r="C3751" s="450"/>
      <c r="D3751" s="449">
        <f>TrialBalanceC!C31</f>
        <v>0</v>
      </c>
      <c r="J3751" s="451"/>
      <c r="K3751" s="451"/>
      <c r="L3751" s="452"/>
      <c r="M3751" s="40"/>
      <c r="N3751" s="451"/>
      <c r="O3751" s="559">
        <f>-TrialBalanceC!I31</f>
        <v>0</v>
      </c>
      <c r="P3751" s="459"/>
      <c r="Q3751" s="469"/>
      <c r="R3751" s="512" t="str">
        <f t="shared" si="260"/>
        <v>DELETE</v>
      </c>
    </row>
    <row r="3752" spans="2:24" ht="31.5" customHeight="1" x14ac:dyDescent="0.45">
      <c r="B3752" s="468"/>
      <c r="C3752" s="450"/>
      <c r="D3752" s="449">
        <f>TrialBalanceC!C32</f>
        <v>0</v>
      </c>
      <c r="J3752" s="451"/>
      <c r="K3752" s="451"/>
      <c r="L3752" s="452"/>
      <c r="M3752" s="40"/>
      <c r="N3752" s="451"/>
      <c r="O3752" s="559">
        <f>-TrialBalanceC!I32</f>
        <v>0</v>
      </c>
      <c r="P3752" s="459"/>
      <c r="Q3752" s="469"/>
      <c r="R3752" s="512" t="str">
        <f t="shared" si="260"/>
        <v>DELETE</v>
      </c>
    </row>
    <row r="3753" spans="2:24" ht="31.5" customHeight="1" x14ac:dyDescent="0.45">
      <c r="B3753" s="468"/>
      <c r="C3753" s="450"/>
      <c r="D3753" s="449" t="str">
        <f>TrialBalanceC!C33</f>
        <v>Recoupment of depreciation</v>
      </c>
      <c r="J3753" s="451"/>
      <c r="K3753" s="451"/>
      <c r="L3753" s="452"/>
      <c r="M3753" s="40"/>
      <c r="N3753" s="451"/>
      <c r="O3753" s="559">
        <f>-TrialBalanceC!I33</f>
        <v>0</v>
      </c>
      <c r="P3753" s="459"/>
      <c r="Q3753" s="469"/>
      <c r="R3753" s="512" t="str">
        <f t="shared" ref="R3753" si="261">IF(R$3713="DELETE","DELETE",IF(O3753=0,"DELETE"," "))</f>
        <v>DELETE</v>
      </c>
    </row>
    <row r="3754" spans="2:24" ht="9" customHeight="1" x14ac:dyDescent="0.45">
      <c r="B3754" s="468"/>
      <c r="C3754" s="450"/>
      <c r="J3754" s="451"/>
      <c r="K3754" s="451"/>
      <c r="L3754" s="452"/>
      <c r="M3754" s="40"/>
      <c r="N3754" s="451"/>
      <c r="O3754" s="560"/>
      <c r="P3754" s="459"/>
      <c r="Q3754" s="469"/>
      <c r="R3754" s="512" t="str">
        <f>R3745</f>
        <v>DELETE</v>
      </c>
    </row>
    <row r="3755" spans="2:24" ht="9" customHeight="1" x14ac:dyDescent="0.45">
      <c r="B3755" s="468"/>
      <c r="C3755" s="450"/>
      <c r="J3755" s="451"/>
      <c r="K3755" s="451"/>
      <c r="L3755" s="452"/>
      <c r="M3755" s="40"/>
      <c r="N3755" s="451"/>
      <c r="O3755" s="547"/>
      <c r="P3755" s="459"/>
      <c r="Q3755" s="469"/>
      <c r="R3755" s="512" t="str">
        <f>R3754</f>
        <v>DELETE</v>
      </c>
    </row>
    <row r="3756" spans="2:24" ht="9" customHeight="1" x14ac:dyDescent="0.45">
      <c r="B3756" s="468"/>
      <c r="C3756" s="450"/>
      <c r="J3756" s="451"/>
      <c r="K3756" s="451"/>
      <c r="L3756" s="452"/>
      <c r="M3756" s="40"/>
      <c r="N3756" s="451"/>
      <c r="O3756" s="531"/>
      <c r="P3756" s="459"/>
      <c r="Q3756" s="469"/>
      <c r="R3756" s="512" t="str">
        <f>R3755</f>
        <v>DELETE</v>
      </c>
    </row>
    <row r="3757" spans="2:24" ht="31.5" customHeight="1" x14ac:dyDescent="0.45">
      <c r="B3757" s="468"/>
      <c r="C3757" s="450"/>
      <c r="J3757" s="451"/>
      <c r="K3757" s="451"/>
      <c r="L3757" s="452"/>
      <c r="M3757" s="40"/>
      <c r="N3757" s="451"/>
      <c r="O3757" s="531">
        <f>SUM(S3725:S3745)</f>
        <v>0</v>
      </c>
      <c r="P3757" s="459"/>
      <c r="Q3757" s="469"/>
      <c r="R3757" s="512" t="str">
        <f>R3745</f>
        <v>DELETE</v>
      </c>
    </row>
    <row r="3758" spans="2:24" ht="31.5" customHeight="1" x14ac:dyDescent="0.45">
      <c r="B3758" s="468"/>
      <c r="C3758" s="450"/>
      <c r="J3758" s="451"/>
      <c r="K3758" s="451"/>
      <c r="L3758" s="452"/>
      <c r="M3758" s="40"/>
      <c r="N3758" s="451"/>
      <c r="O3758" s="531"/>
      <c r="P3758" s="459"/>
      <c r="Q3758" s="469"/>
      <c r="R3758" s="512" t="str">
        <f>R3757</f>
        <v>DELETE</v>
      </c>
    </row>
    <row r="3759" spans="2:24" ht="31.5" customHeight="1" x14ac:dyDescent="0.45">
      <c r="B3759" s="468"/>
      <c r="C3759" s="450" t="s">
        <v>1416</v>
      </c>
      <c r="J3759" s="451"/>
      <c r="K3759" s="451"/>
      <c r="L3759" s="452"/>
      <c r="M3759" s="40"/>
      <c r="N3759" s="451"/>
      <c r="O3759" s="531">
        <f>SUM(O3761:O3789)</f>
        <v>0</v>
      </c>
      <c r="P3759" s="459"/>
      <c r="Q3759" s="469"/>
      <c r="R3759" s="512" t="str">
        <f t="shared" ref="R3759" si="262">IF(R$3713="DELETE","DELETE",IF(O3759=0,"DELETE"," "))</f>
        <v>DELETE</v>
      </c>
      <c r="S3759" s="517">
        <f>-O3759</f>
        <v>0</v>
      </c>
      <c r="T3759" s="517"/>
      <c r="U3759" s="517"/>
      <c r="V3759" s="517"/>
      <c r="W3759" s="517"/>
      <c r="X3759" s="517"/>
    </row>
    <row r="3760" spans="2:24" ht="9" customHeight="1" x14ac:dyDescent="0.45">
      <c r="B3760" s="468"/>
      <c r="C3760" s="450"/>
      <c r="J3760" s="451"/>
      <c r="K3760" s="451"/>
      <c r="L3760" s="452"/>
      <c r="M3760" s="40"/>
      <c r="N3760" s="451"/>
      <c r="O3760" s="531"/>
      <c r="P3760" s="459"/>
      <c r="Q3760" s="469"/>
      <c r="R3760" s="512" t="str">
        <f>R3759</f>
        <v>DELETE</v>
      </c>
    </row>
    <row r="3761" spans="2:24" ht="9" customHeight="1" x14ac:dyDescent="0.45">
      <c r="B3761" s="468"/>
      <c r="C3761" s="450"/>
      <c r="J3761" s="451"/>
      <c r="K3761" s="451"/>
      <c r="L3761" s="452"/>
      <c r="M3761" s="40"/>
      <c r="N3761" s="451"/>
      <c r="O3761" s="558"/>
      <c r="P3761" s="459"/>
      <c r="Q3761" s="469"/>
      <c r="R3761" s="512" t="str">
        <f>R3760</f>
        <v>DELETE</v>
      </c>
    </row>
    <row r="3762" spans="2:24" ht="31.5" customHeight="1" x14ac:dyDescent="0.45">
      <c r="B3762" s="468"/>
      <c r="C3762" s="450"/>
      <c r="D3762" s="449" t="s">
        <v>335</v>
      </c>
      <c r="J3762" s="451"/>
      <c r="K3762" s="451"/>
      <c r="L3762" s="452"/>
      <c r="M3762" s="40"/>
      <c r="N3762" s="451"/>
      <c r="O3762" s="559">
        <f>TrialBalanceC!I40</f>
        <v>0</v>
      </c>
      <c r="P3762" s="459"/>
      <c r="Q3762" s="469"/>
      <c r="R3762" s="512" t="str">
        <f t="shared" ref="R3762:R3788" si="263">IF(R$3713="DELETE","DELETE",IF(O3762=0,"DELETE"," "))</f>
        <v>DELETE</v>
      </c>
    </row>
    <row r="3763" spans="2:24" ht="31.5" customHeight="1" x14ac:dyDescent="0.45">
      <c r="B3763" s="468"/>
      <c r="C3763" s="450"/>
      <c r="D3763" s="449" t="s">
        <v>888</v>
      </c>
      <c r="J3763" s="451"/>
      <c r="K3763" s="451"/>
      <c r="L3763" s="452"/>
      <c r="M3763" s="40"/>
      <c r="N3763" s="451"/>
      <c r="O3763" s="559">
        <f>TrialBalanceC!I41</f>
        <v>0</v>
      </c>
      <c r="P3763" s="459"/>
      <c r="Q3763" s="469"/>
      <c r="R3763" s="512" t="str">
        <f t="shared" si="263"/>
        <v>DELETE</v>
      </c>
    </row>
    <row r="3764" spans="2:24" ht="31.5" customHeight="1" x14ac:dyDescent="0.45">
      <c r="B3764" s="468"/>
      <c r="C3764" s="450"/>
      <c r="D3764" s="449" t="s">
        <v>336</v>
      </c>
      <c r="J3764" s="451"/>
      <c r="K3764" s="451"/>
      <c r="L3764" s="452"/>
      <c r="M3764" s="40"/>
      <c r="N3764" s="451"/>
      <c r="O3764" s="559">
        <f>TrialBalanceC!I42</f>
        <v>0</v>
      </c>
      <c r="P3764" s="459"/>
      <c r="Q3764" s="469"/>
      <c r="R3764" s="512" t="str">
        <f t="shared" si="263"/>
        <v>DELETE</v>
      </c>
    </row>
    <row r="3765" spans="2:24" ht="31.5" customHeight="1" x14ac:dyDescent="0.45">
      <c r="B3765" s="468"/>
      <c r="C3765" s="450"/>
      <c r="D3765" s="449" t="s">
        <v>337</v>
      </c>
      <c r="J3765" s="451"/>
      <c r="K3765" s="451">
        <f>C$1203</f>
        <v>5.2999999999999989</v>
      </c>
      <c r="L3765" s="452"/>
      <c r="M3765" s="40"/>
      <c r="N3765" s="451"/>
      <c r="O3765" s="559">
        <f>SUM(TrialBalanceC!I44:I46)</f>
        <v>0</v>
      </c>
      <c r="P3765" s="459"/>
      <c r="Q3765" s="469"/>
      <c r="R3765" s="512" t="str">
        <f t="shared" si="263"/>
        <v>DELETE</v>
      </c>
    </row>
    <row r="3766" spans="2:24" ht="31.5" customHeight="1" x14ac:dyDescent="0.45">
      <c r="B3766" s="468"/>
      <c r="C3766" s="450"/>
      <c r="D3766" s="449" t="s">
        <v>610</v>
      </c>
      <c r="J3766" s="451"/>
      <c r="K3766" s="451"/>
      <c r="L3766" s="452"/>
      <c r="M3766" s="40"/>
      <c r="N3766" s="451"/>
      <c r="O3766" s="559">
        <f>TrialBalanceC!I47</f>
        <v>0</v>
      </c>
      <c r="P3766" s="459"/>
      <c r="Q3766" s="469"/>
      <c r="R3766" s="512" t="str">
        <f t="shared" si="263"/>
        <v>DELETE</v>
      </c>
      <c r="S3766" s="518"/>
      <c r="T3766" s="518"/>
      <c r="U3766" s="518"/>
      <c r="V3766" s="518"/>
      <c r="W3766" s="518"/>
      <c r="X3766" s="518"/>
    </row>
    <row r="3767" spans="2:24" ht="31.5" customHeight="1" x14ac:dyDescent="0.45">
      <c r="B3767" s="468"/>
      <c r="C3767" s="450"/>
      <c r="D3767" s="449" t="s">
        <v>933</v>
      </c>
      <c r="J3767" s="451"/>
      <c r="K3767" s="451"/>
      <c r="L3767" s="452"/>
      <c r="M3767" s="40"/>
      <c r="N3767" s="451"/>
      <c r="O3767" s="559">
        <f>TrialBalanceC!I48</f>
        <v>0</v>
      </c>
      <c r="P3767" s="459"/>
      <c r="Q3767" s="469"/>
      <c r="R3767" s="512" t="str">
        <f t="shared" si="263"/>
        <v>DELETE</v>
      </c>
    </row>
    <row r="3768" spans="2:24" ht="31.5" customHeight="1" x14ac:dyDescent="0.45">
      <c r="B3768" s="468"/>
      <c r="C3768" s="450"/>
      <c r="D3768" s="449" t="s">
        <v>74</v>
      </c>
      <c r="J3768" s="451"/>
      <c r="K3768" s="451"/>
      <c r="L3768" s="452"/>
      <c r="M3768" s="40"/>
      <c r="N3768" s="451"/>
      <c r="O3768" s="559">
        <f>TrialBalanceC!I49</f>
        <v>0</v>
      </c>
      <c r="P3768" s="459"/>
      <c r="Q3768" s="469"/>
      <c r="R3768" s="512" t="str">
        <f t="shared" si="263"/>
        <v>DELETE</v>
      </c>
    </row>
    <row r="3769" spans="2:24" ht="31.5" customHeight="1" x14ac:dyDescent="0.45">
      <c r="B3769" s="468"/>
      <c r="C3769" s="450"/>
      <c r="D3769" s="449" t="s">
        <v>338</v>
      </c>
      <c r="J3769" s="451"/>
      <c r="K3769" s="451"/>
      <c r="L3769" s="452"/>
      <c r="M3769" s="40"/>
      <c r="N3769" s="451"/>
      <c r="O3769" s="559">
        <f>TrialBalanceC!I50</f>
        <v>0</v>
      </c>
      <c r="P3769" s="459"/>
      <c r="Q3769" s="469"/>
      <c r="R3769" s="512" t="str">
        <f t="shared" si="263"/>
        <v>DELETE</v>
      </c>
    </row>
    <row r="3770" spans="2:24" ht="31.5" customHeight="1" x14ac:dyDescent="0.45">
      <c r="B3770" s="468"/>
      <c r="C3770" s="450"/>
      <c r="D3770" s="449" t="s">
        <v>632</v>
      </c>
      <c r="J3770" s="451"/>
      <c r="K3770" s="451"/>
      <c r="L3770" s="452"/>
      <c r="M3770" s="40"/>
      <c r="N3770" s="451"/>
      <c r="O3770" s="559">
        <f>SUM(TrialBalanceC!I51:I52)</f>
        <v>0</v>
      </c>
      <c r="P3770" s="459"/>
      <c r="Q3770" s="469"/>
      <c r="R3770" s="512" t="str">
        <f t="shared" si="263"/>
        <v>DELETE</v>
      </c>
    </row>
    <row r="3771" spans="2:24" ht="31.5" customHeight="1" x14ac:dyDescent="0.45">
      <c r="B3771" s="468"/>
      <c r="C3771" s="450"/>
      <c r="D3771" s="449" t="s">
        <v>630</v>
      </c>
      <c r="J3771" s="451"/>
      <c r="K3771" s="451"/>
      <c r="L3771" s="452"/>
      <c r="M3771" s="40"/>
      <c r="N3771" s="451"/>
      <c r="O3771" s="559">
        <f>TrialBalanceC!I53</f>
        <v>0</v>
      </c>
      <c r="P3771" s="459"/>
      <c r="Q3771" s="469"/>
      <c r="R3771" s="512" t="str">
        <f t="shared" si="263"/>
        <v>DELETE</v>
      </c>
    </row>
    <row r="3772" spans="2:24" ht="31.5" customHeight="1" x14ac:dyDescent="0.45">
      <c r="B3772" s="468"/>
      <c r="C3772" s="450"/>
      <c r="D3772" s="449" t="s">
        <v>611</v>
      </c>
      <c r="J3772" s="451"/>
      <c r="K3772" s="451"/>
      <c r="L3772" s="452"/>
      <c r="M3772" s="40"/>
      <c r="N3772" s="451"/>
      <c r="O3772" s="559">
        <f>SUM(TrialBalanceC!I55:I59)</f>
        <v>0</v>
      </c>
      <c r="P3772" s="459"/>
      <c r="Q3772" s="469"/>
      <c r="R3772" s="512" t="str">
        <f t="shared" si="263"/>
        <v>DELETE</v>
      </c>
    </row>
    <row r="3773" spans="2:24" ht="31.5" customHeight="1" x14ac:dyDescent="0.45">
      <c r="B3773" s="468"/>
      <c r="C3773" s="450"/>
      <c r="D3773" s="449" t="s">
        <v>590</v>
      </c>
      <c r="J3773" s="451"/>
      <c r="K3773" s="451">
        <f>FS!C$1171</f>
        <v>5.1999999999999993</v>
      </c>
      <c r="L3773" s="452"/>
      <c r="M3773" s="40"/>
      <c r="N3773" s="451"/>
      <c r="O3773" s="559">
        <f>SUM(TrialBalanceC!I61:I63)</f>
        <v>0</v>
      </c>
      <c r="P3773" s="459"/>
      <c r="Q3773" s="469"/>
      <c r="R3773" s="512" t="str">
        <f t="shared" si="263"/>
        <v>DELETE</v>
      </c>
    </row>
    <row r="3774" spans="2:24" ht="31.5" customHeight="1" x14ac:dyDescent="0.45">
      <c r="B3774" s="468"/>
      <c r="C3774" s="450"/>
      <c r="D3774" s="449" t="s">
        <v>82</v>
      </c>
      <c r="J3774" s="451"/>
      <c r="K3774" s="451"/>
      <c r="L3774" s="452"/>
      <c r="M3774" s="40"/>
      <c r="N3774" s="451"/>
      <c r="O3774" s="559">
        <f>TrialBalanceC!I64</f>
        <v>0</v>
      </c>
      <c r="P3774" s="459"/>
      <c r="Q3774" s="469"/>
      <c r="R3774" s="512" t="str">
        <f t="shared" si="263"/>
        <v>DELETE</v>
      </c>
    </row>
    <row r="3775" spans="2:24" ht="31.5" customHeight="1" x14ac:dyDescent="0.45">
      <c r="B3775" s="468"/>
      <c r="C3775" s="450"/>
      <c r="D3775" s="449" t="s">
        <v>309</v>
      </c>
      <c r="J3775" s="451"/>
      <c r="K3775" s="451"/>
      <c r="L3775" s="452"/>
      <c r="M3775" s="40"/>
      <c r="N3775" s="451"/>
      <c r="O3775" s="559">
        <f>SUM(TrialBalanceC!I65:I67)</f>
        <v>0</v>
      </c>
      <c r="P3775" s="459"/>
      <c r="Q3775" s="469"/>
      <c r="R3775" s="512" t="str">
        <f t="shared" si="263"/>
        <v>DELETE</v>
      </c>
    </row>
    <row r="3776" spans="2:24" ht="31.5" customHeight="1" x14ac:dyDescent="0.45">
      <c r="B3776" s="468"/>
      <c r="C3776" s="450"/>
      <c r="D3776" s="449" t="s">
        <v>934</v>
      </c>
      <c r="J3776" s="451"/>
      <c r="K3776" s="451"/>
      <c r="L3776" s="452"/>
      <c r="M3776" s="40"/>
      <c r="N3776" s="451"/>
      <c r="O3776" s="559">
        <f>SUM(TrialBalanceC!I68:I69)</f>
        <v>0</v>
      </c>
      <c r="P3776" s="459"/>
      <c r="Q3776" s="469"/>
      <c r="R3776" s="512" t="str">
        <f t="shared" si="263"/>
        <v>DELETE</v>
      </c>
    </row>
    <row r="3777" spans="2:18" ht="31.5" customHeight="1" x14ac:dyDescent="0.45">
      <c r="B3777" s="468"/>
      <c r="C3777" s="450"/>
      <c r="D3777" s="449" t="s">
        <v>310</v>
      </c>
      <c r="J3777" s="451"/>
      <c r="K3777" s="451"/>
      <c r="L3777" s="452"/>
      <c r="M3777" s="40"/>
      <c r="N3777" s="451"/>
      <c r="O3777" s="559">
        <f>TrialBalanceC!I70</f>
        <v>0</v>
      </c>
      <c r="P3777" s="459"/>
      <c r="Q3777" s="469"/>
      <c r="R3777" s="512" t="str">
        <f t="shared" si="263"/>
        <v>DELETE</v>
      </c>
    </row>
    <row r="3778" spans="2:18" ht="31.5" customHeight="1" x14ac:dyDescent="0.45">
      <c r="B3778" s="468"/>
      <c r="C3778" s="450"/>
      <c r="D3778" s="449" t="s">
        <v>461</v>
      </c>
      <c r="J3778" s="451"/>
      <c r="K3778" s="451"/>
      <c r="L3778" s="452"/>
      <c r="M3778" s="40"/>
      <c r="N3778" s="451"/>
      <c r="O3778" s="559">
        <f>TrialBalanceC!I71</f>
        <v>0</v>
      </c>
      <c r="P3778" s="459"/>
      <c r="Q3778" s="469"/>
      <c r="R3778" s="512" t="str">
        <f t="shared" si="263"/>
        <v>DELETE</v>
      </c>
    </row>
    <row r="3779" spans="2:18" ht="31.5" customHeight="1" x14ac:dyDescent="0.45">
      <c r="B3779" s="468"/>
      <c r="C3779" s="450"/>
      <c r="D3779" s="449">
        <f>TrialBalanceC!C72</f>
        <v>0</v>
      </c>
      <c r="J3779" s="451"/>
      <c r="K3779" s="451"/>
      <c r="L3779" s="452"/>
      <c r="M3779" s="40"/>
      <c r="N3779" s="451"/>
      <c r="O3779" s="559">
        <f>TrialBalanceC!I72</f>
        <v>0</v>
      </c>
      <c r="P3779" s="459"/>
      <c r="Q3779" s="469"/>
      <c r="R3779" s="512" t="str">
        <f t="shared" si="263"/>
        <v>DELETE</v>
      </c>
    </row>
    <row r="3780" spans="2:18" ht="31.5" customHeight="1" x14ac:dyDescent="0.45">
      <c r="B3780" s="468"/>
      <c r="C3780" s="450"/>
      <c r="D3780" s="449">
        <f>TrialBalanceC!C73</f>
        <v>0</v>
      </c>
      <c r="J3780" s="451"/>
      <c r="K3780" s="451"/>
      <c r="L3780" s="452"/>
      <c r="M3780" s="40"/>
      <c r="N3780" s="451"/>
      <c r="O3780" s="559">
        <f>TrialBalanceC!I73</f>
        <v>0</v>
      </c>
      <c r="P3780" s="459"/>
      <c r="Q3780" s="469"/>
      <c r="R3780" s="512" t="str">
        <f t="shared" si="263"/>
        <v>DELETE</v>
      </c>
    </row>
    <row r="3781" spans="2:18" ht="31.5" customHeight="1" x14ac:dyDescent="0.45">
      <c r="B3781" s="468"/>
      <c r="C3781" s="450"/>
      <c r="D3781" s="449">
        <f>TrialBalanceC!C74</f>
        <v>0</v>
      </c>
      <c r="J3781" s="451"/>
      <c r="K3781" s="451"/>
      <c r="L3781" s="452"/>
      <c r="M3781" s="40"/>
      <c r="N3781" s="451"/>
      <c r="O3781" s="559">
        <f>TrialBalanceC!I74</f>
        <v>0</v>
      </c>
      <c r="P3781" s="459"/>
      <c r="Q3781" s="469"/>
      <c r="R3781" s="512" t="str">
        <f t="shared" si="263"/>
        <v>DELETE</v>
      </c>
    </row>
    <row r="3782" spans="2:18" ht="31.5" customHeight="1" x14ac:dyDescent="0.45">
      <c r="B3782" s="468"/>
      <c r="C3782" s="450"/>
      <c r="D3782" s="449">
        <f>TrialBalanceC!C75</f>
        <v>0</v>
      </c>
      <c r="J3782" s="451"/>
      <c r="K3782" s="451"/>
      <c r="L3782" s="452"/>
      <c r="M3782" s="40"/>
      <c r="N3782" s="451"/>
      <c r="O3782" s="559">
        <f>TrialBalanceC!I75</f>
        <v>0</v>
      </c>
      <c r="P3782" s="459"/>
      <c r="Q3782" s="469"/>
      <c r="R3782" s="512" t="str">
        <f t="shared" si="263"/>
        <v>DELETE</v>
      </c>
    </row>
    <row r="3783" spans="2:18" ht="31.5" customHeight="1" x14ac:dyDescent="0.45">
      <c r="B3783" s="468"/>
      <c r="C3783" s="450"/>
      <c r="D3783" s="449">
        <f>TrialBalanceC!C76</f>
        <v>0</v>
      </c>
      <c r="J3783" s="451"/>
      <c r="K3783" s="451"/>
      <c r="L3783" s="452"/>
      <c r="M3783" s="40"/>
      <c r="N3783" s="451"/>
      <c r="O3783" s="559">
        <f>TrialBalanceC!I76</f>
        <v>0</v>
      </c>
      <c r="P3783" s="459"/>
      <c r="Q3783" s="469"/>
      <c r="R3783" s="512" t="str">
        <f t="shared" si="263"/>
        <v>DELETE</v>
      </c>
    </row>
    <row r="3784" spans="2:18" ht="31.5" customHeight="1" x14ac:dyDescent="0.45">
      <c r="B3784" s="468"/>
      <c r="C3784" s="450"/>
      <c r="D3784" s="449">
        <f>TrialBalanceC!C77</f>
        <v>0</v>
      </c>
      <c r="J3784" s="451"/>
      <c r="K3784" s="451"/>
      <c r="L3784" s="452"/>
      <c r="M3784" s="40"/>
      <c r="N3784" s="451"/>
      <c r="O3784" s="559">
        <f>TrialBalanceC!I77</f>
        <v>0</v>
      </c>
      <c r="P3784" s="459"/>
      <c r="Q3784" s="469"/>
      <c r="R3784" s="512" t="str">
        <f t="shared" si="263"/>
        <v>DELETE</v>
      </c>
    </row>
    <row r="3785" spans="2:18" ht="31.5" customHeight="1" x14ac:dyDescent="0.45">
      <c r="B3785" s="468"/>
      <c r="C3785" s="450"/>
      <c r="D3785" s="449">
        <f>TrialBalanceC!C78</f>
        <v>0</v>
      </c>
      <c r="J3785" s="451"/>
      <c r="K3785" s="451"/>
      <c r="L3785" s="452"/>
      <c r="M3785" s="40"/>
      <c r="N3785" s="451"/>
      <c r="O3785" s="559">
        <f>TrialBalanceC!I78</f>
        <v>0</v>
      </c>
      <c r="P3785" s="459"/>
      <c r="Q3785" s="469"/>
      <c r="R3785" s="512" t="str">
        <f t="shared" si="263"/>
        <v>DELETE</v>
      </c>
    </row>
    <row r="3786" spans="2:18" ht="31.5" customHeight="1" x14ac:dyDescent="0.45">
      <c r="B3786" s="468"/>
      <c r="C3786" s="450"/>
      <c r="D3786" s="449">
        <f>TrialBalanceC!C79</f>
        <v>0</v>
      </c>
      <c r="J3786" s="451"/>
      <c r="K3786" s="451"/>
      <c r="L3786" s="452"/>
      <c r="M3786" s="40"/>
      <c r="N3786" s="451"/>
      <c r="O3786" s="559">
        <f>TrialBalanceC!I79</f>
        <v>0</v>
      </c>
      <c r="P3786" s="459"/>
      <c r="Q3786" s="469"/>
      <c r="R3786" s="512" t="str">
        <f t="shared" si="263"/>
        <v>DELETE</v>
      </c>
    </row>
    <row r="3787" spans="2:18" ht="31.5" customHeight="1" x14ac:dyDescent="0.45">
      <c r="B3787" s="468"/>
      <c r="C3787" s="450"/>
      <c r="D3787" s="449">
        <f>TrialBalanceC!C80</f>
        <v>0</v>
      </c>
      <c r="J3787" s="451"/>
      <c r="K3787" s="451"/>
      <c r="L3787" s="452"/>
      <c r="M3787" s="40"/>
      <c r="N3787" s="451"/>
      <c r="O3787" s="559">
        <f>TrialBalanceC!I80</f>
        <v>0</v>
      </c>
      <c r="P3787" s="459"/>
      <c r="Q3787" s="469"/>
      <c r="R3787" s="512" t="str">
        <f t="shared" si="263"/>
        <v>DELETE</v>
      </c>
    </row>
    <row r="3788" spans="2:18" ht="31.5" customHeight="1" x14ac:dyDescent="0.45">
      <c r="B3788" s="468"/>
      <c r="C3788" s="450"/>
      <c r="D3788" s="449">
        <f>TrialBalanceC!C81</f>
        <v>0</v>
      </c>
      <c r="J3788" s="451"/>
      <c r="K3788" s="451"/>
      <c r="L3788" s="452"/>
      <c r="M3788" s="40"/>
      <c r="N3788" s="451"/>
      <c r="O3788" s="559">
        <f>TrialBalanceC!I81</f>
        <v>0</v>
      </c>
      <c r="P3788" s="459"/>
      <c r="Q3788" s="469"/>
      <c r="R3788" s="512" t="str">
        <f t="shared" si="263"/>
        <v>DELETE</v>
      </c>
    </row>
    <row r="3789" spans="2:18" ht="9" customHeight="1" x14ac:dyDescent="0.45">
      <c r="B3789" s="468"/>
      <c r="C3789" s="450"/>
      <c r="J3789" s="451"/>
      <c r="K3789" s="451"/>
      <c r="L3789" s="452"/>
      <c r="M3789" s="40"/>
      <c r="N3789" s="451"/>
      <c r="O3789" s="560"/>
      <c r="P3789" s="459"/>
      <c r="Q3789" s="469"/>
      <c r="R3789" s="512" t="str">
        <f>R3759</f>
        <v>DELETE</v>
      </c>
    </row>
    <row r="3790" spans="2:18" ht="9" customHeight="1" x14ac:dyDescent="0.45">
      <c r="B3790" s="468"/>
      <c r="C3790" s="450"/>
      <c r="J3790" s="451"/>
      <c r="K3790" s="451"/>
      <c r="L3790" s="452"/>
      <c r="M3790" s="40"/>
      <c r="N3790" s="451"/>
      <c r="O3790" s="535"/>
      <c r="P3790" s="459"/>
      <c r="Q3790" s="469"/>
      <c r="R3790" s="512" t="str">
        <f t="shared" ref="R3790:R3810" si="264">R$3713</f>
        <v>DELETE</v>
      </c>
    </row>
    <row r="3791" spans="2:18" ht="9" customHeight="1" x14ac:dyDescent="0.45">
      <c r="B3791" s="468"/>
      <c r="C3791" s="450"/>
      <c r="J3791" s="451"/>
      <c r="K3791" s="451"/>
      <c r="L3791" s="452"/>
      <c r="M3791" s="40"/>
      <c r="N3791" s="451"/>
      <c r="O3791" s="531"/>
      <c r="P3791" s="459"/>
      <c r="Q3791" s="469"/>
      <c r="R3791" s="512" t="str">
        <f t="shared" si="264"/>
        <v>DELETE</v>
      </c>
    </row>
    <row r="3792" spans="2:18" ht="31.5" customHeight="1" x14ac:dyDescent="0.45">
      <c r="B3792" s="468"/>
      <c r="C3792" s="492" t="str">
        <f>IF(O3792&lt;0,"OPERATING LOSS","OPERATING PROFIT")</f>
        <v>OPERATING PROFIT</v>
      </c>
      <c r="J3792" s="451"/>
      <c r="K3792" s="451"/>
      <c r="L3792" s="452"/>
      <c r="M3792" s="40"/>
      <c r="N3792" s="451"/>
      <c r="O3792" s="531">
        <f>SUM(S3725:S3790)</f>
        <v>0</v>
      </c>
      <c r="P3792" s="459"/>
      <c r="Q3792" s="469"/>
      <c r="R3792" s="512" t="str">
        <f t="shared" si="264"/>
        <v>DELETE</v>
      </c>
    </row>
    <row r="3793" spans="2:22" ht="31.5" customHeight="1" x14ac:dyDescent="0.45">
      <c r="B3793" s="468"/>
      <c r="C3793" s="450"/>
      <c r="D3793" s="449" t="s">
        <v>312</v>
      </c>
      <c r="J3793" s="451"/>
      <c r="K3793" s="451"/>
      <c r="L3793" s="452"/>
      <c r="M3793" s="40"/>
      <c r="N3793" s="451"/>
      <c r="O3793" s="531"/>
      <c r="P3793" s="459"/>
      <c r="Q3793" s="469"/>
      <c r="R3793" s="512" t="str">
        <f t="shared" si="264"/>
        <v>DELETE</v>
      </c>
    </row>
    <row r="3794" spans="2:22" ht="31.5" customHeight="1" x14ac:dyDescent="0.45">
      <c r="B3794" s="468"/>
      <c r="C3794" s="450"/>
      <c r="J3794" s="451"/>
      <c r="K3794" s="451"/>
      <c r="L3794" s="451"/>
      <c r="M3794" s="531"/>
      <c r="N3794" s="470"/>
      <c r="O3794" s="531"/>
      <c r="P3794" s="459"/>
      <c r="Q3794" s="469"/>
      <c r="R3794" s="512" t="str">
        <f t="shared" si="264"/>
        <v>DELETE</v>
      </c>
    </row>
    <row r="3795" spans="2:22" ht="31.5" customHeight="1" x14ac:dyDescent="0.45">
      <c r="B3795" s="468"/>
      <c r="C3795" s="450"/>
      <c r="J3795" s="451"/>
      <c r="K3795" s="451"/>
      <c r="L3795" s="451"/>
      <c r="M3795" s="531"/>
      <c r="N3795" s="470"/>
      <c r="O3795" s="531"/>
      <c r="P3795" s="459"/>
      <c r="Q3795" s="469"/>
      <c r="R3795" s="512" t="str">
        <f t="shared" si="264"/>
        <v>DELETE</v>
      </c>
    </row>
    <row r="3796" spans="2:22" ht="31.5" customHeight="1" x14ac:dyDescent="0.45">
      <c r="B3796" s="477"/>
      <c r="C3796" s="502"/>
      <c r="D3796" s="461"/>
      <c r="E3796" s="461"/>
      <c r="F3796" s="461"/>
      <c r="G3796" s="461"/>
      <c r="H3796" s="461"/>
      <c r="I3796" s="461"/>
      <c r="J3796" s="483"/>
      <c r="K3796" s="483"/>
      <c r="L3796" s="483"/>
      <c r="M3796" s="535"/>
      <c r="N3796" s="473"/>
      <c r="O3796" s="535"/>
      <c r="P3796" s="484"/>
      <c r="Q3796" s="479"/>
      <c r="R3796" s="512" t="str">
        <f t="shared" si="264"/>
        <v>DELETE</v>
      </c>
    </row>
    <row r="3797" spans="2:22" ht="31.5" customHeight="1" x14ac:dyDescent="0.45">
      <c r="C3797" s="450"/>
      <c r="J3797" s="451"/>
      <c r="K3797" s="451"/>
      <c r="L3797" s="451"/>
      <c r="M3797" s="531"/>
      <c r="N3797" s="470"/>
      <c r="O3797" s="531"/>
      <c r="P3797" s="459"/>
      <c r="R3797" s="512" t="str">
        <f t="shared" si="264"/>
        <v>DELETE</v>
      </c>
    </row>
    <row r="3798" spans="2:22" ht="31.5" customHeight="1" x14ac:dyDescent="0.45">
      <c r="C3798" s="450"/>
      <c r="J3798" s="451"/>
      <c r="K3798" s="451"/>
      <c r="L3798" s="451"/>
      <c r="M3798" s="531"/>
      <c r="N3798" s="470"/>
      <c r="O3798" s="531"/>
      <c r="P3798" s="459"/>
      <c r="R3798" s="512" t="str">
        <f t="shared" si="264"/>
        <v>DELETE</v>
      </c>
    </row>
    <row r="3799" spans="2:22" ht="31.5" customHeight="1" x14ac:dyDescent="0.45">
      <c r="C3799" s="450"/>
      <c r="D3799" s="450" t="str">
        <f>Criteria!E9</f>
        <v>ABC COMPANY (PROPRIETARY) LIMITED</v>
      </c>
      <c r="J3799" s="451"/>
      <c r="K3799" s="451"/>
      <c r="L3799" s="451"/>
      <c r="M3799" s="531"/>
      <c r="N3799" s="470"/>
      <c r="O3799" s="531" t="s">
        <v>121</v>
      </c>
      <c r="P3799" s="459"/>
      <c r="Q3799" s="451">
        <f>MAX($Q$3716:Q3798)+1</f>
        <v>2</v>
      </c>
      <c r="R3799" s="512" t="str">
        <f t="shared" si="264"/>
        <v>DELETE</v>
      </c>
    </row>
    <row r="3800" spans="2:22" ht="31.5" customHeight="1" x14ac:dyDescent="0.45">
      <c r="C3800" s="450"/>
      <c r="D3800" s="450" t="str">
        <f>CONCATENATE("T/A ",Criteria!E16)</f>
        <v xml:space="preserve">T/A </v>
      </c>
      <c r="J3800" s="451"/>
      <c r="K3800" s="451"/>
      <c r="L3800" s="451"/>
      <c r="M3800" s="531"/>
      <c r="N3800" s="470"/>
      <c r="O3800" s="531"/>
      <c r="P3800" s="459"/>
      <c r="R3800" s="512" t="str">
        <f t="shared" si="264"/>
        <v>DELETE</v>
      </c>
    </row>
    <row r="3801" spans="2:22" ht="31.5" customHeight="1" x14ac:dyDescent="0.45">
      <c r="C3801" s="450"/>
      <c r="J3801" s="451"/>
      <c r="K3801" s="451"/>
      <c r="L3801" s="451"/>
      <c r="M3801" s="531"/>
      <c r="N3801" s="470"/>
      <c r="O3801" s="531"/>
      <c r="P3801" s="459"/>
      <c r="R3801" s="512" t="str">
        <f t="shared" si="264"/>
        <v>DELETE</v>
      </c>
    </row>
    <row r="3802" spans="2:22" ht="31.5" customHeight="1" x14ac:dyDescent="0.45">
      <c r="C3802" s="450"/>
      <c r="D3802" s="450" t="s">
        <v>115</v>
      </c>
      <c r="J3802" s="451"/>
      <c r="K3802" s="451"/>
      <c r="L3802" s="451"/>
      <c r="M3802" s="531"/>
      <c r="N3802" s="470"/>
      <c r="O3802" s="531"/>
      <c r="P3802" s="459"/>
      <c r="R3802" s="512" t="str">
        <f t="shared" si="264"/>
        <v>DELETE</v>
      </c>
    </row>
    <row r="3803" spans="2:22" ht="31.5" customHeight="1" x14ac:dyDescent="0.45">
      <c r="C3803" s="450"/>
      <c r="D3803" s="450" t="str">
        <f>D3720</f>
        <v>29 FEBRUARY 2024</v>
      </c>
      <c r="H3803" s="449" t="s">
        <v>127</v>
      </c>
      <c r="J3803" s="451"/>
      <c r="K3803" s="451"/>
      <c r="L3803" s="451"/>
      <c r="M3803" s="531"/>
      <c r="N3803" s="470"/>
      <c r="O3803" s="531"/>
      <c r="P3803" s="459"/>
      <c r="R3803" s="512" t="str">
        <f t="shared" si="264"/>
        <v>DELETE</v>
      </c>
    </row>
    <row r="3804" spans="2:22" ht="31.5" customHeight="1" x14ac:dyDescent="0.45">
      <c r="C3804" s="450"/>
      <c r="J3804" s="451"/>
      <c r="K3804" s="483"/>
      <c r="L3804" s="483"/>
      <c r="M3804" s="535"/>
      <c r="N3804" s="473"/>
      <c r="O3804" s="535"/>
      <c r="P3804" s="459"/>
      <c r="R3804" s="512" t="str">
        <f t="shared" si="264"/>
        <v>DELETE</v>
      </c>
    </row>
    <row r="3805" spans="2:22" ht="31.5" customHeight="1" x14ac:dyDescent="0.45">
      <c r="B3805" s="465"/>
      <c r="C3805" s="503"/>
      <c r="D3805" s="466"/>
      <c r="E3805" s="466"/>
      <c r="F3805" s="466"/>
      <c r="G3805" s="466"/>
      <c r="H3805" s="466"/>
      <c r="I3805" s="466"/>
      <c r="J3805" s="511"/>
      <c r="M3805" s="635"/>
      <c r="N3805" s="621"/>
      <c r="O3805" s="635"/>
      <c r="P3805" s="506"/>
      <c r="Q3805" s="467"/>
      <c r="R3805" s="512" t="str">
        <f t="shared" si="264"/>
        <v>DELETE</v>
      </c>
    </row>
    <row r="3806" spans="2:22" ht="31.5" customHeight="1" x14ac:dyDescent="0.45">
      <c r="B3806" s="468"/>
      <c r="C3806" s="450"/>
      <c r="J3806" s="451"/>
      <c r="K3806" s="451"/>
      <c r="L3806" s="452"/>
      <c r="M3806" s="40"/>
      <c r="N3806" s="451"/>
      <c r="O3806" s="525">
        <f>Criteria!E22</f>
        <v>2024</v>
      </c>
      <c r="P3806" s="459"/>
      <c r="Q3806" s="469"/>
      <c r="R3806" s="512" t="str">
        <f t="shared" si="264"/>
        <v>DELETE</v>
      </c>
    </row>
    <row r="3807" spans="2:22" ht="31.5" customHeight="1" x14ac:dyDescent="0.45">
      <c r="B3807" s="468"/>
      <c r="C3807" s="450"/>
      <c r="J3807" s="451"/>
      <c r="K3807" s="451"/>
      <c r="L3807" s="452"/>
      <c r="M3807" s="40"/>
      <c r="N3807" s="451"/>
      <c r="O3807" s="531"/>
      <c r="P3807" s="459"/>
      <c r="Q3807" s="469"/>
      <c r="R3807" s="512" t="str">
        <f t="shared" si="264"/>
        <v>DELETE</v>
      </c>
    </row>
    <row r="3808" spans="2:22" ht="31.5" customHeight="1" x14ac:dyDescent="0.45">
      <c r="B3808" s="468"/>
      <c r="C3808" s="492" t="str">
        <f>IF(O3808&lt;0,"OPERATING LOSS","OPERATING PROFIT")</f>
        <v>OPERATING PROFIT</v>
      </c>
      <c r="J3808" s="451"/>
      <c r="K3808" s="451"/>
      <c r="L3808" s="452"/>
      <c r="M3808" s="40"/>
      <c r="N3808" s="451"/>
      <c r="O3808" s="531">
        <f>SUM(S3725:S3789)</f>
        <v>0</v>
      </c>
      <c r="P3808" s="459"/>
      <c r="Q3808" s="469"/>
      <c r="R3808" s="512" t="str">
        <f t="shared" si="264"/>
        <v>DELETE</v>
      </c>
      <c r="V3808" s="513" t="b">
        <f>O3808=O3792</f>
        <v>1</v>
      </c>
    </row>
    <row r="3809" spans="2:24" ht="31.5" customHeight="1" x14ac:dyDescent="0.45">
      <c r="B3809" s="468"/>
      <c r="C3809" s="450"/>
      <c r="D3809" s="449" t="s">
        <v>313</v>
      </c>
      <c r="J3809" s="451"/>
      <c r="K3809" s="451"/>
      <c r="L3809" s="452"/>
      <c r="M3809" s="40"/>
      <c r="N3809" s="451"/>
      <c r="O3809" s="531"/>
      <c r="P3809" s="459"/>
      <c r="Q3809" s="469"/>
      <c r="R3809" s="512" t="str">
        <f t="shared" si="264"/>
        <v>DELETE</v>
      </c>
    </row>
    <row r="3810" spans="2:24" ht="31.5" customHeight="1" x14ac:dyDescent="0.45">
      <c r="B3810" s="468"/>
      <c r="C3810" s="450"/>
      <c r="J3810" s="451"/>
      <c r="K3810" s="451"/>
      <c r="L3810" s="452"/>
      <c r="M3810" s="40"/>
      <c r="N3810" s="451"/>
      <c r="O3810" s="531"/>
      <c r="P3810" s="459"/>
      <c r="Q3810" s="469"/>
      <c r="R3810" s="512" t="str">
        <f t="shared" si="264"/>
        <v>DELETE</v>
      </c>
    </row>
    <row r="3811" spans="2:24" ht="31.5" customHeight="1" x14ac:dyDescent="0.45">
      <c r="B3811" s="468"/>
      <c r="C3811" s="450" t="s">
        <v>1307</v>
      </c>
      <c r="J3811" s="451"/>
      <c r="K3811" s="451"/>
      <c r="L3811" s="452"/>
      <c r="M3811" s="40"/>
      <c r="N3811" s="451"/>
      <c r="O3811" s="531">
        <f>SUM(O3814:O3847)</f>
        <v>0</v>
      </c>
      <c r="P3811" s="459"/>
      <c r="Q3811" s="469"/>
      <c r="R3811" s="512" t="str">
        <f t="shared" ref="R3811" si="265">IF(R$3713="DELETE","DELETE",IF(O3811=0,"DELETE"," "))</f>
        <v>DELETE</v>
      </c>
      <c r="S3811" s="517">
        <f>-O3811</f>
        <v>0</v>
      </c>
      <c r="T3811" s="517"/>
      <c r="U3811" s="517"/>
      <c r="V3811" s="517"/>
      <c r="W3811" s="517"/>
      <c r="X3811" s="517"/>
    </row>
    <row r="3812" spans="2:24" ht="9" customHeight="1" x14ac:dyDescent="0.45">
      <c r="B3812" s="468"/>
      <c r="C3812" s="450"/>
      <c r="J3812" s="451"/>
      <c r="K3812" s="451"/>
      <c r="L3812" s="452"/>
      <c r="M3812" s="40"/>
      <c r="N3812" s="451"/>
      <c r="O3812" s="531"/>
      <c r="P3812" s="459"/>
      <c r="Q3812" s="469"/>
      <c r="R3812" s="512" t="str">
        <f>R3811</f>
        <v>DELETE</v>
      </c>
    </row>
    <row r="3813" spans="2:24" ht="9" customHeight="1" x14ac:dyDescent="0.45">
      <c r="B3813" s="468"/>
      <c r="C3813" s="450"/>
      <c r="J3813" s="451"/>
      <c r="K3813" s="451"/>
      <c r="L3813" s="452"/>
      <c r="M3813" s="40"/>
      <c r="N3813" s="451"/>
      <c r="O3813" s="558"/>
      <c r="P3813" s="459"/>
      <c r="Q3813" s="469"/>
      <c r="R3813" s="512" t="str">
        <f>R3812</f>
        <v>DELETE</v>
      </c>
    </row>
    <row r="3814" spans="2:24" ht="31.5" customHeight="1" x14ac:dyDescent="0.45">
      <c r="B3814" s="468"/>
      <c r="C3814" s="450"/>
      <c r="D3814" s="449" t="s">
        <v>253</v>
      </c>
      <c r="J3814" s="451"/>
      <c r="K3814" s="451"/>
      <c r="L3814" s="452"/>
      <c r="M3814" s="40"/>
      <c r="N3814" s="451"/>
      <c r="O3814" s="559">
        <f>SUM(TrialBalanceC!I98:I101)</f>
        <v>0</v>
      </c>
      <c r="P3814" s="459"/>
      <c r="Q3814" s="469"/>
      <c r="R3814" s="512" t="str">
        <f t="shared" ref="R3814:R3845" si="266">IF(R$3713="DELETE","DELETE",IF(O3814=0,"DELETE"," "))</f>
        <v>DELETE</v>
      </c>
    </row>
    <row r="3815" spans="2:24" ht="31.5" customHeight="1" x14ac:dyDescent="0.45">
      <c r="B3815" s="468"/>
      <c r="C3815" s="450"/>
      <c r="D3815" s="449" t="s">
        <v>257</v>
      </c>
      <c r="J3815" s="451"/>
      <c r="K3815" s="451"/>
      <c r="L3815" s="452"/>
      <c r="M3815" s="40"/>
      <c r="N3815" s="451"/>
      <c r="O3815" s="559">
        <f>TrialBalanceC!I103</f>
        <v>0</v>
      </c>
      <c r="P3815" s="459"/>
      <c r="Q3815" s="469"/>
      <c r="R3815" s="512" t="str">
        <f>IF(R$3713="DELETE","DELETE",IF(O3815=0,"DELETE"," "))</f>
        <v>DELETE</v>
      </c>
    </row>
    <row r="3816" spans="2:24" ht="31.5" customHeight="1" x14ac:dyDescent="0.45">
      <c r="B3816" s="468"/>
      <c r="C3816" s="450"/>
      <c r="D3816" s="449" t="s">
        <v>255</v>
      </c>
      <c r="J3816" s="451"/>
      <c r="K3816" s="451"/>
      <c r="L3816" s="452"/>
      <c r="M3816" s="40"/>
      <c r="N3816" s="451"/>
      <c r="O3816" s="559">
        <f>TrialBalanceC!I102</f>
        <v>0</v>
      </c>
      <c r="P3816" s="459"/>
      <c r="Q3816" s="469"/>
      <c r="R3816" s="512" t="str">
        <f>IF(R$3713="DELETE","DELETE",IF(O3816=0,"DELETE"," "))</f>
        <v>DELETE</v>
      </c>
    </row>
    <row r="3817" spans="2:24" ht="31.5" customHeight="1" x14ac:dyDescent="0.45">
      <c r="B3817" s="468"/>
      <c r="C3817" s="450"/>
      <c r="D3817" s="449" t="s">
        <v>314</v>
      </c>
      <c r="J3817" s="451"/>
      <c r="K3817" s="451"/>
      <c r="L3817" s="452"/>
      <c r="M3817" s="40"/>
      <c r="N3817" s="451"/>
      <c r="O3817" s="559">
        <f>TrialBalanceC!I104</f>
        <v>0</v>
      </c>
      <c r="P3817" s="459"/>
      <c r="Q3817" s="469"/>
      <c r="R3817" s="512" t="str">
        <f t="shared" si="266"/>
        <v>DELETE</v>
      </c>
    </row>
    <row r="3818" spans="2:24" ht="31.5" customHeight="1" x14ac:dyDescent="0.45">
      <c r="B3818" s="468"/>
      <c r="C3818" s="450"/>
      <c r="D3818" s="449" t="s">
        <v>260</v>
      </c>
      <c r="J3818" s="451"/>
      <c r="K3818" s="451"/>
      <c r="L3818" s="452"/>
      <c r="M3818" s="40"/>
      <c r="N3818" s="451"/>
      <c r="O3818" s="559">
        <f>TrialBalanceC!I105</f>
        <v>0</v>
      </c>
      <c r="P3818" s="459"/>
      <c r="Q3818" s="469"/>
      <c r="R3818" s="512" t="str">
        <f t="shared" si="266"/>
        <v>DELETE</v>
      </c>
    </row>
    <row r="3819" spans="2:24" ht="31.5" customHeight="1" x14ac:dyDescent="0.45">
      <c r="B3819" s="468"/>
      <c r="C3819" s="450"/>
      <c r="D3819" s="449" t="s">
        <v>935</v>
      </c>
      <c r="J3819" s="451"/>
      <c r="K3819" s="451"/>
      <c r="L3819" s="452"/>
      <c r="M3819" s="40"/>
      <c r="N3819" s="451"/>
      <c r="O3819" s="559">
        <f>TrialBalanceC!I106</f>
        <v>0</v>
      </c>
      <c r="P3819" s="459"/>
      <c r="Q3819" s="469"/>
      <c r="R3819" s="512" t="str">
        <f t="shared" si="266"/>
        <v>DELETE</v>
      </c>
    </row>
    <row r="3820" spans="2:24" ht="31.5" customHeight="1" x14ac:dyDescent="0.45">
      <c r="B3820" s="468"/>
      <c r="C3820" s="450"/>
      <c r="D3820" s="449" t="s">
        <v>337</v>
      </c>
      <c r="J3820" s="451"/>
      <c r="K3820" s="451">
        <f>C$1203</f>
        <v>5.2999999999999989</v>
      </c>
      <c r="L3820" s="452"/>
      <c r="M3820" s="40"/>
      <c r="N3820" s="451"/>
      <c r="O3820" s="559">
        <f>SUM(TrialBalanceC!I108:I109)</f>
        <v>0</v>
      </c>
      <c r="P3820" s="459"/>
      <c r="Q3820" s="469"/>
      <c r="R3820" s="512" t="str">
        <f t="shared" si="266"/>
        <v>DELETE</v>
      </c>
    </row>
    <row r="3821" spans="2:24" ht="31.5" customHeight="1" x14ac:dyDescent="0.45">
      <c r="B3821" s="468"/>
      <c r="C3821" s="450"/>
      <c r="D3821" s="449" t="str">
        <f>IF(MAX(Criteria!I41:I45)&gt;1,"Directors' remuneration","Director's remuneration")</f>
        <v>Directors' remuneration</v>
      </c>
      <c r="J3821" s="451"/>
      <c r="K3821" s="451">
        <f>C$1144</f>
        <v>5.0999999999999996</v>
      </c>
      <c r="L3821" s="452"/>
      <c r="M3821" s="40"/>
      <c r="N3821" s="451"/>
      <c r="O3821" s="559">
        <f>SUM(TrialBalanceC!I111:I115)</f>
        <v>0</v>
      </c>
      <c r="P3821" s="459"/>
      <c r="Q3821" s="469"/>
      <c r="R3821" s="512" t="str">
        <f t="shared" si="266"/>
        <v>DELETE</v>
      </c>
    </row>
    <row r="3822" spans="2:24" ht="31.5" customHeight="1" x14ac:dyDescent="0.45">
      <c r="B3822" s="468"/>
      <c r="C3822" s="450"/>
      <c r="D3822" s="449" t="s">
        <v>315</v>
      </c>
      <c r="J3822" s="451"/>
      <c r="K3822" s="451"/>
      <c r="L3822" s="452"/>
      <c r="M3822" s="40"/>
      <c r="N3822" s="451"/>
      <c r="O3822" s="559">
        <f>TrialBalanceC!I116</f>
        <v>0</v>
      </c>
      <c r="P3822" s="459"/>
      <c r="Q3822" s="469"/>
      <c r="R3822" s="512" t="str">
        <f t="shared" si="266"/>
        <v>DELETE</v>
      </c>
    </row>
    <row r="3823" spans="2:24" ht="31.5" customHeight="1" x14ac:dyDescent="0.45">
      <c r="B3823" s="468"/>
      <c r="C3823" s="450"/>
      <c r="D3823" s="449" t="s">
        <v>443</v>
      </c>
      <c r="J3823" s="451"/>
      <c r="K3823" s="451"/>
      <c r="L3823" s="452"/>
      <c r="M3823" s="40"/>
      <c r="N3823" s="451"/>
      <c r="O3823" s="559">
        <f>TrialBalanceC!I117</f>
        <v>0</v>
      </c>
      <c r="P3823" s="459"/>
      <c r="Q3823" s="469"/>
      <c r="R3823" s="512" t="str">
        <f t="shared" si="266"/>
        <v>DELETE</v>
      </c>
    </row>
    <row r="3824" spans="2:24" ht="31.5" customHeight="1" x14ac:dyDescent="0.45">
      <c r="B3824" s="468"/>
      <c r="C3824" s="450"/>
      <c r="D3824" s="449" t="s">
        <v>392</v>
      </c>
      <c r="J3824" s="451"/>
      <c r="K3824" s="451"/>
      <c r="L3824" s="452"/>
      <c r="M3824" s="40"/>
      <c r="N3824" s="451"/>
      <c r="O3824" s="559">
        <f>TrialBalanceC!I118</f>
        <v>0</v>
      </c>
      <c r="P3824" s="459"/>
      <c r="Q3824" s="469"/>
      <c r="R3824" s="512" t="str">
        <f t="shared" si="266"/>
        <v>DELETE</v>
      </c>
    </row>
    <row r="3825" spans="2:18" ht="31.5" customHeight="1" x14ac:dyDescent="0.45">
      <c r="B3825" s="468"/>
      <c r="C3825" s="450"/>
      <c r="D3825" s="449" t="s">
        <v>445</v>
      </c>
      <c r="J3825" s="451"/>
      <c r="K3825" s="451"/>
      <c r="L3825" s="452"/>
      <c r="M3825" s="40"/>
      <c r="N3825" s="451"/>
      <c r="O3825" s="559">
        <f>TrialBalanceC!I119</f>
        <v>0</v>
      </c>
      <c r="P3825" s="459"/>
      <c r="Q3825" s="469"/>
      <c r="R3825" s="512" t="str">
        <f t="shared" si="266"/>
        <v>DELETE</v>
      </c>
    </row>
    <row r="3826" spans="2:18" ht="31.5" customHeight="1" x14ac:dyDescent="0.45">
      <c r="B3826" s="468"/>
      <c r="C3826" s="450"/>
      <c r="D3826" s="449" t="s">
        <v>1486</v>
      </c>
      <c r="J3826" s="451"/>
      <c r="K3826" s="451"/>
      <c r="L3826" s="452"/>
      <c r="M3826" s="40"/>
      <c r="N3826" s="451"/>
      <c r="O3826" s="559">
        <f>TrialBalanceC!I154</f>
        <v>0</v>
      </c>
      <c r="P3826" s="459"/>
      <c r="Q3826" s="469"/>
      <c r="R3826" s="512" t="str">
        <f>IF(R$3713="DELETE","DELETE",IF(O3826=0,"DELETE"," "))</f>
        <v>DELETE</v>
      </c>
    </row>
    <row r="3827" spans="2:18" ht="31.5" customHeight="1" x14ac:dyDescent="0.45">
      <c r="B3827" s="468"/>
      <c r="C3827" s="450"/>
      <c r="D3827" s="449" t="s">
        <v>605</v>
      </c>
      <c r="J3827" s="451"/>
      <c r="K3827" s="451"/>
      <c r="L3827" s="452"/>
      <c r="M3827" s="40"/>
      <c r="N3827" s="451"/>
      <c r="O3827" s="559">
        <f>TrialBalanceC!I120+TrialBalanceC!I121</f>
        <v>0</v>
      </c>
      <c r="P3827" s="459"/>
      <c r="Q3827" s="469"/>
      <c r="R3827" s="512" t="str">
        <f t="shared" si="266"/>
        <v>DELETE</v>
      </c>
    </row>
    <row r="3828" spans="2:18" ht="31.5" customHeight="1" x14ac:dyDescent="0.45">
      <c r="B3828" s="468"/>
      <c r="C3828" s="450"/>
      <c r="D3828" s="449" t="s">
        <v>633</v>
      </c>
      <c r="J3828" s="451"/>
      <c r="K3828" s="451"/>
      <c r="L3828" s="452"/>
      <c r="M3828" s="40"/>
      <c r="N3828" s="451"/>
      <c r="O3828" s="559">
        <f>IF(TrialBalanceC!I93&gt;0,TrialBalanceC!I93,0)</f>
        <v>0</v>
      </c>
      <c r="P3828" s="459"/>
      <c r="Q3828" s="469"/>
      <c r="R3828" s="512" t="str">
        <f>IF(R$3713="DELETE","DELETE",IF(O3828=0,"DELETE"," "))</f>
        <v>DELETE</v>
      </c>
    </row>
    <row r="3829" spans="2:18" ht="31.5" customHeight="1" x14ac:dyDescent="0.45">
      <c r="B3829" s="468"/>
      <c r="C3829" s="450"/>
      <c r="D3829" s="449" t="s">
        <v>936</v>
      </c>
      <c r="J3829" s="451"/>
      <c r="K3829" s="451"/>
      <c r="L3829" s="452"/>
      <c r="M3829" s="40"/>
      <c r="N3829" s="451"/>
      <c r="O3829" s="559">
        <f>TrialBalanceC!I122</f>
        <v>0</v>
      </c>
      <c r="P3829" s="459"/>
      <c r="Q3829" s="469"/>
      <c r="R3829" s="512" t="str">
        <f>IF(R$3713="DELETE","DELETE",IF(O3829=0,"DELETE"," "))</f>
        <v>DELETE</v>
      </c>
    </row>
    <row r="3830" spans="2:18" ht="31.5" customHeight="1" x14ac:dyDescent="0.45">
      <c r="B3830" s="468"/>
      <c r="C3830" s="450"/>
      <c r="D3830" s="449" t="s">
        <v>316</v>
      </c>
      <c r="J3830" s="451"/>
      <c r="K3830" s="451"/>
      <c r="L3830" s="452"/>
      <c r="M3830" s="40"/>
      <c r="N3830" s="451"/>
      <c r="O3830" s="559">
        <f>TrialBalanceC!I123</f>
        <v>0</v>
      </c>
      <c r="P3830" s="459"/>
      <c r="Q3830" s="469"/>
      <c r="R3830" s="512" t="str">
        <f t="shared" si="266"/>
        <v>DELETE</v>
      </c>
    </row>
    <row r="3831" spans="2:18" ht="31.5" customHeight="1" x14ac:dyDescent="0.45">
      <c r="B3831" s="468"/>
      <c r="C3831" s="450"/>
      <c r="D3831" s="449" t="s">
        <v>1554</v>
      </c>
      <c r="J3831" s="451"/>
      <c r="K3831" s="451"/>
      <c r="L3831" s="452"/>
      <c r="M3831" s="40"/>
      <c r="N3831" s="451"/>
      <c r="O3831" s="559">
        <f>TrialBalanceC!I155</f>
        <v>0</v>
      </c>
      <c r="P3831" s="459"/>
      <c r="Q3831" s="469"/>
      <c r="R3831" s="512" t="str">
        <f t="shared" si="266"/>
        <v>DELETE</v>
      </c>
    </row>
    <row r="3832" spans="2:18" ht="31.5" customHeight="1" x14ac:dyDescent="0.45">
      <c r="B3832" s="468"/>
      <c r="C3832" s="450"/>
      <c r="D3832" s="449" t="s">
        <v>309</v>
      </c>
      <c r="J3832" s="451"/>
      <c r="K3832" s="451"/>
      <c r="L3832" s="452"/>
      <c r="M3832" s="40"/>
      <c r="N3832" s="451"/>
      <c r="O3832" s="559">
        <f>SUM(TrialBalanceC!I124:I125)</f>
        <v>0</v>
      </c>
      <c r="P3832" s="459"/>
      <c r="Q3832" s="469"/>
      <c r="R3832" s="512" t="str">
        <f t="shared" si="266"/>
        <v>DELETE</v>
      </c>
    </row>
    <row r="3833" spans="2:18" ht="31.5" customHeight="1" x14ac:dyDescent="0.45">
      <c r="B3833" s="468"/>
      <c r="C3833" s="450"/>
      <c r="D3833" s="449" t="s">
        <v>317</v>
      </c>
      <c r="J3833" s="451"/>
      <c r="K3833" s="451"/>
      <c r="L3833" s="452"/>
      <c r="M3833" s="40"/>
      <c r="N3833" s="451"/>
      <c r="O3833" s="559">
        <f>TrialBalanceC!I126</f>
        <v>0</v>
      </c>
      <c r="P3833" s="459"/>
      <c r="Q3833" s="469"/>
      <c r="R3833" s="512" t="str">
        <f t="shared" si="266"/>
        <v>DELETE</v>
      </c>
    </row>
    <row r="3834" spans="2:18" ht="31.5" customHeight="1" x14ac:dyDescent="0.45">
      <c r="B3834" s="468"/>
      <c r="C3834" s="450"/>
      <c r="D3834" s="449" t="s">
        <v>937</v>
      </c>
      <c r="J3834" s="451"/>
      <c r="K3834" s="451"/>
      <c r="L3834" s="452"/>
      <c r="M3834" s="40"/>
      <c r="N3834" s="451"/>
      <c r="O3834" s="559">
        <f>TrialBalanceC!I127</f>
        <v>0</v>
      </c>
      <c r="P3834" s="459"/>
      <c r="Q3834" s="469"/>
      <c r="R3834" s="512" t="str">
        <f t="shared" si="266"/>
        <v>DELETE</v>
      </c>
    </row>
    <row r="3835" spans="2:18" ht="31.5" customHeight="1" x14ac:dyDescent="0.45">
      <c r="B3835" s="468"/>
      <c r="C3835" s="450"/>
      <c r="D3835" s="449" t="s">
        <v>99</v>
      </c>
      <c r="J3835" s="451"/>
      <c r="K3835" s="451"/>
      <c r="L3835" s="452"/>
      <c r="M3835" s="40"/>
      <c r="N3835" s="451"/>
      <c r="O3835" s="559">
        <f>TrialBalanceC!I128</f>
        <v>0</v>
      </c>
      <c r="P3835" s="459"/>
      <c r="Q3835" s="469"/>
      <c r="R3835" s="512" t="str">
        <f t="shared" si="266"/>
        <v>DELETE</v>
      </c>
    </row>
    <row r="3836" spans="2:18" ht="31.5" customHeight="1" x14ac:dyDescent="0.45">
      <c r="B3836" s="468"/>
      <c r="C3836" s="450"/>
      <c r="D3836" s="449">
        <f>TrialBalanceC!C129</f>
        <v>0</v>
      </c>
      <c r="J3836" s="451"/>
      <c r="K3836" s="451"/>
      <c r="L3836" s="452"/>
      <c r="M3836" s="40"/>
      <c r="N3836" s="451"/>
      <c r="O3836" s="559">
        <f>TrialBalanceC!I129</f>
        <v>0</v>
      </c>
      <c r="P3836" s="459"/>
      <c r="Q3836" s="469"/>
      <c r="R3836" s="512" t="str">
        <f t="shared" si="266"/>
        <v>DELETE</v>
      </c>
    </row>
    <row r="3837" spans="2:18" ht="31.5" customHeight="1" x14ac:dyDescent="0.45">
      <c r="B3837" s="468"/>
      <c r="C3837" s="450"/>
      <c r="D3837" s="449">
        <f>TrialBalanceC!C130</f>
        <v>0</v>
      </c>
      <c r="J3837" s="451"/>
      <c r="K3837" s="451"/>
      <c r="L3837" s="452"/>
      <c r="M3837" s="40"/>
      <c r="N3837" s="451"/>
      <c r="O3837" s="559">
        <f>TrialBalanceC!I130</f>
        <v>0</v>
      </c>
      <c r="P3837" s="459"/>
      <c r="Q3837" s="469"/>
      <c r="R3837" s="512" t="str">
        <f t="shared" si="266"/>
        <v>DELETE</v>
      </c>
    </row>
    <row r="3838" spans="2:18" ht="31.5" customHeight="1" x14ac:dyDescent="0.45">
      <c r="B3838" s="468"/>
      <c r="C3838" s="450"/>
      <c r="D3838" s="449">
        <f>TrialBalanceC!C131</f>
        <v>0</v>
      </c>
      <c r="J3838" s="451"/>
      <c r="K3838" s="451"/>
      <c r="L3838" s="452"/>
      <c r="M3838" s="40"/>
      <c r="N3838" s="451"/>
      <c r="O3838" s="559">
        <f>TrialBalanceC!I131</f>
        <v>0</v>
      </c>
      <c r="P3838" s="459"/>
      <c r="Q3838" s="469"/>
      <c r="R3838" s="512" t="str">
        <f t="shared" si="266"/>
        <v>DELETE</v>
      </c>
    </row>
    <row r="3839" spans="2:18" ht="31.5" customHeight="1" x14ac:dyDescent="0.45">
      <c r="B3839" s="468"/>
      <c r="C3839" s="450"/>
      <c r="D3839" s="449">
        <f>TrialBalanceC!C132</f>
        <v>0</v>
      </c>
      <c r="J3839" s="451"/>
      <c r="K3839" s="451"/>
      <c r="L3839" s="452"/>
      <c r="M3839" s="40"/>
      <c r="N3839" s="451"/>
      <c r="O3839" s="559">
        <f>TrialBalanceC!I132</f>
        <v>0</v>
      </c>
      <c r="P3839" s="459"/>
      <c r="Q3839" s="469"/>
      <c r="R3839" s="512" t="str">
        <f t="shared" si="266"/>
        <v>DELETE</v>
      </c>
    </row>
    <row r="3840" spans="2:18" ht="31.5" customHeight="1" x14ac:dyDescent="0.45">
      <c r="B3840" s="468"/>
      <c r="C3840" s="450"/>
      <c r="D3840" s="449">
        <f>TrialBalanceC!C133</f>
        <v>0</v>
      </c>
      <c r="J3840" s="451"/>
      <c r="K3840" s="451"/>
      <c r="L3840" s="452"/>
      <c r="M3840" s="40"/>
      <c r="N3840" s="451"/>
      <c r="O3840" s="559">
        <f>TrialBalanceC!I133</f>
        <v>0</v>
      </c>
      <c r="P3840" s="459"/>
      <c r="Q3840" s="469"/>
      <c r="R3840" s="512" t="str">
        <f t="shared" si="266"/>
        <v>DELETE</v>
      </c>
    </row>
    <row r="3841" spans="2:24" ht="31.5" customHeight="1" x14ac:dyDescent="0.45">
      <c r="B3841" s="468"/>
      <c r="C3841" s="450"/>
      <c r="D3841" s="449">
        <f>TrialBalanceC!C134</f>
        <v>0</v>
      </c>
      <c r="J3841" s="451"/>
      <c r="K3841" s="451"/>
      <c r="L3841" s="452"/>
      <c r="M3841" s="40"/>
      <c r="N3841" s="451"/>
      <c r="O3841" s="559">
        <f>TrialBalanceC!I134</f>
        <v>0</v>
      </c>
      <c r="P3841" s="459"/>
      <c r="Q3841" s="469"/>
      <c r="R3841" s="512" t="str">
        <f t="shared" si="266"/>
        <v>DELETE</v>
      </c>
    </row>
    <row r="3842" spans="2:24" ht="31.5" customHeight="1" x14ac:dyDescent="0.45">
      <c r="B3842" s="468"/>
      <c r="C3842" s="450"/>
      <c r="D3842" s="449">
        <f>TrialBalanceC!C135</f>
        <v>0</v>
      </c>
      <c r="J3842" s="451"/>
      <c r="K3842" s="451"/>
      <c r="L3842" s="452"/>
      <c r="M3842" s="40"/>
      <c r="N3842" s="451"/>
      <c r="O3842" s="559">
        <f>TrialBalanceC!I135</f>
        <v>0</v>
      </c>
      <c r="P3842" s="459"/>
      <c r="Q3842" s="469"/>
      <c r="R3842" s="512" t="str">
        <f t="shared" si="266"/>
        <v>DELETE</v>
      </c>
    </row>
    <row r="3843" spans="2:24" ht="31.5" customHeight="1" x14ac:dyDescent="0.45">
      <c r="B3843" s="468"/>
      <c r="C3843" s="450"/>
      <c r="D3843" s="449">
        <f>TrialBalanceC!C136</f>
        <v>0</v>
      </c>
      <c r="J3843" s="451"/>
      <c r="K3843" s="451"/>
      <c r="L3843" s="452"/>
      <c r="M3843" s="40"/>
      <c r="N3843" s="451"/>
      <c r="O3843" s="559">
        <f>TrialBalanceC!I136</f>
        <v>0</v>
      </c>
      <c r="P3843" s="459"/>
      <c r="Q3843" s="469"/>
      <c r="R3843" s="512" t="str">
        <f t="shared" si="266"/>
        <v>DELETE</v>
      </c>
    </row>
    <row r="3844" spans="2:24" ht="31.5" customHeight="1" x14ac:dyDescent="0.45">
      <c r="B3844" s="468"/>
      <c r="C3844" s="450"/>
      <c r="D3844" s="449">
        <f>TrialBalanceC!C137</f>
        <v>0</v>
      </c>
      <c r="J3844" s="451"/>
      <c r="K3844" s="451"/>
      <c r="L3844" s="452"/>
      <c r="M3844" s="40"/>
      <c r="N3844" s="451"/>
      <c r="O3844" s="559">
        <f>TrialBalanceC!I137</f>
        <v>0</v>
      </c>
      <c r="P3844" s="459"/>
      <c r="Q3844" s="469"/>
      <c r="R3844" s="512" t="str">
        <f t="shared" si="266"/>
        <v>DELETE</v>
      </c>
    </row>
    <row r="3845" spans="2:24" ht="31.5" customHeight="1" x14ac:dyDescent="0.45">
      <c r="B3845" s="468"/>
      <c r="C3845" s="450"/>
      <c r="D3845" s="449" t="str">
        <f>TrialBalanceC!C138</f>
        <v>Amortisation of prepaid lease agreement</v>
      </c>
      <c r="J3845" s="451"/>
      <c r="K3845" s="451"/>
      <c r="L3845" s="452"/>
      <c r="M3845" s="40"/>
      <c r="N3845" s="451"/>
      <c r="O3845" s="559">
        <f>TrialBalanceC!I138</f>
        <v>0</v>
      </c>
      <c r="P3845" s="459"/>
      <c r="Q3845" s="469"/>
      <c r="R3845" s="512" t="str">
        <f t="shared" si="266"/>
        <v>DELETE</v>
      </c>
    </row>
    <row r="3846" spans="2:24" ht="31.5" customHeight="1" x14ac:dyDescent="0.45">
      <c r="B3846" s="468"/>
      <c r="C3846" s="450"/>
      <c r="D3846" s="449" t="str">
        <f>TrialBalanceC!C139</f>
        <v>Amortisation of goodwill</v>
      </c>
      <c r="J3846" s="451"/>
      <c r="K3846" s="451"/>
      <c r="L3846" s="452"/>
      <c r="M3846" s="40"/>
      <c r="N3846" s="451"/>
      <c r="O3846" s="559">
        <f>TrialBalanceC!I139</f>
        <v>0</v>
      </c>
      <c r="P3846" s="459"/>
      <c r="Q3846" s="469"/>
      <c r="R3846" s="512" t="str">
        <f t="shared" ref="R3846" si="267">IF(R$3713="DELETE","DELETE",IF(O3846=0,"DELETE"," "))</f>
        <v>DELETE</v>
      </c>
    </row>
    <row r="3847" spans="2:24" ht="9" customHeight="1" x14ac:dyDescent="0.45">
      <c r="B3847" s="468"/>
      <c r="C3847" s="450"/>
      <c r="J3847" s="451"/>
      <c r="K3847" s="451"/>
      <c r="L3847" s="452"/>
      <c r="M3847" s="40"/>
      <c r="N3847" s="451"/>
      <c r="O3847" s="560"/>
      <c r="P3847" s="459"/>
      <c r="Q3847" s="469"/>
      <c r="R3847" s="512" t="str">
        <f>R3811</f>
        <v>DELETE</v>
      </c>
    </row>
    <row r="3848" spans="2:24" ht="9" customHeight="1" x14ac:dyDescent="0.45">
      <c r="B3848" s="468"/>
      <c r="C3848" s="450"/>
      <c r="J3848" s="451"/>
      <c r="K3848" s="451"/>
      <c r="L3848" s="452"/>
      <c r="M3848" s="40"/>
      <c r="N3848" s="451"/>
      <c r="O3848" s="535"/>
      <c r="P3848" s="459"/>
      <c r="Q3848" s="469"/>
      <c r="R3848" s="512" t="str">
        <f t="shared" ref="R3848:R3851" si="268">R$3713</f>
        <v>DELETE</v>
      </c>
    </row>
    <row r="3849" spans="2:24" ht="9" customHeight="1" x14ac:dyDescent="0.45">
      <c r="B3849" s="468"/>
      <c r="C3849" s="450"/>
      <c r="J3849" s="451"/>
      <c r="K3849" s="451"/>
      <c r="L3849" s="452"/>
      <c r="M3849" s="40"/>
      <c r="N3849" s="451"/>
      <c r="O3849" s="531"/>
      <c r="P3849" s="459"/>
      <c r="Q3849" s="469"/>
      <c r="R3849" s="512" t="str">
        <f t="shared" si="268"/>
        <v>DELETE</v>
      </c>
    </row>
    <row r="3850" spans="2:24" ht="31.5" customHeight="1" x14ac:dyDescent="0.45">
      <c r="B3850" s="468"/>
      <c r="C3850" s="492" t="str">
        <f>IF(O3850&lt;0,"OPERATING LOSS FOR THE YEAR","OPERATING PROFIT FOR THE YEAR")</f>
        <v>OPERATING PROFIT FOR THE YEAR</v>
      </c>
      <c r="J3850" s="451"/>
      <c r="K3850" s="451">
        <f>FS!B1141</f>
        <v>5</v>
      </c>
      <c r="L3850" s="452"/>
      <c r="M3850" s="40"/>
      <c r="N3850" s="451"/>
      <c r="O3850" s="531">
        <f>SUM(S3725:S3847)</f>
        <v>0</v>
      </c>
      <c r="P3850" s="459"/>
      <c r="Q3850" s="469"/>
      <c r="R3850" s="512" t="str">
        <f t="shared" si="268"/>
        <v>DELETE</v>
      </c>
    </row>
    <row r="3851" spans="2:24" ht="31.5" customHeight="1" x14ac:dyDescent="0.45">
      <c r="B3851" s="468"/>
      <c r="C3851" s="450"/>
      <c r="J3851" s="451"/>
      <c r="K3851" s="451"/>
      <c r="L3851" s="452"/>
      <c r="M3851" s="40"/>
      <c r="N3851" s="451"/>
      <c r="O3851" s="531"/>
      <c r="P3851" s="459"/>
      <c r="Q3851" s="469"/>
      <c r="R3851" s="512" t="str">
        <f t="shared" si="268"/>
        <v>DELETE</v>
      </c>
    </row>
    <row r="3852" spans="2:24" ht="31.5" customHeight="1" x14ac:dyDescent="0.45">
      <c r="B3852" s="468"/>
      <c r="C3852" s="450" t="s">
        <v>139</v>
      </c>
      <c r="J3852" s="451"/>
      <c r="K3852" s="451">
        <f>FS!B1228</f>
        <v>6</v>
      </c>
      <c r="L3852" s="452"/>
      <c r="M3852" s="40"/>
      <c r="N3852" s="451"/>
      <c r="O3852" s="531">
        <f>SUM(O3855:O3862)</f>
        <v>0</v>
      </c>
      <c r="P3852" s="459"/>
      <c r="Q3852" s="469"/>
      <c r="R3852" s="512" t="str">
        <f t="shared" ref="R3852" si="269">IF(R$3713="DELETE","DELETE",IF(O3852=0,"DELETE"," "))</f>
        <v>DELETE</v>
      </c>
      <c r="S3852" s="517">
        <f>O3852</f>
        <v>0</v>
      </c>
      <c r="T3852" s="517"/>
      <c r="U3852" s="517"/>
      <c r="V3852" s="517"/>
      <c r="W3852" s="517"/>
      <c r="X3852" s="517"/>
    </row>
    <row r="3853" spans="2:24" ht="9" customHeight="1" x14ac:dyDescent="0.45">
      <c r="B3853" s="468"/>
      <c r="C3853" s="450"/>
      <c r="J3853" s="451"/>
      <c r="K3853" s="451"/>
      <c r="L3853" s="452"/>
      <c r="M3853" s="40"/>
      <c r="N3853" s="451"/>
      <c r="O3853" s="531"/>
      <c r="P3853" s="459"/>
      <c r="Q3853" s="469"/>
      <c r="R3853" s="512" t="str">
        <f>R3852</f>
        <v>DELETE</v>
      </c>
    </row>
    <row r="3854" spans="2:24" ht="9" customHeight="1" x14ac:dyDescent="0.45">
      <c r="B3854" s="468"/>
      <c r="C3854" s="450"/>
      <c r="J3854" s="451"/>
      <c r="K3854" s="451"/>
      <c r="L3854" s="452"/>
      <c r="M3854" s="40"/>
      <c r="N3854" s="451"/>
      <c r="O3854" s="558"/>
      <c r="P3854" s="459"/>
      <c r="Q3854" s="469"/>
      <c r="R3854" s="512" t="str">
        <f>R3853</f>
        <v>DELETE</v>
      </c>
    </row>
    <row r="3855" spans="2:24" ht="31.5" customHeight="1" x14ac:dyDescent="0.45">
      <c r="B3855" s="468"/>
      <c r="C3855" s="450"/>
      <c r="D3855" s="449" t="s">
        <v>243</v>
      </c>
      <c r="J3855" s="451"/>
      <c r="K3855" s="451"/>
      <c r="L3855" s="452"/>
      <c r="M3855" s="40"/>
      <c r="N3855" s="451"/>
      <c r="O3855" s="559">
        <f>-TrialBalanceC!I94</f>
        <v>0</v>
      </c>
      <c r="P3855" s="459"/>
      <c r="Q3855" s="469"/>
      <c r="R3855" s="512" t="str">
        <f t="shared" ref="R3855:R3860" si="270">IF(R$3713="DELETE","DELETE",IF(O3855=0,"DELETE"," "))</f>
        <v>DELETE</v>
      </c>
    </row>
    <row r="3856" spans="2:24" ht="31.5" customHeight="1" x14ac:dyDescent="0.45">
      <c r="B3856" s="468"/>
      <c r="C3856" s="450"/>
      <c r="D3856" s="449" t="s">
        <v>612</v>
      </c>
      <c r="J3856" s="451"/>
      <c r="K3856" s="451"/>
      <c r="L3856" s="452"/>
      <c r="M3856" s="40"/>
      <c r="N3856" s="451"/>
      <c r="O3856" s="559">
        <f>-SUM(TrialBalanceC!I90:I92)</f>
        <v>0</v>
      </c>
      <c r="P3856" s="459"/>
      <c r="Q3856" s="469"/>
      <c r="R3856" s="512" t="str">
        <f t="shared" si="270"/>
        <v>DELETE</v>
      </c>
    </row>
    <row r="3857" spans="2:24" ht="31.5" customHeight="1" x14ac:dyDescent="0.45">
      <c r="B3857" s="468"/>
      <c r="C3857" s="450"/>
      <c r="D3857" s="449" t="s">
        <v>613</v>
      </c>
      <c r="J3857" s="451"/>
      <c r="K3857" s="451"/>
      <c r="L3857" s="452"/>
      <c r="M3857" s="40"/>
      <c r="N3857" s="451"/>
      <c r="O3857" s="561">
        <f>-SUM(TrialBalanceC!I85:I88)</f>
        <v>0</v>
      </c>
      <c r="P3857" s="459"/>
      <c r="Q3857" s="469"/>
      <c r="R3857" s="512" t="str">
        <f t="shared" si="270"/>
        <v>DELETE</v>
      </c>
    </row>
    <row r="3858" spans="2:24" ht="31.5" customHeight="1" x14ac:dyDescent="0.45">
      <c r="B3858" s="468"/>
      <c r="C3858" s="450"/>
      <c r="D3858" s="449" t="s">
        <v>245</v>
      </c>
      <c r="J3858" s="451"/>
      <c r="K3858" s="451"/>
      <c r="L3858" s="452"/>
      <c r="M3858" s="40"/>
      <c r="N3858" s="451"/>
      <c r="O3858" s="561">
        <f>-SUM(TrialBalanceC!I95)</f>
        <v>0</v>
      </c>
      <c r="P3858" s="459"/>
      <c r="Q3858" s="469"/>
      <c r="R3858" s="512" t="str">
        <f t="shared" si="270"/>
        <v>DELETE</v>
      </c>
    </row>
    <row r="3859" spans="2:24" ht="31.5" customHeight="1" x14ac:dyDescent="0.45">
      <c r="B3859" s="468"/>
      <c r="C3859" s="450"/>
      <c r="D3859" s="449" t="s">
        <v>634</v>
      </c>
      <c r="J3859" s="451"/>
      <c r="K3859" s="451"/>
      <c r="L3859" s="452"/>
      <c r="M3859" s="40"/>
      <c r="N3859" s="451"/>
      <c r="O3859" s="559">
        <f>IF(TrialBalanceC!I93&lt;0,-TrialBalanceC!I93,0)</f>
        <v>0</v>
      </c>
      <c r="P3859" s="459"/>
      <c r="Q3859" s="469"/>
      <c r="R3859" s="512" t="str">
        <f t="shared" si="270"/>
        <v>DELETE</v>
      </c>
    </row>
    <row r="3860" spans="2:24" ht="31.5" customHeight="1" x14ac:dyDescent="0.45">
      <c r="B3860" s="468"/>
      <c r="C3860" s="450"/>
      <c r="D3860" s="449" t="s">
        <v>433</v>
      </c>
      <c r="J3860" s="451"/>
      <c r="K3860" s="451"/>
      <c r="L3860" s="452"/>
      <c r="M3860" s="40"/>
      <c r="N3860" s="451"/>
      <c r="O3860" s="559">
        <f>-TrialBalanceC!I83</f>
        <v>0</v>
      </c>
      <c r="P3860" s="459"/>
      <c r="Q3860" s="469"/>
      <c r="R3860" s="512" t="str">
        <f t="shared" si="270"/>
        <v>DELETE</v>
      </c>
    </row>
    <row r="3861" spans="2:24" ht="31.5" customHeight="1" x14ac:dyDescent="0.45">
      <c r="B3861" s="468"/>
      <c r="C3861" s="450"/>
      <c r="D3861" s="449" t="str">
        <f>TrialBalance!C96</f>
        <v>Revaluation of investment property</v>
      </c>
      <c r="J3861" s="451"/>
      <c r="K3861" s="451"/>
      <c r="L3861" s="452"/>
      <c r="M3861" s="40"/>
      <c r="N3861" s="451"/>
      <c r="O3861" s="559">
        <f>-TrialBalanceC!I96</f>
        <v>0</v>
      </c>
      <c r="P3861" s="459"/>
      <c r="Q3861" s="469"/>
      <c r="R3861" s="512" t="str">
        <f>IF(R$3713="DELETE","DELETE",IF(O3861=0,"DELETE"," "))</f>
        <v>DELETE</v>
      </c>
    </row>
    <row r="3862" spans="2:24" ht="9" customHeight="1" x14ac:dyDescent="0.45">
      <c r="B3862" s="468"/>
      <c r="C3862" s="450"/>
      <c r="J3862" s="451"/>
      <c r="K3862" s="451"/>
      <c r="L3862" s="452"/>
      <c r="M3862" s="40"/>
      <c r="N3862" s="451"/>
      <c r="O3862" s="560"/>
      <c r="P3862" s="459"/>
      <c r="Q3862" s="469"/>
      <c r="R3862" s="512" t="str">
        <f>R3852</f>
        <v>DELETE</v>
      </c>
    </row>
    <row r="3863" spans="2:24" ht="9" customHeight="1" x14ac:dyDescent="0.45">
      <c r="B3863" s="468"/>
      <c r="C3863" s="450"/>
      <c r="J3863" s="451"/>
      <c r="K3863" s="451"/>
      <c r="L3863" s="452"/>
      <c r="M3863" s="40"/>
      <c r="N3863" s="451"/>
      <c r="O3863" s="535"/>
      <c r="P3863" s="459"/>
      <c r="Q3863" s="469"/>
      <c r="R3863" s="512" t="str">
        <f>R3862</f>
        <v>DELETE</v>
      </c>
    </row>
    <row r="3864" spans="2:24" ht="9" customHeight="1" x14ac:dyDescent="0.45">
      <c r="B3864" s="468"/>
      <c r="C3864" s="450"/>
      <c r="J3864" s="451"/>
      <c r="K3864" s="451"/>
      <c r="L3864" s="452"/>
      <c r="M3864" s="40"/>
      <c r="N3864" s="451"/>
      <c r="O3864" s="531"/>
      <c r="P3864" s="459"/>
      <c r="Q3864" s="469"/>
      <c r="R3864" s="512" t="str">
        <f>R3863</f>
        <v>DELETE</v>
      </c>
    </row>
    <row r="3865" spans="2:24" ht="31.5" customHeight="1" x14ac:dyDescent="0.45">
      <c r="B3865" s="468"/>
      <c r="C3865" s="450"/>
      <c r="J3865" s="451"/>
      <c r="K3865" s="451"/>
      <c r="L3865" s="452"/>
      <c r="M3865" s="40"/>
      <c r="N3865" s="451"/>
      <c r="O3865" s="531">
        <f>SUM(S3725:S3862)</f>
        <v>0</v>
      </c>
      <c r="P3865" s="459"/>
      <c r="Q3865" s="469"/>
      <c r="R3865" s="512" t="str">
        <f>R3864</f>
        <v>DELETE</v>
      </c>
    </row>
    <row r="3866" spans="2:24" ht="31.5" customHeight="1" x14ac:dyDescent="0.45">
      <c r="B3866" s="468"/>
      <c r="C3866" s="450"/>
      <c r="J3866" s="451"/>
      <c r="K3866" s="451"/>
      <c r="L3866" s="452"/>
      <c r="M3866" s="40"/>
      <c r="N3866" s="451"/>
      <c r="O3866" s="531"/>
      <c r="P3866" s="459"/>
      <c r="Q3866" s="469"/>
      <c r="R3866" s="512" t="str">
        <f>R3865</f>
        <v>DELETE</v>
      </c>
    </row>
    <row r="3867" spans="2:24" ht="31.5" customHeight="1" x14ac:dyDescent="0.45">
      <c r="B3867" s="468"/>
      <c r="C3867" s="450" t="s">
        <v>318</v>
      </c>
      <c r="J3867" s="451"/>
      <c r="K3867" s="451">
        <f>FS!B1287</f>
        <v>7</v>
      </c>
      <c r="L3867" s="452"/>
      <c r="M3867" s="40"/>
      <c r="N3867" s="451"/>
      <c r="O3867" s="531">
        <f>SUM(TrialBalanceC!I142:I152)</f>
        <v>0</v>
      </c>
      <c r="P3867" s="459"/>
      <c r="Q3867" s="469"/>
      <c r="R3867" s="512" t="str">
        <f t="shared" ref="R3867" si="271">IF(R$3713="DELETE","DELETE",IF(O3867=0,"DELETE"," "))</f>
        <v>DELETE</v>
      </c>
      <c r="S3867" s="517">
        <f>-O3867</f>
        <v>0</v>
      </c>
      <c r="T3867" s="517"/>
      <c r="U3867" s="517"/>
      <c r="V3867" s="517"/>
      <c r="W3867" s="517"/>
      <c r="X3867" s="517"/>
    </row>
    <row r="3868" spans="2:24" ht="9" customHeight="1" x14ac:dyDescent="0.45">
      <c r="B3868" s="468"/>
      <c r="C3868" s="450"/>
      <c r="J3868" s="451"/>
      <c r="K3868" s="451"/>
      <c r="L3868" s="452"/>
      <c r="M3868" s="40"/>
      <c r="N3868" s="451"/>
      <c r="O3868" s="535"/>
      <c r="P3868" s="459"/>
      <c r="Q3868" s="469"/>
      <c r="R3868" s="512" t="str">
        <f t="shared" ref="R3868:R3876" si="272">R$3713</f>
        <v>DELETE</v>
      </c>
    </row>
    <row r="3869" spans="2:24" ht="9" customHeight="1" x14ac:dyDescent="0.45">
      <c r="B3869" s="468"/>
      <c r="C3869" s="450"/>
      <c r="J3869" s="451"/>
      <c r="K3869" s="451"/>
      <c r="L3869" s="452"/>
      <c r="M3869" s="40"/>
      <c r="N3869" s="451"/>
      <c r="O3869" s="531"/>
      <c r="P3869" s="459"/>
      <c r="Q3869" s="469"/>
      <c r="R3869" s="512" t="str">
        <f t="shared" si="272"/>
        <v>DELETE</v>
      </c>
    </row>
    <row r="3870" spans="2:24" ht="31.5" customHeight="1" x14ac:dyDescent="0.45">
      <c r="B3870" s="468"/>
      <c r="C3870" s="492" t="str">
        <f>IF(O3870&lt;0,"LOSS BEFORE TAXATION","PROFIT BEFORE TAXATION")</f>
        <v>PROFIT BEFORE TAXATION</v>
      </c>
      <c r="J3870" s="451"/>
      <c r="K3870" s="451"/>
      <c r="L3870" s="452"/>
      <c r="M3870" s="40"/>
      <c r="N3870" s="451"/>
      <c r="O3870" s="531">
        <f>SUM(S3725:S3869)</f>
        <v>0</v>
      </c>
      <c r="P3870" s="459"/>
      <c r="Q3870" s="469"/>
      <c r="R3870" s="512" t="str">
        <f t="shared" si="272"/>
        <v>DELETE</v>
      </c>
      <c r="V3870" s="513" t="b">
        <f>O3870=FS!M2739</f>
        <v>1</v>
      </c>
    </row>
    <row r="3871" spans="2:24" ht="9" customHeight="1" thickBot="1" x14ac:dyDescent="0.5">
      <c r="B3871" s="468"/>
      <c r="C3871" s="450"/>
      <c r="J3871" s="451"/>
      <c r="K3871" s="451"/>
      <c r="L3871" s="452"/>
      <c r="M3871" s="40"/>
      <c r="N3871" s="451"/>
      <c r="O3871" s="536"/>
      <c r="P3871" s="459"/>
      <c r="Q3871" s="469"/>
      <c r="R3871" s="512" t="str">
        <f t="shared" si="272"/>
        <v>DELETE</v>
      </c>
    </row>
    <row r="3872" spans="2:24" ht="9" customHeight="1" thickTop="1" x14ac:dyDescent="0.45">
      <c r="B3872" s="468"/>
      <c r="C3872" s="450"/>
      <c r="J3872" s="451"/>
      <c r="K3872" s="451"/>
      <c r="L3872" s="452"/>
      <c r="M3872" s="40"/>
      <c r="N3872" s="451"/>
      <c r="O3872" s="548"/>
      <c r="P3872" s="459"/>
      <c r="Q3872" s="469"/>
      <c r="R3872" s="512" t="str">
        <f t="shared" si="272"/>
        <v>DELETE</v>
      </c>
    </row>
    <row r="3873" spans="2:18" ht="31.5" customHeight="1" x14ac:dyDescent="0.45">
      <c r="B3873" s="468"/>
      <c r="C3873" s="450"/>
      <c r="J3873" s="451"/>
      <c r="K3873" s="451"/>
      <c r="L3873" s="452"/>
      <c r="M3873" s="40"/>
      <c r="N3873" s="451"/>
      <c r="O3873" s="531"/>
      <c r="P3873" s="459"/>
      <c r="Q3873" s="469"/>
      <c r="R3873" s="512" t="str">
        <f t="shared" si="272"/>
        <v>DELETE</v>
      </c>
    </row>
    <row r="3874" spans="2:18" ht="31.5" customHeight="1" x14ac:dyDescent="0.45">
      <c r="B3874" s="468"/>
      <c r="C3874" s="450"/>
      <c r="J3874" s="451"/>
      <c r="K3874" s="451"/>
      <c r="L3874" s="451"/>
      <c r="M3874" s="531"/>
      <c r="N3874" s="470"/>
      <c r="O3874" s="531"/>
      <c r="P3874" s="459"/>
      <c r="Q3874" s="469"/>
      <c r="R3874" s="512" t="str">
        <f t="shared" si="272"/>
        <v>DELETE</v>
      </c>
    </row>
    <row r="3875" spans="2:18" ht="31.5" customHeight="1" x14ac:dyDescent="0.45">
      <c r="B3875" s="477"/>
      <c r="C3875" s="461"/>
      <c r="D3875" s="461"/>
      <c r="E3875" s="461"/>
      <c r="F3875" s="461"/>
      <c r="G3875" s="461"/>
      <c r="H3875" s="461"/>
      <c r="I3875" s="461"/>
      <c r="J3875" s="461"/>
      <c r="K3875" s="461"/>
      <c r="L3875" s="461"/>
      <c r="M3875" s="640"/>
      <c r="N3875" s="646"/>
      <c r="O3875" s="640"/>
      <c r="P3875" s="631"/>
      <c r="Q3875" s="479"/>
      <c r="R3875" s="512" t="str">
        <f t="shared" si="272"/>
        <v>DELETE</v>
      </c>
    </row>
    <row r="3876" spans="2:18" ht="31.5" customHeight="1" x14ac:dyDescent="0.45">
      <c r="M3876" s="635"/>
      <c r="N3876" s="621"/>
      <c r="O3876" s="635"/>
      <c r="R3876" s="512" t="str">
        <f t="shared" si="272"/>
        <v>DELETE</v>
      </c>
    </row>
  </sheetData>
  <sheetProtection algorithmName="SHA-512" hashValue="6mqGxQiY9w/alxDjJ3PYWRM71zMDVYM8Tp7AFijhNoa1n9jdjq6AbzG6+OnLbbORSA/TEv8gjf6LIGXWZ4U/nw==" saltValue="1NWkuAiT6xF8ssLhDRSeRw==" spinCount="100000" sheet="1" formatColumns="0" formatRows="0" insertRows="0"/>
  <sortState xmlns:xlrd2="http://schemas.microsoft.com/office/spreadsheetml/2017/richdata2" ref="D2509:R2512">
    <sortCondition ref="D2509"/>
  </sortState>
  <mergeCells count="13">
    <mergeCell ref="O2562:P2562"/>
    <mergeCell ref="O2561:P2561"/>
    <mergeCell ref="L2561:N2561"/>
    <mergeCell ref="L2562:N2562"/>
    <mergeCell ref="E383:H383"/>
    <mergeCell ref="D379:H379"/>
    <mergeCell ref="V1:X1"/>
    <mergeCell ref="J211:K211"/>
    <mergeCell ref="A235:Q235"/>
    <mergeCell ref="A288:P288"/>
    <mergeCell ref="D16:N16"/>
    <mergeCell ref="D18:N18"/>
    <mergeCell ref="D20:N20"/>
  </mergeCells>
  <phoneticPr fontId="0" type="noConversion"/>
  <hyperlinks>
    <hyperlink ref="O2721" r:id="rId1" display="-@sum(TrialBalance!A67:A70" xr:uid="{00000000-0004-0000-0000-000000000000}"/>
    <hyperlink ref="O626" r:id="rId2" display="-TrialBalance!A146-@sum(TrialBalance!A5:A127)" xr:uid="{00000000-0004-0000-0000-000001000000}"/>
    <hyperlink ref="D540" r:id="rId3" display="=@IF(U501+V501=1,&quot;GROSS PROFIT/(LOSS)&quot;,IF((U501+V501=2),&quot;GROSS PROFIT&quot;,&quot;GROSS LOSS&quot;))" xr:uid="{00000000-0004-0000-0000-000003000000}"/>
    <hyperlink ref="D530" r:id="rId4" display="=@IF(U501+V501=1,&quot;GROSS PROFIT/(LOSS)&quot;,IF((U501+V501=2),&quot;GROSS PROFIT&quot;,&quot;GROSS LOSS&quot;))" xr:uid="{00000000-0004-0000-0000-000004000000}"/>
    <hyperlink ref="D548" r:id="rId5" display="=@IF(U501+V501=1,&quot;GROSS PROFIT/(LOSS)&quot;,IF((U501+V501=2),&quot;GROSS PROFIT&quot;,&quot;GROSS LOSS&quot;))" xr:uid="{00000000-0004-0000-0000-000005000000}"/>
    <hyperlink ref="D553" r:id="rId6" display="=@IF(U501+V501=1,&quot;GROSS PROFIT/(LOSS)&quot;,IF((U501+V501=2),&quot;GROSS PROFIT&quot;,&quot;GROSS LOSS&quot;))" xr:uid="{00000000-0004-0000-0000-000006000000}"/>
    <hyperlink ref="C2606" r:id="rId7" display="=@IF(U501+V501=1,&quot;GROSS PROFIT/(LOSS)&quot;,IF((U501+V501=2),&quot;GROSS PROFIT&quot;,&quot;GROSS LOSS&quot;))" xr:uid="{00000000-0004-0000-0000-000007000000}"/>
    <hyperlink ref="C2655" r:id="rId8" display="=@IF(U501+V501=1,&quot;GROSS PROFIT/(LOSS)&quot;,IF((U501+V501=2),&quot;GROSS PROFIT&quot;,&quot;GROSS LOSS&quot;))" xr:uid="{00000000-0004-0000-0000-000008000000}"/>
    <hyperlink ref="C2671" r:id="rId9" display="=@IF(U501+V501=1,&quot;GROSS PROFIT/(LOSS)&quot;,IF((U501+V501=2),&quot;GROSS PROFIT&quot;,&quot;GROSS LOSS&quot;))" xr:uid="{00000000-0004-0000-0000-000009000000}"/>
    <hyperlink ref="C2714" r:id="rId10" display="=@IF(U501+V501=1,&quot;GROSS PROFIT/(LOSS)&quot;,IF((U501+V501=2),&quot;GROSS PROFIT&quot;,&quot;GROSS LOSS&quot;))" xr:uid="{00000000-0004-0000-0000-00000A000000}"/>
    <hyperlink ref="C2734" r:id="rId11" display="=@IF(U501+V501=1,&quot;GROSS PROFIT/(LOSS)&quot;,IF((U501+V501=2),&quot;GROSS PROFIT&quot;,&quot;GROSS LOSS&quot;))" xr:uid="{00000000-0004-0000-0000-00000B000000}"/>
    <hyperlink ref="C2747" r:id="rId12" display="=@IF(U501+V501=1,&quot;GROSS PROFIT/(LOSS)&quot;,IF((U501+V501=2),&quot;GROSS PROFIT&quot;,&quot;GROSS LOSS&quot;))" xr:uid="{00000000-0004-0000-0000-00000C000000}"/>
    <hyperlink ref="D626" r:id="rId13" display="=@IF(U501+V501=1,&quot;GROSS PROFIT/(LOSS)&quot;,IF((U501+V501=2),&quot;GROSS PROFIT&quot;,&quot;GROSS LOSS&quot;))" xr:uid="{00000000-0004-0000-0000-00000D000000}"/>
    <hyperlink ref="D1142" r:id="rId14" display="=@IF(U501+V501=1,&quot;GROSS PROFIT/(LOSS)&quot;,IF((U501+V501=2),&quot;GROSS PROFIT&quot;,&quot;GROSS LOSS&quot;))" xr:uid="{00000000-0004-0000-0000-00000E000000}"/>
    <hyperlink ref="C2501" r:id="rId15" display="=@IF(U501+V501=1,&quot;GROSS PROFIT/(LOSS)&quot;,IF((U501+V501=2),&quot;GROSS PROFIT&quot;,&quot;GROSS LOSS&quot;))" xr:uid="{00000000-0004-0000-0000-00000F000000}"/>
    <hyperlink ref="M2721" r:id="rId16" display="-@sum(TrialBalance!A67:A70" xr:uid="{00000000-0004-0000-0000-000010000000}"/>
    <hyperlink ref="M626" r:id="rId17" display="-TrialBalance!A146-@sum(TrialBalance!A5:A127)" xr:uid="{00000000-0004-0000-0000-000012000000}"/>
    <hyperlink ref="D2504" r:id="rId18" display="=@IF(U501+V501=1,&quot;GROSS PROFIT/(LOSS)&quot;,IF((U501+V501=2),&quot;GROSS PROFIT&quot;,&quot;GROSS LOSS&quot;))" xr:uid="{00000000-0004-0000-0000-000017000000}"/>
    <hyperlink ref="M534" r:id="rId19" display="-@sum(TrialBalance!A23:A63" xr:uid="{00000000-0004-0000-0000-00001A000000}"/>
    <hyperlink ref="M536" r:id="rId20" display="-@sum(TrialBalance!A77:A111" xr:uid="{00000000-0004-0000-0000-00001C000000}"/>
    <hyperlink ref="M544" r:id="rId21" display="-@sum(TrialBalance!A112:A118" xr:uid="{00000000-0004-0000-0000-00001E000000}"/>
    <hyperlink ref="M550" r:id="rId22" display="-@sum(TrialBalance!A119:A125" xr:uid="{00000000-0004-0000-0000-000020000000}"/>
    <hyperlink ref="O550" r:id="rId23" display="-@sum(TrialBalance!A119:A125" xr:uid="{00000000-0004-0000-0000-000021000000}"/>
    <hyperlink ref="D2522" r:id="rId24" display="=@IF(U501+V501=1,&quot;GROSS PROFIT/(LOSS)&quot;,IF((U501+V501=2),&quot;GROSS PROFIT&quot;,&quot;GROSS LOSS&quot;))" xr:uid="{00000000-0004-0000-0000-000023000000}"/>
    <hyperlink ref="D2523" r:id="rId25" display="=@IF(U501+V501=1,&quot;GROSS PROFIT/(LOSS)&quot;,IF((U501+V501=2),&quot;GROSS PROFIT&quot;,&quot;GROSS LOSS&quot;))" xr:uid="{00000000-0004-0000-0000-000024000000}"/>
    <hyperlink ref="D2524" r:id="rId26" display="=@IF(U501+V501=1,&quot;GROSS PROFIT/(LOSS)&quot;,IF((U501+V501=2),&quot;GROSS PROFIT&quot;,&quot;GROSS LOSS&quot;))" xr:uid="{00000000-0004-0000-0000-000025000000}"/>
    <hyperlink ref="D2841" r:id="rId27" display="=@IF(U501+V501=1,&quot;GROSS PROFIT/(LOSS)&quot;,IF((U501+V501=2),&quot;GROSS PROFIT&quot;,&quot;GROSS LOSS&quot;))" xr:uid="{00000000-0004-0000-0000-00002C000000}"/>
    <hyperlink ref="D497" r:id="rId28" display="=@if(Criteria!F343=&quot;No&quot;,Criteria!G346,&quot; &quot;)" xr:uid="{00000000-0004-0000-0000-00002E000000}"/>
    <hyperlink ref="D498" r:id="rId29" display="=@if(Criteria!F343=&quot;No&quot;,Criteria!G346,&quot; &quot;)" xr:uid="{00000000-0004-0000-0000-00002F000000}"/>
    <hyperlink ref="C1141" r:id="rId30" display="=@IF(U501+V501=1,&quot;GROSS PROFIT/(LOSS)&quot;,IF((U501+V501=2),&quot;GROSS PROFIT&quot;,&quot;GROSS LOSS&quot;))" xr:uid="{00000000-0004-0000-0000-000030000000}"/>
    <hyperlink ref="C701" r:id="rId31" display="=@IF(U501+V501=1,&quot;GROSS PROFIT/(LOSS)&quot;,IF((U501+V501=2),&quot;GROSS PROFIT&quot;,&quot;GROSS LOSS&quot;))" xr:uid="{00000000-0004-0000-0000-000033000000}"/>
    <hyperlink ref="D704" r:id="rId32" display="=@IF(U501+V501=1,&quot;GROSS PROFIT/(LOSS)&quot;,IF((U501+V501=2),&quot;GROSS PROFIT&quot;,&quot;GROSS LOSS&quot;))" xr:uid="{00000000-0004-0000-0000-000034000000}"/>
    <hyperlink ref="M2104" r:id="rId33" display="=@if(Criteria!E33*Criteria!E34=Criteria!E36*Criteria!E37,&quot; &quot;,Criteria!E33*Criteria!E34)" xr:uid="{00000000-0004-0000-0000-000035000000}"/>
    <hyperlink ref="O2104" r:id="rId34" display="=@if(Criteria!E33*Criteria!E34=Criteria!E36*Criteria!E37,&quot; &quot;,Criteria!E33*Criteria!E34)" xr:uid="{00000000-0004-0000-0000-000036000000}"/>
    <hyperlink ref="D2737" r:id="rId35" display="=@IF(U501+V501=1,&quot;GROSS PROFIT/(LOSS)&quot;,IF((U501+V501=2),&quot;GROSS PROFIT&quot;,&quot;GROSS LOSS&quot;))" xr:uid="{6D530753-BDD5-4F20-8178-EAE322919C04}"/>
    <hyperlink ref="D2739" r:id="rId36" display="=@IF(U501+V501=1,&quot;GROSS PROFIT/(LOSS)&quot;,IF((U501+V501=2),&quot;GROSS PROFIT&quot;,&quot;GROSS LOSS&quot;))" xr:uid="{DC6D711C-1384-4115-AC4F-089FEF92BDB6}"/>
    <hyperlink ref="O534" r:id="rId37" display="-@sum(TrialBalance!A23:A63" xr:uid="{8A802148-5870-4859-BDC2-2739987B54F5}"/>
    <hyperlink ref="O536" r:id="rId38" display="-@sum(TrialBalance!A77:A111" xr:uid="{74D341AA-7716-4AA2-8727-4DC956228A94}"/>
    <hyperlink ref="O544" r:id="rId39" display="-@sum(TrialBalance!A112:A118" xr:uid="{4D7304DC-15C3-441E-81C7-350E34AABB04}"/>
    <hyperlink ref="D2272" r:id="rId40" display="=@IF(U501+V501=1,&quot;GROSS PROFIT/(LOSS)&quot;,IF((U501+V501=2),&quot;GROSS PROFIT&quot;,&quot;GROSS LOSS&quot;))" xr:uid="{6D0CDBB9-6B0B-4DBD-B7BD-35591D412516}"/>
    <hyperlink ref="D2301" r:id="rId41" display="=@IF(U501+V501=1,&quot;GROSS PROFIT/(LOSS)&quot;,IF((U501+V501=2),&quot;GROSS PROFIT&quot;,&quot;GROSS LOSS&quot;))" xr:uid="{D830917F-1C97-492B-BD44-7D627232BAFA}"/>
    <hyperlink ref="M3037" r:id="rId42" display="-@sum(TrialBalance!A67:A70" xr:uid="{76DE13E3-14E1-4654-8949-628A89D9844C}"/>
    <hyperlink ref="C3050" r:id="rId43" display="=@IF(U501+V501=1,&quot;GROSS PROFIT/(LOSS)&quot;,IF((U501+V501=2),&quot;GROSS PROFIT&quot;,&quot;GROSS LOSS&quot;))" xr:uid="{D167F7AB-9D6E-4F5F-8E45-E5071EF929EF}"/>
    <hyperlink ref="C3030" r:id="rId44" display="=@IF(U501+V501=1,&quot;GROSS PROFIT/(LOSS)&quot;,IF((U501+V501=2),&quot;GROSS PROFIT&quot;,&quot;GROSS LOSS&quot;))" xr:uid="{3EB153A4-A4CC-45B2-9BA2-B586C43DAD2E}"/>
    <hyperlink ref="C2988" r:id="rId45" display="=@IF(U501+V501=1,&quot;GROSS PROFIT/(LOSS)&quot;,IF((U501+V501=2),&quot;GROSS PROFIT&quot;,&quot;GROSS LOSS&quot;))" xr:uid="{E6D04A8E-8C1A-4EFE-BBC4-05625D7E4F8F}"/>
    <hyperlink ref="C2972" r:id="rId46" display="=@IF(U501+V501=1,&quot;GROSS PROFIT/(LOSS)&quot;,IF((U501+V501=2),&quot;GROSS PROFIT&quot;,&quot;GROSS LOSS&quot;))" xr:uid="{32BEBCCD-1976-4288-A534-0214E7920CDE}"/>
    <hyperlink ref="C2923" r:id="rId47" display="=@IF(U501+V501=1,&quot;GROSS PROFIT/(LOSS)&quot;,IF((U501+V501=2),&quot;GROSS PROFIT&quot;,&quot;GROSS LOSS&quot;))" xr:uid="{ABA47BFF-34C2-4871-BC1D-87C6A829A739}"/>
    <hyperlink ref="O3037" r:id="rId48" display="-@sum(TrialBalance!A67:A70" xr:uid="{11959076-A1E1-4023-9E05-2716C0B1A437}"/>
    <hyperlink ref="O3201" r:id="rId49" display="-@sum(TrialBalance!A67:A70" xr:uid="{B416A677-129B-44FA-9433-8BA12FD92D29}"/>
    <hyperlink ref="C3214" r:id="rId50" display="=@IF(U501+V501=1,&quot;GROSS PROFIT/(LOSS)&quot;,IF((U501+V501=2),&quot;GROSS PROFIT&quot;,&quot;GROSS LOSS&quot;))" xr:uid="{5AFCB005-45A8-428E-B8E5-D1D63B5EE9C1}"/>
    <hyperlink ref="C3194" r:id="rId51" display="=@IF(U501+V501=1,&quot;GROSS PROFIT/(LOSS)&quot;,IF((U501+V501=2),&quot;GROSS PROFIT&quot;,&quot;GROSS LOSS&quot;))" xr:uid="{DAB7BEFC-8F9C-4990-BFB8-287D46C083D4}"/>
    <hyperlink ref="C3152" r:id="rId52" display="=@IF(U501+V501=1,&quot;GROSS PROFIT/(LOSS)&quot;,IF((U501+V501=2),&quot;GROSS PROFIT&quot;,&quot;GROSS LOSS&quot;))" xr:uid="{5724C979-7EFE-4D83-9416-1101010A63BD}"/>
    <hyperlink ref="C3136" r:id="rId53" display="=@IF(U501+V501=1,&quot;GROSS PROFIT/(LOSS)&quot;,IF((U501+V501=2),&quot;GROSS PROFIT&quot;,&quot;GROSS LOSS&quot;))" xr:uid="{2106299E-A0FD-4668-BB38-CBD59862B6DB}"/>
    <hyperlink ref="C3087" r:id="rId54" display="=@IF(U501+V501=1,&quot;GROSS PROFIT/(LOSS)&quot;,IF((U501+V501=2),&quot;GROSS PROFIT&quot;,&quot;GROSS LOSS&quot;))" xr:uid="{78FA2441-4542-488A-B4E4-051264C59175}"/>
    <hyperlink ref="M3365" r:id="rId55" display="-@sum(TrialBalance!A67:A70" xr:uid="{5CE439A9-2EEA-41C1-8DCF-0E14934A5DF7}"/>
    <hyperlink ref="C3378" r:id="rId56" display="=@IF(U501+V501=1,&quot;GROSS PROFIT/(LOSS)&quot;,IF((U501+V501=2),&quot;GROSS PROFIT&quot;,&quot;GROSS LOSS&quot;))" xr:uid="{BCDEC460-EFCA-47C5-BB51-5C759E708F82}"/>
    <hyperlink ref="C3358" r:id="rId57" display="=@IF(U501+V501=1,&quot;GROSS PROFIT/(LOSS)&quot;,IF((U501+V501=2),&quot;GROSS PROFIT&quot;,&quot;GROSS LOSS&quot;))" xr:uid="{62424474-DC84-48C1-B787-69185B0D33AE}"/>
    <hyperlink ref="C3316" r:id="rId58" display="=@IF(U501+V501=1,&quot;GROSS PROFIT/(LOSS)&quot;,IF((U501+V501=2),&quot;GROSS PROFIT&quot;,&quot;GROSS LOSS&quot;))" xr:uid="{640AD6C2-487F-41EE-A287-F2F8477466CB}"/>
    <hyperlink ref="C3300" r:id="rId59" display="=@IF(U501+V501=1,&quot;GROSS PROFIT/(LOSS)&quot;,IF((U501+V501=2),&quot;GROSS PROFIT&quot;,&quot;GROSS LOSS&quot;))" xr:uid="{14CD13E1-C53A-4CB3-B087-CF5EC40021BD}"/>
    <hyperlink ref="C3251" r:id="rId60" display="=@IF(U501+V501=1,&quot;GROSS PROFIT/(LOSS)&quot;,IF((U501+V501=2),&quot;GROSS PROFIT&quot;,&quot;GROSS LOSS&quot;))" xr:uid="{15CCCCFA-F76F-49A8-8ACC-BFF5D19AA849}"/>
    <hyperlink ref="O3365" r:id="rId61" display="-@sum(TrialBalance!A67:A70" xr:uid="{0FAF4511-AE58-4FFB-B5C6-0D1556FE9A85}"/>
    <hyperlink ref="O3529" r:id="rId62" display="-@sum(TrialBalance!A67:A70" xr:uid="{401DFF96-4993-4EF2-9704-B380881056B3}"/>
    <hyperlink ref="C3542" r:id="rId63" display="=@IF(U501+V501=1,&quot;GROSS PROFIT/(LOSS)&quot;,IF((U501+V501=2),&quot;GROSS PROFIT&quot;,&quot;GROSS LOSS&quot;))" xr:uid="{0EC4FCFA-31A7-4354-8C3C-D2C45713E811}"/>
    <hyperlink ref="C3522" r:id="rId64" display="=@IF(U501+V501=1,&quot;GROSS PROFIT/(LOSS)&quot;,IF((U501+V501=2),&quot;GROSS PROFIT&quot;,&quot;GROSS LOSS&quot;))" xr:uid="{3430C363-4422-465C-947D-44EBA0BE9E17}"/>
    <hyperlink ref="C3464" r:id="rId65" display="=@IF(U501+V501=1,&quot;GROSS PROFIT/(LOSS)&quot;,IF((U501+V501=2),&quot;GROSS PROFIT&quot;,&quot;GROSS LOSS&quot;))" xr:uid="{7B973B0A-6456-4C63-8A83-C130AC59D439}"/>
    <hyperlink ref="C3415" r:id="rId66" display="=@IF(U501+V501=1,&quot;GROSS PROFIT/(LOSS)&quot;,IF((U501+V501=2),&quot;GROSS PROFIT&quot;,&quot;GROSS LOSS&quot;))" xr:uid="{0185AFBC-49DE-40F4-8206-E51EB1E1EDF1}"/>
    <hyperlink ref="C3480" r:id="rId67" display="=@IF(U501+V501=1,&quot;GROSS PROFIT/(LOSS)&quot;,IF((U501+V501=2),&quot;GROSS PROFIT&quot;,&quot;GROSS LOSS&quot;))" xr:uid="{3599DC75-9B30-4D8F-A24F-4825FF81CF39}"/>
    <hyperlink ref="O3693" r:id="rId68" display="-@sum(TrialBalance!A67:A70" xr:uid="{E16706A6-1ADC-4822-8AAA-4DF9DC5CE3E4}"/>
    <hyperlink ref="C3579" r:id="rId69" display="=@IF(U501+V501=1,&quot;GROSS PROFIT/(LOSS)&quot;,IF((U501+V501=2),&quot;GROSS PROFIT&quot;,&quot;GROSS LOSS&quot;))" xr:uid="{9A45D8C4-0860-4DA7-B096-40C46E11E1A2}"/>
    <hyperlink ref="C3628" r:id="rId70" display="=@IF(U501+V501=1,&quot;GROSS PROFIT/(LOSS)&quot;,IF((U501+V501=2),&quot;GROSS PROFIT&quot;,&quot;GROSS LOSS&quot;))" xr:uid="{4DAA6F50-6332-4CEE-A119-40B1C63EA37E}"/>
    <hyperlink ref="C3644" r:id="rId71" display="=@IF(U501+V501=1,&quot;GROSS PROFIT/(LOSS)&quot;,IF((U501+V501=2),&quot;GROSS PROFIT&quot;,&quot;GROSS LOSS&quot;))" xr:uid="{98FE660A-A57F-405B-8402-D6359ACB2C7D}"/>
    <hyperlink ref="C3686" r:id="rId72" display="=@IF(U501+V501=1,&quot;GROSS PROFIT/(LOSS)&quot;,IF((U501+V501=2),&quot;GROSS PROFIT&quot;,&quot;GROSS LOSS&quot;))" xr:uid="{33DCF48D-2A50-4E2E-8B79-C5C76BA60855}"/>
    <hyperlink ref="C3706" r:id="rId73" display="=@IF(U501+V501=1,&quot;GROSS PROFIT/(LOSS)&quot;,IF((U501+V501=2),&quot;GROSS PROFIT&quot;,&quot;GROSS LOSS&quot;))" xr:uid="{7AC3C5FE-9885-48D2-8509-F3D0C69E2917}"/>
    <hyperlink ref="M3693" r:id="rId74" display="-@sum(TrialBalance!A67:A70" xr:uid="{F02BEE7E-C98E-4BB2-A081-B287D178CBDB}"/>
    <hyperlink ref="C3743" r:id="rId75" display="=@IF(U501+V501=1,&quot;GROSS PROFIT/(LOSS)&quot;,IF((U501+V501=2),&quot;GROSS PROFIT&quot;,&quot;GROSS LOSS&quot;))" xr:uid="{8C1BCC73-5075-4D5E-B889-56EBAAFE96A1}"/>
    <hyperlink ref="C3792" r:id="rId76" display="=@IF(U501+V501=1,&quot;GROSS PROFIT/(LOSS)&quot;,IF((U501+V501=2),&quot;GROSS PROFIT&quot;,&quot;GROSS LOSS&quot;))" xr:uid="{8B84D3A4-A42D-4A60-BD86-46AA85234C4B}"/>
    <hyperlink ref="C3850" r:id="rId77" display="=@IF(U501+V501=1,&quot;GROSS PROFIT/(LOSS)&quot;,IF((U501+V501=2),&quot;GROSS PROFIT&quot;,&quot;GROSS LOSS&quot;))" xr:uid="{C744FD99-8098-4CC3-B09A-3880334447CD}"/>
    <hyperlink ref="C3870" r:id="rId78" display="=@IF(U501+V501=1,&quot;GROSS PROFIT/(LOSS)&quot;,IF((U501+V501=2),&quot;GROSS PROFIT&quot;,&quot;GROSS LOSS&quot;))" xr:uid="{1570E290-DD82-4D7E-BC92-A28E8A5C2096}"/>
    <hyperlink ref="O3857" r:id="rId79" display="-@sum(TrialBalance!A67:A70" xr:uid="{121AA74C-53E3-4260-8B17-18FC23DB7F45}"/>
    <hyperlink ref="C3808" r:id="rId80" display="=@IF(U501+V501=1,&quot;GROSS PROFIT/(LOSS)&quot;,IF((U501+V501=2),&quot;GROSS PROFIT&quot;,&quot;GROSS LOSS&quot;))" xr:uid="{CAA3C9C0-6324-4B4A-919B-D4DADE96D443}"/>
    <hyperlink ref="D1414" r:id="rId81" display="=@IF(U501+V501=1,&quot;GROSS PROFIT/(LOSS)&quot;,IF((U501+V501=2),&quot;GROSS PROFIT&quot;,&quot;GROSS LOSS&quot;))" xr:uid="{11540BDE-98B0-470D-8E8B-F88A30E7C168}"/>
    <hyperlink ref="C2544" r:id="rId82" display="=@IF(U501+V501=1,&quot;GROSS PROFIT/(LOSS)&quot;,IF((U501+V501=2),&quot;GROSS PROFIT&quot;,&quot;GROSS LOSS&quot;))" xr:uid="{5C62542B-5606-44D4-BDBF-10DE5B25A897}"/>
    <hyperlink ref="D499" r:id="rId83" display="=@if(Criteria!F343=&quot;No&quot;,Criteria!G346,&quot; &quot;)" xr:uid="{ABBD437E-8496-4E8E-A8BB-7CA04DCA2EC5}"/>
    <hyperlink ref="O527" r:id="rId84" display="-@sum(TrialBalance!A8:A22" xr:uid="{42D037F3-AE1D-49AA-867B-702F83F1B842}"/>
    <hyperlink ref="M527" r:id="rId85" display="-@sum(TrialBalance!A8:A22" xr:uid="{00000000-0004-0000-0000-000018000000}"/>
    <hyperlink ref="D762" r:id="rId86" display="=@IF(U501+V501=1,&quot;GROSS PROFIT/(LOSS)&quot;,IF((U501+V501=2),&quot;GROSS PROFIT&quot;,&quot;GROSS LOSS&quot;))" xr:uid="{DAB94DF8-D2BD-4F6D-90E3-F0678B9500AE}"/>
    <hyperlink ref="D773" r:id="rId87" display="=@IF(U501+V501=1,&quot;GROSS PROFIT/(LOSS)&quot;,IF((U501+V501=2),&quot;GROSS PROFIT&quot;,&quot;GROSS LOSS&quot;))" xr:uid="{E541B73A-E869-445F-B756-02B1C59BBD09}"/>
    <hyperlink ref="D776" r:id="rId88" display="=@IF(U501+V501=1,&quot;GROSS PROFIT/(LOSS)&quot;,IF((U501+V501=2),&quot;GROSS PROFIT&quot;,&quot;GROSS LOSS&quot;))" xr:uid="{00000000-0004-0000-0000-000032000000}"/>
    <hyperlink ref="D775" r:id="rId89" display="=@IF(U501+V501=1,&quot;GROSS PROFIT/(LOSS)&quot;,IF((U501+V501=2),&quot;GROSS PROFIT&quot;,&quot;GROSS LOSS&quot;))" xr:uid="{00000000-0004-0000-0000-000031000000}"/>
    <hyperlink ref="M753" r:id="rId90" display="-@sum(TrialBalance!A311:A321)+@sum(TrialBalance!A123:A125)=@sum(TrialBalance!A311:A321)" xr:uid="{00000000-0004-0000-0000-00002B000000}"/>
    <hyperlink ref="C780" r:id="rId91" display="=@IF(U501+V501=1,&quot;GROSS PROFIT/(LOSS)&quot;,IF((U501+V501=2),&quot;GROSS PROFIT&quot;,&quot;GROSS LOSS&quot;))" xr:uid="{00000000-0004-0000-0000-00002A000000}"/>
    <hyperlink ref="D774" r:id="rId92" display="=@IF(U501+V501=1,&quot;GROSS PROFIT/(LOSS)&quot;,IF((U501+V501=2),&quot;GROSS PROFIT&quot;,&quot;GROSS LOSS&quot;))" xr:uid="{00000000-0004-0000-0000-000029000000}"/>
    <hyperlink ref="D764" r:id="rId93" display="=@IF(U501+V501=1,&quot;GROSS PROFIT/(LOSS)&quot;,IF((U501+V501=2),&quot;GROSS PROFIT&quot;,&quot;GROSS LOSS&quot;))" xr:uid="{00000000-0004-0000-0000-000028000000}"/>
    <hyperlink ref="D763" r:id="rId94" display="=@IF(U501+V501=1,&quot;GROSS PROFIT/(LOSS)&quot;,IF((U501+V501=2),&quot;GROSS PROFIT&quot;,&quot;GROSS LOSS&quot;))" xr:uid="{00000000-0004-0000-0000-000027000000}"/>
    <hyperlink ref="M732" r:id="rId95" display="-@sum(TrialBalance!B301:B307)-@sum(TrialBalance!B310:B312)+@sum(TrialBalance!A13:A18)+@sum(TrialBalance!A23:A26)+@sum(TrialBalance!A32:A63)+@sum(TrialBalance!A77:A86)+@sum(TrialBalance!A94:A111)+@sum(TrialBalance!A301:A307)+@SUM(TrialBalance!A310:A312)" xr:uid="{00000000-0004-0000-0000-000026000000}"/>
    <hyperlink ref="D2738" r:id="rId96" display="=@IF(U501+V501=1,&quot;GROSS PROFIT/(LOSS)&quot;,IF((U501+V501=2),&quot;GROSS PROFIT&quot;,&quot;GROSS LOSS&quot;))" xr:uid="{EDCDB1ED-7F2E-4F59-985C-32018295338B}"/>
    <hyperlink ref="D2286" r:id="rId97" display="=@IF(U501+V501=1,&quot;GROSS PROFIT/(LOSS)&quot;,IF((U501+V501=2),&quot;GROSS PROFIT&quot;,&quot;GROSS LOSS&quot;))" xr:uid="{F9C09B57-21E1-4A49-A843-4DB3BEE5D6AB}"/>
    <hyperlink ref="D2424" r:id="rId98" display="=@IF(U501+V501=1,&quot;GROSS PROFIT/(LOSS)&quot;,IF((U501+V501=2),&quot;GROSS PROFIT&quot;,&quot;GROSS LOSS&quot;))" xr:uid="{B383025D-F17E-422C-86B7-9474A34AD681}"/>
    <hyperlink ref="C2423" r:id="rId99" display="=@IF(U501+V501=1,&quot;GROSS PROFIT/(LOSS)&quot;,IF((U501+V501=2),&quot;GROSS PROFIT&quot;,&quot;GROSS LOSS&quot;))" xr:uid="{A33E93D2-6E3E-476A-B3AA-2FE52C152E03}"/>
    <hyperlink ref="D2433" r:id="rId100" display="=@IF(U501+V501=1,&quot;GROSS PROFIT/(LOSS)&quot;,IF((U501+V501=2),&quot;GROSS PROFIT&quot;,&quot;GROSS LOSS&quot;))" xr:uid="{D7444156-9A74-49DB-80AB-DAB6FCA43FFF}"/>
  </hyperlinks>
  <pageMargins left="0.7" right="0.7" top="0.75" bottom="0.75" header="0.3" footer="0.3"/>
  <pageSetup paperSize="9" scale="43" fitToHeight="0" orientation="portrait" r:id="rId101"/>
  <headerFooter alignWithMargins="0"/>
  <drawing r:id="rId102"/>
  <picture r:id="rId1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51"/>
  </cols>
  <sheetData>
    <row r="2" spans="2:8" ht="52.5" customHeight="1" x14ac:dyDescent="0.25">
      <c r="C2" s="150" t="str">
        <f>Criteria!E9</f>
        <v>ABC COMPANY (PROPRIETARY) LIMITED</v>
      </c>
      <c r="D2" s="217"/>
      <c r="E2" s="217"/>
      <c r="G2" s="149" t="s">
        <v>101</v>
      </c>
      <c r="H2" s="149"/>
    </row>
    <row r="3" spans="2:8" x14ac:dyDescent="0.25">
      <c r="C3" s="3" t="s">
        <v>100</v>
      </c>
      <c r="D3" s="3"/>
      <c r="E3" s="3" t="str">
        <f>Criteria!E20</f>
        <v>29 FEBRUARY 2024</v>
      </c>
    </row>
    <row r="4" spans="2:8" ht="52.5" customHeight="1" x14ac:dyDescent="0.25">
      <c r="C4" s="191" t="s">
        <v>509</v>
      </c>
      <c r="G4" s="149" t="s">
        <v>102</v>
      </c>
      <c r="H4" s="149"/>
    </row>
    <row r="5" spans="2:8" ht="15.75" customHeight="1" x14ac:dyDescent="0.25">
      <c r="G5" s="28"/>
      <c r="H5" s="28"/>
    </row>
    <row r="6" spans="2:8" ht="15.75" customHeight="1" x14ac:dyDescent="0.25">
      <c r="G6" s="28"/>
      <c r="H6" s="28"/>
    </row>
    <row r="7" spans="2:8" x14ac:dyDescent="0.25">
      <c r="B7" s="112" t="s">
        <v>692</v>
      </c>
      <c r="C7" s="3" t="s">
        <v>700</v>
      </c>
      <c r="G7" s="28"/>
      <c r="H7" s="28"/>
    </row>
    <row r="8" spans="2:8" x14ac:dyDescent="0.25">
      <c r="C8" s="7"/>
      <c r="D8" s="7"/>
      <c r="E8" s="7"/>
      <c r="F8" s="7"/>
      <c r="G8" s="144"/>
      <c r="H8" s="144"/>
    </row>
    <row r="10" spans="2:8" x14ac:dyDescent="0.25">
      <c r="G10" s="5">
        <f>Criteria!E22</f>
        <v>2024</v>
      </c>
      <c r="H10" s="5">
        <f>Criteria!E27</f>
        <v>2023</v>
      </c>
    </row>
    <row r="11" spans="2:8" x14ac:dyDescent="0.25">
      <c r="G11" s="145"/>
      <c r="H11" s="145"/>
    </row>
    <row r="12" spans="2:8" x14ac:dyDescent="0.25">
      <c r="C12" s="31"/>
      <c r="G12" s="145"/>
      <c r="H12" s="145"/>
    </row>
    <row r="13" spans="2:8" s="2" customFormat="1" x14ac:dyDescent="0.25">
      <c r="G13" s="145"/>
      <c r="H13" s="145"/>
    </row>
    <row r="14" spans="2:8" s="2" customFormat="1" x14ac:dyDescent="0.25">
      <c r="G14" s="145"/>
      <c r="H14" s="145"/>
    </row>
    <row r="15" spans="2:8" s="2" customFormat="1" x14ac:dyDescent="0.25">
      <c r="G15" s="145"/>
      <c r="H15" s="145"/>
    </row>
    <row r="16" spans="2:8" s="2" customFormat="1" x14ac:dyDescent="0.25">
      <c r="G16" s="145"/>
      <c r="H16" s="145"/>
    </row>
    <row r="17" spans="2:8" s="2" customFormat="1" x14ac:dyDescent="0.25">
      <c r="G17" s="145"/>
      <c r="H17" s="145"/>
    </row>
    <row r="18" spans="2:8" s="2" customFormat="1" ht="16.5" thickBot="1" x14ac:dyDescent="0.3">
      <c r="G18" s="147">
        <f>SUM(G11:G17)</f>
        <v>0</v>
      </c>
      <c r="H18" s="147">
        <f>SUM(H11:H17)</f>
        <v>0</v>
      </c>
    </row>
    <row r="19" spans="2:8" s="2" customFormat="1" ht="16.5" thickTop="1" x14ac:dyDescent="0.25">
      <c r="G19" s="145"/>
      <c r="H19" s="145"/>
    </row>
    <row r="20" spans="2:8" s="2" customFormat="1" x14ac:dyDescent="0.25">
      <c r="C20" s="1" t="s">
        <v>694</v>
      </c>
      <c r="D20" s="1"/>
      <c r="E20" s="1"/>
      <c r="F20" s="1"/>
      <c r="G20" s="8">
        <f>G18+TrialBalance!L379</f>
        <v>0</v>
      </c>
      <c r="H20" s="8">
        <f>H18+TrialBalance!N379</f>
        <v>0</v>
      </c>
    </row>
    <row r="21" spans="2:8" s="2" customFormat="1" x14ac:dyDescent="0.25">
      <c r="G21" s="145"/>
      <c r="H21" s="145"/>
    </row>
    <row r="22" spans="2:8" s="2" customFormat="1" x14ac:dyDescent="0.25">
      <c r="G22" s="145"/>
      <c r="H22" s="145"/>
    </row>
    <row r="23" spans="2:8" s="2" customFormat="1" x14ac:dyDescent="0.25">
      <c r="G23" s="145"/>
      <c r="H23" s="145"/>
    </row>
    <row r="24" spans="2:8" s="2" customFormat="1" x14ac:dyDescent="0.25">
      <c r="B24" s="112" t="s">
        <v>693</v>
      </c>
      <c r="C24" s="3" t="s">
        <v>678</v>
      </c>
      <c r="G24" s="28"/>
      <c r="H24" s="28"/>
    </row>
    <row r="25" spans="2:8" s="2" customFormat="1" x14ac:dyDescent="0.25">
      <c r="C25" s="7"/>
      <c r="D25" s="7"/>
      <c r="E25" s="7"/>
      <c r="F25" s="7"/>
      <c r="G25" s="144"/>
      <c r="H25" s="144"/>
    </row>
    <row r="26" spans="2:8" s="2" customFormat="1" x14ac:dyDescent="0.25">
      <c r="G26" s="5"/>
      <c r="H26" s="5"/>
    </row>
    <row r="27" spans="2:8" s="2" customFormat="1" x14ac:dyDescent="0.25">
      <c r="G27" s="5">
        <f>Criteria!E22</f>
        <v>2024</v>
      </c>
      <c r="H27" s="5">
        <f>Criteria!E27</f>
        <v>2023</v>
      </c>
    </row>
    <row r="28" spans="2:8" s="2" customFormat="1" x14ac:dyDescent="0.25">
      <c r="G28" s="145"/>
      <c r="H28" s="145"/>
    </row>
    <row r="29" spans="2:8" s="2" customFormat="1" x14ac:dyDescent="0.25">
      <c r="G29" s="4"/>
      <c r="H29" s="4"/>
    </row>
    <row r="30" spans="2:8" s="2" customFormat="1" x14ac:dyDescent="0.25">
      <c r="G30" s="4"/>
      <c r="H30" s="145"/>
    </row>
    <row r="31" spans="2:8" s="2" customFormat="1" x14ac:dyDescent="0.25">
      <c r="G31" s="4"/>
      <c r="H31" s="4"/>
    </row>
    <row r="32" spans="2:8" s="2" customFormat="1" x14ac:dyDescent="0.25">
      <c r="G32" s="4"/>
      <c r="H32" s="4"/>
    </row>
    <row r="33" spans="2:8" s="2" customFormat="1" x14ac:dyDescent="0.25">
      <c r="G33" s="145"/>
      <c r="H33" s="145"/>
    </row>
    <row r="34" spans="2:8" s="2" customFormat="1" x14ac:dyDescent="0.25">
      <c r="G34" s="145"/>
      <c r="H34" s="145"/>
    </row>
    <row r="35" spans="2:8" s="2" customFormat="1" ht="16.5" thickBot="1" x14ac:dyDescent="0.3">
      <c r="G35" s="147">
        <f>SUM(G28:G34)</f>
        <v>0</v>
      </c>
      <c r="H35" s="147">
        <f>SUM(H28:H34)</f>
        <v>0</v>
      </c>
    </row>
    <row r="36" spans="2:8" s="2" customFormat="1" ht="16.5" thickTop="1" x14ac:dyDescent="0.25">
      <c r="G36" s="145"/>
      <c r="H36" s="145"/>
    </row>
    <row r="37" spans="2:8" s="2" customFormat="1" x14ac:dyDescent="0.25">
      <c r="C37" s="1" t="s">
        <v>694</v>
      </c>
      <c r="D37" s="1"/>
      <c r="E37" s="1"/>
      <c r="F37" s="1"/>
      <c r="G37" s="8">
        <f>G35+TrialBalance!L380</f>
        <v>0</v>
      </c>
      <c r="H37" s="8">
        <f>H35+TrialBalance!N380</f>
        <v>0</v>
      </c>
    </row>
    <row r="38" spans="2:8" s="2" customFormat="1" x14ac:dyDescent="0.25">
      <c r="G38" s="145"/>
      <c r="H38" s="145"/>
    </row>
    <row r="39" spans="2:8" s="2" customFormat="1" x14ac:dyDescent="0.25">
      <c r="G39" s="145"/>
      <c r="H39" s="145"/>
    </row>
    <row r="40" spans="2:8" s="2" customFormat="1" x14ac:dyDescent="0.25">
      <c r="G40" s="145"/>
      <c r="H40" s="145"/>
    </row>
    <row r="41" spans="2:8" s="2" customFormat="1" x14ac:dyDescent="0.25">
      <c r="B41" s="112" t="s">
        <v>695</v>
      </c>
      <c r="C41" s="3" t="s">
        <v>1163</v>
      </c>
      <c r="G41" s="28"/>
      <c r="H41" s="28"/>
    </row>
    <row r="42" spans="2:8" s="2" customFormat="1" x14ac:dyDescent="0.25">
      <c r="C42" s="7"/>
      <c r="D42" s="7"/>
      <c r="E42" s="7"/>
      <c r="F42" s="7"/>
      <c r="G42" s="144"/>
      <c r="H42" s="144"/>
    </row>
    <row r="43" spans="2:8" s="2" customFormat="1" x14ac:dyDescent="0.25">
      <c r="G43" s="5"/>
      <c r="H43" s="5"/>
    </row>
    <row r="44" spans="2:8" s="2" customFormat="1" x14ac:dyDescent="0.25">
      <c r="G44" s="5">
        <f>Criteria!E22</f>
        <v>2024</v>
      </c>
      <c r="H44" s="5">
        <f>Criteria!E27</f>
        <v>2023</v>
      </c>
    </row>
    <row r="45" spans="2:8" s="2" customFormat="1" x14ac:dyDescent="0.25">
      <c r="G45" s="145"/>
      <c r="H45" s="145"/>
    </row>
    <row r="46" spans="2:8" s="2" customFormat="1" x14ac:dyDescent="0.25">
      <c r="G46" s="4"/>
      <c r="H46" s="4"/>
    </row>
    <row r="47" spans="2:8" x14ac:dyDescent="0.25">
      <c r="G47" s="145"/>
      <c r="H47" s="145"/>
    </row>
    <row r="48" spans="2:8" x14ac:dyDescent="0.25">
      <c r="G48" s="4"/>
      <c r="H48" s="4"/>
    </row>
    <row r="49" spans="2:10" x14ac:dyDescent="0.25">
      <c r="G49" s="4"/>
      <c r="H49" s="4"/>
    </row>
    <row r="50" spans="2:10" x14ac:dyDescent="0.25">
      <c r="G50" s="145"/>
      <c r="H50" s="145"/>
    </row>
    <row r="51" spans="2:10" x14ac:dyDescent="0.25">
      <c r="G51" s="145"/>
      <c r="H51" s="145"/>
    </row>
    <row r="52" spans="2:10" ht="16.5" thickBot="1" x14ac:dyDescent="0.3">
      <c r="G52" s="147">
        <f>SUM(G45:G51)</f>
        <v>0</v>
      </c>
      <c r="H52" s="147">
        <f>SUM(H45:H51)</f>
        <v>0</v>
      </c>
    </row>
    <row r="53" spans="2:10" ht="16.5" thickTop="1" x14ac:dyDescent="0.25">
      <c r="G53" s="145"/>
      <c r="H53" s="145"/>
    </row>
    <row r="54" spans="2:10" x14ac:dyDescent="0.25">
      <c r="C54" s="1" t="s">
        <v>694</v>
      </c>
      <c r="D54" s="1"/>
      <c r="E54" s="1"/>
      <c r="F54" s="1"/>
      <c r="G54" s="8">
        <f>G52+TrialBalance!L381</f>
        <v>0</v>
      </c>
      <c r="H54" s="8">
        <f>H52+TrialBalance!N381</f>
        <v>0</v>
      </c>
    </row>
    <row r="58" spans="2:10" x14ac:dyDescent="0.25">
      <c r="B58" s="112" t="s">
        <v>697</v>
      </c>
      <c r="C58" s="3" t="s">
        <v>679</v>
      </c>
      <c r="G58" s="28"/>
      <c r="H58" s="28"/>
    </row>
    <row r="59" spans="2:10" x14ac:dyDescent="0.25">
      <c r="C59" s="7"/>
      <c r="D59" s="7"/>
      <c r="E59" s="7"/>
      <c r="F59" s="7"/>
      <c r="G59" s="144"/>
      <c r="H59" s="144"/>
    </row>
    <row r="61" spans="2:10" x14ac:dyDescent="0.25">
      <c r="G61" s="5">
        <f>Criteria!E22</f>
        <v>2024</v>
      </c>
      <c r="H61" s="5">
        <f>Criteria!E27</f>
        <v>2023</v>
      </c>
    </row>
    <row r="63" spans="2:10" x14ac:dyDescent="0.25">
      <c r="G63" s="4"/>
      <c r="H63" s="4"/>
      <c r="I63" s="4"/>
    </row>
    <row r="64" spans="2:10" x14ac:dyDescent="0.25">
      <c r="G64" s="4"/>
      <c r="H64" s="4"/>
      <c r="I64" s="4"/>
      <c r="J64" s="17"/>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7">
        <f>SUM(G62:G71)</f>
        <v>0</v>
      </c>
      <c r="H72" s="147">
        <f>SUM(H62:H71)</f>
        <v>0</v>
      </c>
    </row>
    <row r="73" spans="2:9" ht="16.5" thickTop="1" x14ac:dyDescent="0.25">
      <c r="G73" s="145"/>
      <c r="H73" s="145"/>
    </row>
    <row r="74" spans="2:9" x14ac:dyDescent="0.25">
      <c r="C74" s="1" t="s">
        <v>694</v>
      </c>
      <c r="D74" s="1"/>
      <c r="E74" s="1"/>
      <c r="F74" s="1"/>
      <c r="G74" s="8">
        <f>G72+TrialBalance!L382</f>
        <v>0</v>
      </c>
      <c r="H74" s="8">
        <f>H72+TrialBalance!N382</f>
        <v>0</v>
      </c>
    </row>
    <row r="78" spans="2:9" x14ac:dyDescent="0.25">
      <c r="B78" s="112" t="s">
        <v>698</v>
      </c>
      <c r="C78" s="3" t="s">
        <v>680</v>
      </c>
      <c r="G78" s="28"/>
      <c r="H78" s="28"/>
    </row>
    <row r="79" spans="2:9" x14ac:dyDescent="0.25">
      <c r="C79" s="7"/>
      <c r="D79" s="7"/>
      <c r="E79" s="7"/>
      <c r="F79" s="7"/>
      <c r="G79" s="144"/>
      <c r="H79" s="144"/>
    </row>
    <row r="81" spans="3:8" x14ac:dyDescent="0.25">
      <c r="G81" s="5">
        <f>Criteria!E22</f>
        <v>2024</v>
      </c>
      <c r="H81" s="5">
        <f>Criteria!E27</f>
        <v>2023</v>
      </c>
    </row>
    <row r="82" spans="3:8" x14ac:dyDescent="0.25">
      <c r="G82" s="145"/>
      <c r="H82" s="145"/>
    </row>
    <row r="83" spans="3:8" x14ac:dyDescent="0.25">
      <c r="C83" s="31"/>
      <c r="G83" s="4"/>
      <c r="H83" s="4"/>
    </row>
    <row r="84" spans="3:8" x14ac:dyDescent="0.25">
      <c r="G84" s="4"/>
      <c r="H84" s="4"/>
    </row>
    <row r="85" spans="3:8" x14ac:dyDescent="0.25">
      <c r="C85" s="31"/>
      <c r="G85" s="4"/>
      <c r="H85" s="4"/>
    </row>
    <row r="86" spans="3:8" x14ac:dyDescent="0.25">
      <c r="C86" s="152"/>
      <c r="G86" s="4"/>
      <c r="H86" s="4"/>
    </row>
    <row r="87" spans="3:8" x14ac:dyDescent="0.25">
      <c r="G87" s="4"/>
      <c r="H87" s="4"/>
    </row>
    <row r="88" spans="3:8" x14ac:dyDescent="0.25">
      <c r="G88" s="145"/>
      <c r="H88" s="145"/>
    </row>
    <row r="89" spans="3:8" ht="16.5" thickBot="1" x14ac:dyDescent="0.3">
      <c r="G89" s="147">
        <f>SUM(G82:G88)</f>
        <v>0</v>
      </c>
      <c r="H89" s="147">
        <f>SUM(H82:H88)</f>
        <v>0</v>
      </c>
    </row>
    <row r="90" spans="3:8" ht="16.5" thickTop="1" x14ac:dyDescent="0.25">
      <c r="G90" s="145"/>
      <c r="H90" s="145"/>
    </row>
    <row r="91" spans="3:8" x14ac:dyDescent="0.25">
      <c r="C91" s="1" t="s">
        <v>694</v>
      </c>
      <c r="D91" s="1"/>
      <c r="E91" s="1"/>
      <c r="F91" s="1"/>
      <c r="G91" s="8">
        <f>G89+TrialBalance!L383</f>
        <v>0</v>
      </c>
      <c r="H91" s="8">
        <f>H89+TrialBalance!N383</f>
        <v>0</v>
      </c>
    </row>
    <row r="2600" spans="7:9" s="2" customFormat="1" x14ac:dyDescent="0.25">
      <c r="G2600" s="5"/>
      <c r="H2600" s="5"/>
      <c r="I2600" s="32"/>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91" t="s">
        <v>852</v>
      </c>
      <c r="G4" s="149" t="s">
        <v>102</v>
      </c>
      <c r="H4" s="149"/>
    </row>
    <row r="5" spans="3:8" ht="15.75" customHeight="1" x14ac:dyDescent="0.25">
      <c r="G5" s="28"/>
      <c r="H5" s="28"/>
    </row>
    <row r="6" spans="3:8" x14ac:dyDescent="0.25">
      <c r="G6" s="5">
        <f>Criteria!E22</f>
        <v>2024</v>
      </c>
      <c r="H6" s="5">
        <f>Criteria!E27</f>
        <v>2023</v>
      </c>
    </row>
    <row r="7" spans="3:8" x14ac:dyDescent="0.25">
      <c r="G7" s="145"/>
      <c r="H7" s="145"/>
    </row>
    <row r="8" spans="3:8" x14ac:dyDescent="0.25">
      <c r="C8" s="20" t="s">
        <v>859</v>
      </c>
      <c r="G8" s="145"/>
      <c r="H8" s="145"/>
    </row>
    <row r="9" spans="3:8" x14ac:dyDescent="0.25">
      <c r="G9" s="145"/>
      <c r="H9" s="145"/>
    </row>
    <row r="10" spans="3:8" x14ac:dyDescent="0.25">
      <c r="G10" s="145"/>
      <c r="H10" s="145"/>
    </row>
    <row r="11" spans="3:8" x14ac:dyDescent="0.25">
      <c r="G11" s="145"/>
      <c r="H11" s="145"/>
    </row>
    <row r="12" spans="3:8" x14ac:dyDescent="0.25">
      <c r="G12" s="145"/>
      <c r="H12" s="145"/>
    </row>
    <row r="13" spans="3:8" x14ac:dyDescent="0.25">
      <c r="G13" s="145"/>
      <c r="H13" s="145"/>
    </row>
    <row r="14" spans="3:8" x14ac:dyDescent="0.25">
      <c r="G14" s="145"/>
      <c r="H14" s="145"/>
    </row>
    <row r="15" spans="3:8" x14ac:dyDescent="0.25">
      <c r="G15" s="145"/>
      <c r="H15" s="145"/>
    </row>
    <row r="16" spans="3:8" s="2" customFormat="1" x14ac:dyDescent="0.25">
      <c r="G16" s="145"/>
      <c r="H16" s="145"/>
    </row>
    <row r="17" spans="3:8" s="2" customFormat="1" ht="16.5" thickBot="1" x14ac:dyDescent="0.3">
      <c r="G17" s="147">
        <f>SUM(G7:G16)</f>
        <v>0</v>
      </c>
      <c r="H17" s="147">
        <f>SUM(H7:H16)</f>
        <v>0</v>
      </c>
    </row>
    <row r="18" spans="3:8" s="2" customFormat="1" ht="16.5" thickTop="1" x14ac:dyDescent="0.25">
      <c r="G18" s="145"/>
      <c r="H18" s="145"/>
    </row>
    <row r="19" spans="3:8" x14ac:dyDescent="0.25">
      <c r="C19" s="1" t="s">
        <v>694</v>
      </c>
      <c r="G19" s="145">
        <f>(TrialBalance!L40+TrialBalanceA!I40+TrialBalanceB!I40+TrialBalanceC!I40)-G17</f>
        <v>0</v>
      </c>
      <c r="H19" s="145">
        <f>(TrialBalance!N40+TrialBalanceA!K40+TrialBalanceB!K40+TrialBalanceC!K40)-H17</f>
        <v>0</v>
      </c>
    </row>
    <row r="22" spans="3:8" x14ac:dyDescent="0.25">
      <c r="C22" s="20" t="s">
        <v>860</v>
      </c>
      <c r="G22" s="145"/>
      <c r="H22" s="145"/>
    </row>
    <row r="23" spans="3:8" x14ac:dyDescent="0.25">
      <c r="G23" s="145"/>
      <c r="H23" s="145"/>
    </row>
    <row r="24" spans="3:8" x14ac:dyDescent="0.25">
      <c r="G24" s="145"/>
      <c r="H24" s="145"/>
    </row>
    <row r="25" spans="3:8" x14ac:dyDescent="0.25">
      <c r="G25" s="145"/>
      <c r="H25" s="145"/>
    </row>
    <row r="26" spans="3:8" x14ac:dyDescent="0.25">
      <c r="G26" s="145"/>
      <c r="H26" s="145"/>
    </row>
    <row r="27" spans="3:8" x14ac:dyDescent="0.25">
      <c r="G27" s="145"/>
      <c r="H27" s="145"/>
    </row>
    <row r="28" spans="3:8" x14ac:dyDescent="0.25">
      <c r="G28" s="145"/>
      <c r="H28" s="145"/>
    </row>
    <row r="29" spans="3:8" x14ac:dyDescent="0.25">
      <c r="G29" s="145"/>
      <c r="H29" s="145"/>
    </row>
    <row r="30" spans="3:8" x14ac:dyDescent="0.25">
      <c r="G30" s="145"/>
      <c r="H30" s="145"/>
    </row>
    <row r="31" spans="3:8" ht="16.5" thickBot="1" x14ac:dyDescent="0.3">
      <c r="G31" s="147">
        <f>SUM(G23:G30)</f>
        <v>0</v>
      </c>
      <c r="H31" s="147">
        <f>SUM(H23:H30)</f>
        <v>0</v>
      </c>
    </row>
    <row r="32" spans="3:8" ht="16.5" thickTop="1" x14ac:dyDescent="0.25">
      <c r="G32" s="145"/>
      <c r="H32" s="145"/>
    </row>
    <row r="33" spans="3:8" x14ac:dyDescent="0.25">
      <c r="C33" s="1" t="s">
        <v>694</v>
      </c>
      <c r="G33" s="145">
        <f>(TrialBalance!L50+TrialBalanceA!I50+TrialBalanceB!I50+TrialBalanceC!I50)-G31</f>
        <v>0</v>
      </c>
      <c r="H33" s="145">
        <f>(TrialBalance!N50+TrialBalanceA!K50+TrialBalanceB!K50+TrialBalanceC!K50)-H31</f>
        <v>0</v>
      </c>
    </row>
    <row r="2483" spans="7:9" s="2" customFormat="1" x14ac:dyDescent="0.25">
      <c r="G2483" s="5"/>
      <c r="H2483" s="5"/>
      <c r="I2483" s="32"/>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48"/>
      <c r="G4" s="149" t="s">
        <v>102</v>
      </c>
      <c r="H4" s="149"/>
    </row>
    <row r="5" spans="3:8" ht="15.75" customHeight="1" x14ac:dyDescent="0.25">
      <c r="G5" s="28"/>
      <c r="H5" s="28"/>
    </row>
    <row r="6" spans="3:8" x14ac:dyDescent="0.25">
      <c r="G6" s="5">
        <f>Criteria!E22</f>
        <v>2024</v>
      </c>
      <c r="H6" s="5">
        <f>Criteria!E27</f>
        <v>2023</v>
      </c>
    </row>
    <row r="7" spans="3:8" x14ac:dyDescent="0.25">
      <c r="G7" s="145"/>
      <c r="H7" s="145"/>
    </row>
    <row r="8" spans="3:8" x14ac:dyDescent="0.25">
      <c r="G8" s="145"/>
      <c r="H8" s="145"/>
    </row>
    <row r="9" spans="3:8" x14ac:dyDescent="0.25">
      <c r="G9" s="145"/>
      <c r="H9" s="145"/>
    </row>
    <row r="10" spans="3:8" x14ac:dyDescent="0.25">
      <c r="G10" s="145"/>
      <c r="H10" s="145"/>
    </row>
    <row r="11" spans="3:8" x14ac:dyDescent="0.25">
      <c r="G11" s="145"/>
      <c r="H11" s="145"/>
    </row>
    <row r="12" spans="3:8" x14ac:dyDescent="0.25">
      <c r="G12" s="145"/>
      <c r="H12" s="145"/>
    </row>
    <row r="13" spans="3:8" x14ac:dyDescent="0.25">
      <c r="G13" s="145"/>
      <c r="H13" s="145"/>
    </row>
    <row r="14" spans="3:8" x14ac:dyDescent="0.25">
      <c r="G14" s="145"/>
      <c r="H14" s="145"/>
    </row>
    <row r="15" spans="3:8" x14ac:dyDescent="0.25">
      <c r="G15" s="145"/>
      <c r="H15" s="145"/>
    </row>
    <row r="16" spans="3:8" s="2" customFormat="1" x14ac:dyDescent="0.25">
      <c r="G16" s="145"/>
      <c r="H16" s="145"/>
    </row>
    <row r="17" spans="3:8" s="2" customFormat="1" ht="16.5" thickBot="1" x14ac:dyDescent="0.3">
      <c r="G17" s="147">
        <f>SUM(G7:G16)</f>
        <v>0</v>
      </c>
      <c r="H17" s="147">
        <f>SUM(H7:H16)</f>
        <v>0</v>
      </c>
    </row>
    <row r="18" spans="3:8" s="2" customFormat="1" ht="16.5" thickTop="1" x14ac:dyDescent="0.25">
      <c r="G18" s="145"/>
      <c r="H18" s="145"/>
    </row>
    <row r="19" spans="3:8" x14ac:dyDescent="0.25">
      <c r="C19" s="1" t="s">
        <v>694</v>
      </c>
      <c r="G19" s="145"/>
      <c r="H19" s="145"/>
    </row>
    <row r="2483" spans="7:9" s="2" customFormat="1" x14ac:dyDescent="0.25">
      <c r="G2483" s="5"/>
      <c r="H2483" s="5"/>
      <c r="I2483" s="32"/>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 sqref="F1"/>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51"/>
  </cols>
  <sheetData>
    <row r="2" spans="3:8" ht="52.5" customHeight="1" x14ac:dyDescent="0.25">
      <c r="C2" s="150" t="str">
        <f>Criteria!E9</f>
        <v>ABC COMPANY (PROPRIETARY) LIMITED</v>
      </c>
      <c r="D2" s="217"/>
      <c r="E2" s="217"/>
      <c r="G2" s="149" t="s">
        <v>101</v>
      </c>
      <c r="H2" s="149"/>
    </row>
    <row r="3" spans="3:8" x14ac:dyDescent="0.25">
      <c r="C3" s="3" t="s">
        <v>100</v>
      </c>
      <c r="D3" s="3"/>
      <c r="E3" s="3" t="str">
        <f>Criteria!E20</f>
        <v>29 FEBRUARY 2024</v>
      </c>
    </row>
    <row r="4" spans="3:8" ht="52.5" customHeight="1" x14ac:dyDescent="0.25">
      <c r="C4" s="148"/>
      <c r="G4" s="149" t="s">
        <v>102</v>
      </c>
      <c r="H4" s="149"/>
    </row>
    <row r="5" spans="3:8" ht="15.75" customHeight="1" x14ac:dyDescent="0.25">
      <c r="G5" s="28"/>
      <c r="H5" s="28"/>
    </row>
    <row r="6" spans="3:8" x14ac:dyDescent="0.25">
      <c r="G6" s="5">
        <f>Criteria!E22</f>
        <v>2024</v>
      </c>
      <c r="H6" s="5">
        <f>Criteria!E27</f>
        <v>2023</v>
      </c>
    </row>
    <row r="7" spans="3:8" x14ac:dyDescent="0.25">
      <c r="G7" s="145"/>
      <c r="H7" s="145"/>
    </row>
    <row r="8" spans="3:8" x14ac:dyDescent="0.25">
      <c r="C8" s="138" t="s">
        <v>103</v>
      </c>
      <c r="D8" s="138"/>
      <c r="E8" s="138"/>
      <c r="F8" s="138"/>
      <c r="G8" s="139">
        <f>H21</f>
        <v>0</v>
      </c>
      <c r="H8" s="139"/>
    </row>
    <row r="9" spans="3:8" x14ac:dyDescent="0.25">
      <c r="C9" s="138"/>
      <c r="D9" s="138"/>
      <c r="E9" s="138"/>
      <c r="F9" s="138"/>
      <c r="G9" s="139"/>
      <c r="H9" s="139"/>
    </row>
    <row r="10" spans="3:8" x14ac:dyDescent="0.25">
      <c r="C10" s="138"/>
      <c r="D10" s="138"/>
      <c r="E10" s="138"/>
      <c r="F10" s="138"/>
      <c r="G10" s="138"/>
      <c r="H10" s="139"/>
    </row>
    <row r="11" spans="3:8" s="2" customFormat="1" ht="16.5" thickBot="1" x14ac:dyDescent="0.3">
      <c r="C11" s="138" t="s">
        <v>686</v>
      </c>
      <c r="D11" s="138"/>
      <c r="E11" s="138"/>
      <c r="F11" s="138"/>
      <c r="G11" s="142"/>
      <c r="H11" s="142"/>
    </row>
    <row r="12" spans="3:8" s="2" customFormat="1" ht="16.5" thickTop="1" x14ac:dyDescent="0.25">
      <c r="C12" s="138"/>
      <c r="D12" s="138"/>
      <c r="E12" s="138"/>
      <c r="F12" s="138"/>
      <c r="G12" s="140"/>
      <c r="H12" s="139"/>
    </row>
    <row r="13" spans="3:8" s="2" customFormat="1" x14ac:dyDescent="0.25">
      <c r="C13" s="138"/>
      <c r="D13" s="138"/>
      <c r="E13" s="138"/>
      <c r="F13" s="138"/>
      <c r="G13" s="140"/>
      <c r="H13" s="139"/>
    </row>
    <row r="14" spans="3:8" s="2" customFormat="1" x14ac:dyDescent="0.25">
      <c r="C14" s="138"/>
      <c r="D14" s="138"/>
      <c r="E14" s="138"/>
      <c r="F14" s="138"/>
      <c r="G14" s="140"/>
      <c r="H14" s="139"/>
    </row>
    <row r="15" spans="3:8" s="2" customFormat="1" x14ac:dyDescent="0.25">
      <c r="C15" s="138" t="s">
        <v>1660</v>
      </c>
      <c r="D15" s="138"/>
      <c r="E15" s="138"/>
      <c r="F15" s="138"/>
      <c r="G15" s="138"/>
      <c r="H15" s="139"/>
    </row>
    <row r="16" spans="3:8" s="2" customFormat="1" x14ac:dyDescent="0.25">
      <c r="C16" s="138"/>
      <c r="D16" s="138"/>
      <c r="E16" s="141">
        <v>44986</v>
      </c>
      <c r="F16" s="138">
        <v>8.25</v>
      </c>
      <c r="G16" s="138"/>
      <c r="H16" s="139"/>
    </row>
    <row r="17" spans="3:10" s="2" customFormat="1" x14ac:dyDescent="0.25">
      <c r="C17" s="138"/>
      <c r="D17" s="138"/>
      <c r="E17" s="141">
        <v>45351</v>
      </c>
      <c r="F17" s="138">
        <v>8.25</v>
      </c>
      <c r="G17" s="138"/>
      <c r="H17" s="139"/>
    </row>
    <row r="18" spans="3:10" s="2" customFormat="1" x14ac:dyDescent="0.25">
      <c r="C18" s="138"/>
      <c r="D18" s="138"/>
      <c r="E18" s="138" t="s">
        <v>687</v>
      </c>
      <c r="F18" s="138">
        <f>(F16+F17)/2</f>
        <v>8.25</v>
      </c>
      <c r="G18" s="140">
        <f>ROUND((G8+G11)/2*F18/100,0)</f>
        <v>0</v>
      </c>
      <c r="H18" s="139"/>
      <c r="I18" s="17"/>
      <c r="J18" s="17"/>
    </row>
    <row r="19" spans="3:10" s="2" customFormat="1" x14ac:dyDescent="0.25">
      <c r="G19" s="145"/>
      <c r="H19" s="145"/>
    </row>
    <row r="20" spans="3:10" s="2" customFormat="1" x14ac:dyDescent="0.25">
      <c r="G20" s="145"/>
      <c r="H20" s="145"/>
    </row>
    <row r="21" spans="3:10" s="2" customFormat="1" ht="16.5" thickBot="1" x14ac:dyDescent="0.3">
      <c r="G21" s="147">
        <f>SUM(G11:G20)</f>
        <v>0</v>
      </c>
      <c r="H21" s="147">
        <f>SUM(H11:H20)</f>
        <v>0</v>
      </c>
    </row>
    <row r="22" spans="3:10" s="2" customFormat="1" ht="16.5" thickTop="1" x14ac:dyDescent="0.25">
      <c r="G22" s="145"/>
      <c r="H22" s="145"/>
    </row>
    <row r="23" spans="3:10" s="2" customFormat="1" x14ac:dyDescent="0.25">
      <c r="C23" s="1" t="s">
        <v>694</v>
      </c>
      <c r="G23" s="145"/>
      <c r="H23" s="145"/>
    </row>
    <row r="2487" spans="7:9" s="2" customFormat="1" x14ac:dyDescent="0.25">
      <c r="G2487" s="5"/>
      <c r="H2487" s="5"/>
      <c r="I2487" s="32"/>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A17" sqref="A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51"/>
  </cols>
  <sheetData>
    <row r="2" spans="2:9" ht="52.5" customHeight="1" x14ac:dyDescent="0.25">
      <c r="C2" s="150" t="str">
        <f>Criteria!E9</f>
        <v>ABC COMPANY (PROPRIETARY) LIMITED</v>
      </c>
      <c r="D2" s="217"/>
      <c r="E2" s="217"/>
      <c r="G2" s="149" t="s">
        <v>101</v>
      </c>
      <c r="H2" s="149"/>
    </row>
    <row r="3" spans="2:9" x14ac:dyDescent="0.25">
      <c r="C3" s="3" t="s">
        <v>100</v>
      </c>
      <c r="D3" s="3"/>
      <c r="E3" s="3" t="str">
        <f>Criteria!E20</f>
        <v>29 FEBRUARY 2024</v>
      </c>
    </row>
    <row r="4" spans="2:9" ht="52.5" customHeight="1" x14ac:dyDescent="0.25">
      <c r="C4" s="148"/>
      <c r="G4" s="149" t="s">
        <v>102</v>
      </c>
      <c r="H4" s="149"/>
    </row>
    <row r="5" spans="2:9" s="2" customFormat="1" ht="15.75" customHeight="1" x14ac:dyDescent="0.25">
      <c r="G5" s="28"/>
      <c r="H5" s="28"/>
    </row>
    <row r="6" spans="2:9" s="2" customFormat="1" ht="15.75" customHeight="1" x14ac:dyDescent="0.25">
      <c r="C6" s="2" t="s">
        <v>517</v>
      </c>
      <c r="E6" s="75"/>
      <c r="F6" s="73"/>
      <c r="G6" s="73"/>
      <c r="I6" s="73"/>
    </row>
    <row r="7" spans="2:9" s="2" customFormat="1" ht="15.75" customHeight="1" x14ac:dyDescent="0.25">
      <c r="E7" s="73"/>
      <c r="F7" s="73"/>
      <c r="G7" s="73"/>
      <c r="I7" s="73"/>
    </row>
    <row r="8" spans="2:9" s="2" customFormat="1" ht="15.75" customHeight="1" x14ac:dyDescent="0.25">
      <c r="C8" s="2" t="s">
        <v>518</v>
      </c>
      <c r="E8" s="75"/>
      <c r="F8" s="73"/>
      <c r="G8" s="73"/>
      <c r="I8" s="73"/>
    </row>
    <row r="9" spans="2:9" s="2" customFormat="1" ht="15.75" customHeight="1" x14ac:dyDescent="0.25">
      <c r="C9" s="2" t="s">
        <v>519</v>
      </c>
      <c r="E9" s="76"/>
      <c r="F9" s="73"/>
      <c r="G9" s="73"/>
      <c r="I9" s="73"/>
    </row>
    <row r="10" spans="2:9" s="2" customFormat="1" ht="15.75" customHeight="1" x14ac:dyDescent="0.25">
      <c r="E10" s="73"/>
      <c r="F10" s="73"/>
      <c r="G10" s="73"/>
      <c r="I10" s="73"/>
    </row>
    <row r="11" spans="2:9" s="2" customFormat="1" ht="15.75" customHeight="1" x14ac:dyDescent="0.25">
      <c r="E11" s="73"/>
      <c r="F11" s="73"/>
      <c r="G11" s="73"/>
      <c r="I11" s="73"/>
    </row>
    <row r="12" spans="2:9" s="2" customFormat="1" ht="15.75" customHeight="1" x14ac:dyDescent="0.25">
      <c r="E12" s="73"/>
      <c r="F12" s="73"/>
      <c r="G12" s="73"/>
      <c r="I12" s="73"/>
    </row>
    <row r="13" spans="2:9" s="2" customFormat="1" ht="15.75" customHeight="1" x14ac:dyDescent="0.25">
      <c r="E13" s="73"/>
      <c r="F13" s="73"/>
      <c r="G13" s="73"/>
      <c r="I13" s="73"/>
    </row>
    <row r="14" spans="2:9" s="2" customFormat="1" ht="15.75" customHeight="1" x14ac:dyDescent="0.25">
      <c r="B14" s="7" t="s">
        <v>203</v>
      </c>
      <c r="C14" s="7" t="s">
        <v>520</v>
      </c>
      <c r="D14" s="7"/>
      <c r="E14" s="77" t="s">
        <v>148</v>
      </c>
      <c r="F14" s="77" t="s">
        <v>147</v>
      </c>
      <c r="G14" s="77" t="s">
        <v>521</v>
      </c>
      <c r="I14" s="73"/>
    </row>
    <row r="15" spans="2:9" s="2" customFormat="1" ht="15.75" customHeight="1" x14ac:dyDescent="0.25">
      <c r="E15" s="73"/>
      <c r="F15" s="73"/>
      <c r="G15" s="73"/>
      <c r="I15" s="73"/>
    </row>
    <row r="16" spans="2:9" s="2" customFormat="1" ht="15.75" customHeight="1" x14ac:dyDescent="0.25">
      <c r="E16" s="73"/>
      <c r="F16" s="73"/>
      <c r="G16" s="78">
        <f>E6</f>
        <v>0</v>
      </c>
      <c r="I16" s="73"/>
    </row>
    <row r="17" spans="2:9" s="2" customFormat="1" x14ac:dyDescent="0.25">
      <c r="B17" s="2">
        <v>1</v>
      </c>
      <c r="C17" s="17">
        <f>$E$8</f>
        <v>0</v>
      </c>
      <c r="E17" s="73">
        <f>G16*$E$9/12</f>
        <v>0</v>
      </c>
      <c r="F17" s="73">
        <f>C17-E17</f>
        <v>0</v>
      </c>
      <c r="G17" s="73">
        <f t="shared" ref="G17" si="0">G16-F17</f>
        <v>0</v>
      </c>
      <c r="I17" s="73"/>
    </row>
    <row r="18" spans="2:9" s="2" customFormat="1" x14ac:dyDescent="0.25">
      <c r="B18" s="2">
        <f t="shared" ref="B18:B81" si="1">B17+1</f>
        <v>2</v>
      </c>
      <c r="C18" s="17">
        <f t="shared" ref="C18:C81" si="2">$E$8</f>
        <v>0</v>
      </c>
      <c r="E18" s="73">
        <f t="shared" ref="E18:E81" si="3">G17*$E$9/12</f>
        <v>0</v>
      </c>
      <c r="F18" s="73">
        <f t="shared" ref="F18:F81" si="4">C18-E18</f>
        <v>0</v>
      </c>
      <c r="G18" s="73">
        <f t="shared" ref="G18:G81" si="5">G17-F18</f>
        <v>0</v>
      </c>
      <c r="I18" s="73"/>
    </row>
    <row r="19" spans="2:9" s="2" customFormat="1" x14ac:dyDescent="0.25">
      <c r="B19" s="2">
        <f t="shared" si="1"/>
        <v>3</v>
      </c>
      <c r="C19" s="17">
        <f t="shared" si="2"/>
        <v>0</v>
      </c>
      <c r="E19" s="73">
        <f t="shared" si="3"/>
        <v>0</v>
      </c>
      <c r="F19" s="73">
        <f t="shared" si="4"/>
        <v>0</v>
      </c>
      <c r="G19" s="73">
        <f t="shared" si="5"/>
        <v>0</v>
      </c>
      <c r="I19" s="73"/>
    </row>
    <row r="20" spans="2:9" s="2" customFormat="1" x14ac:dyDescent="0.25">
      <c r="B20" s="2">
        <f t="shared" si="1"/>
        <v>4</v>
      </c>
      <c r="C20" s="17">
        <f t="shared" si="2"/>
        <v>0</v>
      </c>
      <c r="E20" s="73">
        <f t="shared" si="3"/>
        <v>0</v>
      </c>
      <c r="F20" s="73">
        <f t="shared" si="4"/>
        <v>0</v>
      </c>
      <c r="G20" s="73">
        <f t="shared" si="5"/>
        <v>0</v>
      </c>
      <c r="I20" s="73"/>
    </row>
    <row r="21" spans="2:9" s="2" customFormat="1" x14ac:dyDescent="0.25">
      <c r="B21" s="2">
        <f t="shared" si="1"/>
        <v>5</v>
      </c>
      <c r="C21" s="17">
        <f t="shared" si="2"/>
        <v>0</v>
      </c>
      <c r="E21" s="73">
        <f t="shared" si="3"/>
        <v>0</v>
      </c>
      <c r="F21" s="73">
        <f t="shared" si="4"/>
        <v>0</v>
      </c>
      <c r="G21" s="73">
        <f t="shared" si="5"/>
        <v>0</v>
      </c>
      <c r="I21" s="73"/>
    </row>
    <row r="22" spans="2:9" s="2" customFormat="1" x14ac:dyDescent="0.25">
      <c r="B22" s="2">
        <f t="shared" si="1"/>
        <v>6</v>
      </c>
      <c r="C22" s="17">
        <f t="shared" si="2"/>
        <v>0</v>
      </c>
      <c r="E22" s="73">
        <f t="shared" si="3"/>
        <v>0</v>
      </c>
      <c r="F22" s="73">
        <f t="shared" si="4"/>
        <v>0</v>
      </c>
      <c r="G22" s="73">
        <f t="shared" si="5"/>
        <v>0</v>
      </c>
      <c r="I22" s="73"/>
    </row>
    <row r="23" spans="2:9" x14ac:dyDescent="0.25">
      <c r="B23" s="2">
        <f t="shared" si="1"/>
        <v>7</v>
      </c>
      <c r="C23" s="17">
        <f t="shared" si="2"/>
        <v>0</v>
      </c>
      <c r="E23" s="73">
        <f t="shared" si="3"/>
        <v>0</v>
      </c>
      <c r="F23" s="73">
        <f t="shared" si="4"/>
        <v>0</v>
      </c>
      <c r="G23" s="73">
        <f t="shared" si="5"/>
        <v>0</v>
      </c>
      <c r="H23" s="151"/>
      <c r="I23" s="73"/>
    </row>
    <row r="24" spans="2:9" x14ac:dyDescent="0.25">
      <c r="B24" s="2">
        <f t="shared" si="1"/>
        <v>8</v>
      </c>
      <c r="C24" s="17">
        <f t="shared" si="2"/>
        <v>0</v>
      </c>
      <c r="E24" s="73">
        <f t="shared" si="3"/>
        <v>0</v>
      </c>
      <c r="F24" s="73">
        <f t="shared" si="4"/>
        <v>0</v>
      </c>
      <c r="G24" s="73">
        <f t="shared" si="5"/>
        <v>0</v>
      </c>
      <c r="H24" s="151"/>
      <c r="I24" s="73"/>
    </row>
    <row r="25" spans="2:9" x14ac:dyDescent="0.25">
      <c r="B25" s="2">
        <f t="shared" si="1"/>
        <v>9</v>
      </c>
      <c r="C25" s="17">
        <f t="shared" si="2"/>
        <v>0</v>
      </c>
      <c r="E25" s="73">
        <f t="shared" si="3"/>
        <v>0</v>
      </c>
      <c r="F25" s="73">
        <f t="shared" si="4"/>
        <v>0</v>
      </c>
      <c r="G25" s="73">
        <f t="shared" si="5"/>
        <v>0</v>
      </c>
      <c r="H25" s="151"/>
      <c r="I25" s="73"/>
    </row>
    <row r="26" spans="2:9" x14ac:dyDescent="0.25">
      <c r="B26" s="2">
        <f t="shared" si="1"/>
        <v>10</v>
      </c>
      <c r="C26" s="17">
        <f t="shared" si="2"/>
        <v>0</v>
      </c>
      <c r="E26" s="73">
        <f t="shared" si="3"/>
        <v>0</v>
      </c>
      <c r="F26" s="73">
        <f t="shared" si="4"/>
        <v>0</v>
      </c>
      <c r="G26" s="73">
        <f t="shared" si="5"/>
        <v>0</v>
      </c>
      <c r="H26" s="151"/>
      <c r="I26" s="73"/>
    </row>
    <row r="27" spans="2:9" x14ac:dyDescent="0.25">
      <c r="B27" s="2">
        <f t="shared" si="1"/>
        <v>11</v>
      </c>
      <c r="C27" s="17">
        <f t="shared" si="2"/>
        <v>0</v>
      </c>
      <c r="E27" s="73">
        <f t="shared" si="3"/>
        <v>0</v>
      </c>
      <c r="F27" s="73">
        <f t="shared" si="4"/>
        <v>0</v>
      </c>
      <c r="G27" s="73">
        <f t="shared" si="5"/>
        <v>0</v>
      </c>
      <c r="H27" s="151"/>
      <c r="I27" s="73"/>
    </row>
    <row r="28" spans="2:9" x14ac:dyDescent="0.25">
      <c r="B28" s="2">
        <f t="shared" si="1"/>
        <v>12</v>
      </c>
      <c r="C28" s="17">
        <f t="shared" si="2"/>
        <v>0</v>
      </c>
      <c r="E28" s="73">
        <f t="shared" si="3"/>
        <v>0</v>
      </c>
      <c r="F28" s="73">
        <f t="shared" si="4"/>
        <v>0</v>
      </c>
      <c r="G28" s="73">
        <f t="shared" si="5"/>
        <v>0</v>
      </c>
      <c r="H28" s="151"/>
      <c r="I28" s="73"/>
    </row>
    <row r="29" spans="2:9" x14ac:dyDescent="0.25">
      <c r="B29" s="2">
        <f t="shared" si="1"/>
        <v>13</v>
      </c>
      <c r="C29" s="17">
        <f t="shared" si="2"/>
        <v>0</v>
      </c>
      <c r="E29" s="73">
        <f t="shared" si="3"/>
        <v>0</v>
      </c>
      <c r="F29" s="73">
        <f t="shared" si="4"/>
        <v>0</v>
      </c>
      <c r="G29" s="73">
        <f t="shared" si="5"/>
        <v>0</v>
      </c>
      <c r="H29" s="151"/>
      <c r="I29" s="73"/>
    </row>
    <row r="30" spans="2:9" x14ac:dyDescent="0.25">
      <c r="B30" s="2">
        <f t="shared" si="1"/>
        <v>14</v>
      </c>
      <c r="C30" s="17">
        <f t="shared" si="2"/>
        <v>0</v>
      </c>
      <c r="E30" s="73">
        <f t="shared" si="3"/>
        <v>0</v>
      </c>
      <c r="F30" s="73">
        <f t="shared" si="4"/>
        <v>0</v>
      </c>
      <c r="G30" s="73">
        <f t="shared" si="5"/>
        <v>0</v>
      </c>
      <c r="H30" s="151"/>
      <c r="I30" s="73"/>
    </row>
    <row r="31" spans="2:9" x14ac:dyDescent="0.25">
      <c r="B31" s="2">
        <f t="shared" si="1"/>
        <v>15</v>
      </c>
      <c r="C31" s="17">
        <f t="shared" si="2"/>
        <v>0</v>
      </c>
      <c r="E31" s="73">
        <f t="shared" si="3"/>
        <v>0</v>
      </c>
      <c r="F31" s="73">
        <f t="shared" si="4"/>
        <v>0</v>
      </c>
      <c r="G31" s="73">
        <f t="shared" si="5"/>
        <v>0</v>
      </c>
      <c r="H31" s="151"/>
      <c r="I31" s="73"/>
    </row>
    <row r="32" spans="2:9" x14ac:dyDescent="0.25">
      <c r="B32" s="2">
        <f t="shared" si="1"/>
        <v>16</v>
      </c>
      <c r="C32" s="17">
        <f t="shared" si="2"/>
        <v>0</v>
      </c>
      <c r="E32" s="73">
        <f t="shared" si="3"/>
        <v>0</v>
      </c>
      <c r="F32" s="73">
        <f t="shared" si="4"/>
        <v>0</v>
      </c>
      <c r="G32" s="73">
        <f t="shared" si="5"/>
        <v>0</v>
      </c>
      <c r="H32" s="151"/>
      <c r="I32" s="73"/>
    </row>
    <row r="33" spans="2:9" x14ac:dyDescent="0.25">
      <c r="B33" s="2">
        <f t="shared" si="1"/>
        <v>17</v>
      </c>
      <c r="C33" s="17">
        <f t="shared" si="2"/>
        <v>0</v>
      </c>
      <c r="E33" s="73">
        <f t="shared" si="3"/>
        <v>0</v>
      </c>
      <c r="F33" s="73">
        <f t="shared" si="4"/>
        <v>0</v>
      </c>
      <c r="G33" s="73">
        <f t="shared" si="5"/>
        <v>0</v>
      </c>
      <c r="H33" s="151"/>
      <c r="I33" s="73"/>
    </row>
    <row r="34" spans="2:9" x14ac:dyDescent="0.25">
      <c r="B34" s="2">
        <f t="shared" si="1"/>
        <v>18</v>
      </c>
      <c r="C34" s="17">
        <f t="shared" si="2"/>
        <v>0</v>
      </c>
      <c r="E34" s="73">
        <f t="shared" si="3"/>
        <v>0</v>
      </c>
      <c r="F34" s="73">
        <f t="shared" si="4"/>
        <v>0</v>
      </c>
      <c r="G34" s="73">
        <f t="shared" si="5"/>
        <v>0</v>
      </c>
      <c r="H34" s="151"/>
      <c r="I34" s="73"/>
    </row>
    <row r="35" spans="2:9" x14ac:dyDescent="0.25">
      <c r="B35" s="2">
        <f t="shared" si="1"/>
        <v>19</v>
      </c>
      <c r="C35" s="17">
        <f t="shared" si="2"/>
        <v>0</v>
      </c>
      <c r="E35" s="73">
        <f t="shared" si="3"/>
        <v>0</v>
      </c>
      <c r="F35" s="73">
        <f t="shared" si="4"/>
        <v>0</v>
      </c>
      <c r="G35" s="73">
        <f t="shared" si="5"/>
        <v>0</v>
      </c>
      <c r="H35" s="151"/>
      <c r="I35" s="73"/>
    </row>
    <row r="36" spans="2:9" x14ac:dyDescent="0.25">
      <c r="B36" s="2">
        <f t="shared" si="1"/>
        <v>20</v>
      </c>
      <c r="C36" s="17">
        <f t="shared" si="2"/>
        <v>0</v>
      </c>
      <c r="E36" s="73">
        <f t="shared" si="3"/>
        <v>0</v>
      </c>
      <c r="F36" s="73">
        <f t="shared" si="4"/>
        <v>0</v>
      </c>
      <c r="G36" s="73">
        <f t="shared" si="5"/>
        <v>0</v>
      </c>
      <c r="H36" s="151"/>
      <c r="I36" s="73"/>
    </row>
    <row r="37" spans="2:9" x14ac:dyDescent="0.25">
      <c r="B37" s="2">
        <f t="shared" si="1"/>
        <v>21</v>
      </c>
      <c r="C37" s="17">
        <f t="shared" si="2"/>
        <v>0</v>
      </c>
      <c r="E37" s="73">
        <f t="shared" si="3"/>
        <v>0</v>
      </c>
      <c r="F37" s="73">
        <f t="shared" si="4"/>
        <v>0</v>
      </c>
      <c r="G37" s="73">
        <f t="shared" si="5"/>
        <v>0</v>
      </c>
      <c r="H37" s="151"/>
      <c r="I37" s="73"/>
    </row>
    <row r="38" spans="2:9" x14ac:dyDescent="0.25">
      <c r="B38" s="2">
        <f t="shared" si="1"/>
        <v>22</v>
      </c>
      <c r="C38" s="17">
        <f t="shared" si="2"/>
        <v>0</v>
      </c>
      <c r="E38" s="73">
        <f t="shared" si="3"/>
        <v>0</v>
      </c>
      <c r="F38" s="73">
        <f t="shared" si="4"/>
        <v>0</v>
      </c>
      <c r="G38" s="73">
        <f t="shared" si="5"/>
        <v>0</v>
      </c>
      <c r="H38" s="151"/>
      <c r="I38" s="73"/>
    </row>
    <row r="39" spans="2:9" x14ac:dyDescent="0.25">
      <c r="B39" s="2">
        <f t="shared" si="1"/>
        <v>23</v>
      </c>
      <c r="C39" s="17">
        <f t="shared" si="2"/>
        <v>0</v>
      </c>
      <c r="E39" s="73">
        <f t="shared" si="3"/>
        <v>0</v>
      </c>
      <c r="F39" s="73">
        <f t="shared" si="4"/>
        <v>0</v>
      </c>
      <c r="G39" s="73">
        <f t="shared" si="5"/>
        <v>0</v>
      </c>
      <c r="H39" s="151"/>
      <c r="I39" s="73"/>
    </row>
    <row r="40" spans="2:9" x14ac:dyDescent="0.25">
      <c r="B40" s="2">
        <f t="shared" si="1"/>
        <v>24</v>
      </c>
      <c r="C40" s="17">
        <f t="shared" si="2"/>
        <v>0</v>
      </c>
      <c r="E40" s="73">
        <f t="shared" si="3"/>
        <v>0</v>
      </c>
      <c r="F40" s="73">
        <f t="shared" si="4"/>
        <v>0</v>
      </c>
      <c r="G40" s="73">
        <f t="shared" si="5"/>
        <v>0</v>
      </c>
      <c r="H40" s="151"/>
      <c r="I40" s="73"/>
    </row>
    <row r="41" spans="2:9" x14ac:dyDescent="0.25">
      <c r="B41" s="2">
        <f t="shared" si="1"/>
        <v>25</v>
      </c>
      <c r="C41" s="17">
        <f t="shared" si="2"/>
        <v>0</v>
      </c>
      <c r="E41" s="73">
        <f t="shared" si="3"/>
        <v>0</v>
      </c>
      <c r="F41" s="73">
        <f t="shared" si="4"/>
        <v>0</v>
      </c>
      <c r="G41" s="73">
        <f t="shared" si="5"/>
        <v>0</v>
      </c>
      <c r="H41" s="151"/>
      <c r="I41" s="73"/>
    </row>
    <row r="42" spans="2:9" x14ac:dyDescent="0.25">
      <c r="B42" s="2">
        <f t="shared" si="1"/>
        <v>26</v>
      </c>
      <c r="C42" s="17">
        <f t="shared" si="2"/>
        <v>0</v>
      </c>
      <c r="E42" s="73">
        <f t="shared" si="3"/>
        <v>0</v>
      </c>
      <c r="F42" s="73">
        <f t="shared" si="4"/>
        <v>0</v>
      </c>
      <c r="G42" s="73">
        <f t="shared" si="5"/>
        <v>0</v>
      </c>
      <c r="H42" s="151"/>
      <c r="I42" s="73"/>
    </row>
    <row r="43" spans="2:9" x14ac:dyDescent="0.25">
      <c r="B43" s="2">
        <f t="shared" si="1"/>
        <v>27</v>
      </c>
      <c r="C43" s="17">
        <f t="shared" si="2"/>
        <v>0</v>
      </c>
      <c r="E43" s="73">
        <f t="shared" si="3"/>
        <v>0</v>
      </c>
      <c r="F43" s="73">
        <f t="shared" si="4"/>
        <v>0</v>
      </c>
      <c r="G43" s="73">
        <f t="shared" si="5"/>
        <v>0</v>
      </c>
      <c r="H43" s="151"/>
      <c r="I43" s="73"/>
    </row>
    <row r="44" spans="2:9" x14ac:dyDescent="0.25">
      <c r="B44" s="2">
        <f t="shared" si="1"/>
        <v>28</v>
      </c>
      <c r="C44" s="17">
        <f t="shared" si="2"/>
        <v>0</v>
      </c>
      <c r="E44" s="73">
        <f t="shared" si="3"/>
        <v>0</v>
      </c>
      <c r="F44" s="73">
        <f t="shared" si="4"/>
        <v>0</v>
      </c>
      <c r="G44" s="73">
        <f t="shared" si="5"/>
        <v>0</v>
      </c>
      <c r="H44" s="151"/>
      <c r="I44" s="73"/>
    </row>
    <row r="45" spans="2:9" x14ac:dyDescent="0.25">
      <c r="B45" s="2">
        <f t="shared" si="1"/>
        <v>29</v>
      </c>
      <c r="C45" s="17">
        <f t="shared" si="2"/>
        <v>0</v>
      </c>
      <c r="E45" s="73">
        <f t="shared" si="3"/>
        <v>0</v>
      </c>
      <c r="F45" s="73">
        <f t="shared" si="4"/>
        <v>0</v>
      </c>
      <c r="G45" s="73">
        <f t="shared" si="5"/>
        <v>0</v>
      </c>
      <c r="H45" s="151"/>
      <c r="I45" s="73"/>
    </row>
    <row r="46" spans="2:9" x14ac:dyDescent="0.25">
      <c r="B46" s="2">
        <f t="shared" si="1"/>
        <v>30</v>
      </c>
      <c r="C46" s="17">
        <f t="shared" si="2"/>
        <v>0</v>
      </c>
      <c r="E46" s="73">
        <f t="shared" si="3"/>
        <v>0</v>
      </c>
      <c r="F46" s="73">
        <f t="shared" si="4"/>
        <v>0</v>
      </c>
      <c r="G46" s="73">
        <f t="shared" si="5"/>
        <v>0</v>
      </c>
      <c r="H46" s="151"/>
      <c r="I46" s="73"/>
    </row>
    <row r="47" spans="2:9" x14ac:dyDescent="0.25">
      <c r="B47" s="2">
        <f t="shared" si="1"/>
        <v>31</v>
      </c>
      <c r="C47" s="17">
        <f t="shared" si="2"/>
        <v>0</v>
      </c>
      <c r="E47" s="73">
        <f t="shared" si="3"/>
        <v>0</v>
      </c>
      <c r="F47" s="73">
        <f t="shared" si="4"/>
        <v>0</v>
      </c>
      <c r="G47" s="73">
        <f t="shared" si="5"/>
        <v>0</v>
      </c>
      <c r="H47" s="151"/>
      <c r="I47" s="73"/>
    </row>
    <row r="48" spans="2:9" x14ac:dyDescent="0.25">
      <c r="B48" s="2">
        <f t="shared" si="1"/>
        <v>32</v>
      </c>
      <c r="C48" s="17">
        <f t="shared" si="2"/>
        <v>0</v>
      </c>
      <c r="E48" s="73">
        <f t="shared" si="3"/>
        <v>0</v>
      </c>
      <c r="F48" s="73">
        <f t="shared" si="4"/>
        <v>0</v>
      </c>
      <c r="G48" s="73">
        <f t="shared" si="5"/>
        <v>0</v>
      </c>
      <c r="H48" s="151"/>
      <c r="I48" s="73"/>
    </row>
    <row r="49" spans="2:9" x14ac:dyDescent="0.25">
      <c r="B49" s="2">
        <f t="shared" si="1"/>
        <v>33</v>
      </c>
      <c r="C49" s="17">
        <f t="shared" si="2"/>
        <v>0</v>
      </c>
      <c r="E49" s="73">
        <f t="shared" si="3"/>
        <v>0</v>
      </c>
      <c r="F49" s="73">
        <f t="shared" si="4"/>
        <v>0</v>
      </c>
      <c r="G49" s="73">
        <f t="shared" si="5"/>
        <v>0</v>
      </c>
      <c r="H49" s="151"/>
      <c r="I49" s="73"/>
    </row>
    <row r="50" spans="2:9" x14ac:dyDescent="0.25">
      <c r="B50" s="2">
        <f t="shared" si="1"/>
        <v>34</v>
      </c>
      <c r="C50" s="17">
        <f t="shared" si="2"/>
        <v>0</v>
      </c>
      <c r="E50" s="73">
        <f t="shared" si="3"/>
        <v>0</v>
      </c>
      <c r="F50" s="73">
        <f t="shared" si="4"/>
        <v>0</v>
      </c>
      <c r="G50" s="73">
        <f t="shared" si="5"/>
        <v>0</v>
      </c>
      <c r="H50" s="151"/>
      <c r="I50" s="73"/>
    </row>
    <row r="51" spans="2:9" x14ac:dyDescent="0.25">
      <c r="B51" s="2">
        <f t="shared" si="1"/>
        <v>35</v>
      </c>
      <c r="C51" s="17">
        <f t="shared" si="2"/>
        <v>0</v>
      </c>
      <c r="E51" s="73">
        <f t="shared" si="3"/>
        <v>0</v>
      </c>
      <c r="F51" s="73">
        <f t="shared" si="4"/>
        <v>0</v>
      </c>
      <c r="G51" s="73">
        <f t="shared" si="5"/>
        <v>0</v>
      </c>
      <c r="H51" s="151"/>
    </row>
    <row r="52" spans="2:9" x14ac:dyDescent="0.25">
      <c r="B52" s="2">
        <f t="shared" si="1"/>
        <v>36</v>
      </c>
      <c r="C52" s="17">
        <f t="shared" si="2"/>
        <v>0</v>
      </c>
      <c r="E52" s="73">
        <f t="shared" si="3"/>
        <v>0</v>
      </c>
      <c r="F52" s="73">
        <f t="shared" si="4"/>
        <v>0</v>
      </c>
      <c r="G52" s="73">
        <f t="shared" si="5"/>
        <v>0</v>
      </c>
      <c r="H52" s="151"/>
      <c r="I52" s="73"/>
    </row>
    <row r="53" spans="2:9" x14ac:dyDescent="0.25">
      <c r="B53" s="2">
        <f t="shared" si="1"/>
        <v>37</v>
      </c>
      <c r="C53" s="17">
        <f t="shared" si="2"/>
        <v>0</v>
      </c>
      <c r="E53" s="73">
        <f t="shared" si="3"/>
        <v>0</v>
      </c>
      <c r="F53" s="73">
        <f t="shared" si="4"/>
        <v>0</v>
      </c>
      <c r="G53" s="73">
        <f t="shared" si="5"/>
        <v>0</v>
      </c>
      <c r="H53" s="151"/>
      <c r="I53" s="73"/>
    </row>
    <row r="54" spans="2:9" x14ac:dyDescent="0.25">
      <c r="B54" s="2">
        <f t="shared" si="1"/>
        <v>38</v>
      </c>
      <c r="C54" s="17">
        <f t="shared" si="2"/>
        <v>0</v>
      </c>
      <c r="E54" s="73">
        <f t="shared" si="3"/>
        <v>0</v>
      </c>
      <c r="F54" s="73">
        <f t="shared" si="4"/>
        <v>0</v>
      </c>
      <c r="G54" s="73">
        <f t="shared" si="5"/>
        <v>0</v>
      </c>
      <c r="H54" s="151"/>
      <c r="I54" s="73"/>
    </row>
    <row r="55" spans="2:9" x14ac:dyDescent="0.25">
      <c r="B55" s="2">
        <f t="shared" si="1"/>
        <v>39</v>
      </c>
      <c r="C55" s="17">
        <f t="shared" si="2"/>
        <v>0</v>
      </c>
      <c r="E55" s="73">
        <f t="shared" si="3"/>
        <v>0</v>
      </c>
      <c r="F55" s="73">
        <f t="shared" si="4"/>
        <v>0</v>
      </c>
      <c r="G55" s="73">
        <f t="shared" si="5"/>
        <v>0</v>
      </c>
      <c r="H55" s="151"/>
      <c r="I55" s="73"/>
    </row>
    <row r="56" spans="2:9" x14ac:dyDescent="0.25">
      <c r="B56" s="2">
        <f t="shared" si="1"/>
        <v>40</v>
      </c>
      <c r="C56" s="17">
        <f t="shared" si="2"/>
        <v>0</v>
      </c>
      <c r="E56" s="73">
        <f t="shared" si="3"/>
        <v>0</v>
      </c>
      <c r="F56" s="73">
        <f t="shared" si="4"/>
        <v>0</v>
      </c>
      <c r="G56" s="73">
        <f t="shared" si="5"/>
        <v>0</v>
      </c>
      <c r="H56" s="151"/>
      <c r="I56" s="73"/>
    </row>
    <row r="57" spans="2:9" x14ac:dyDescent="0.25">
      <c r="B57" s="2">
        <f t="shared" si="1"/>
        <v>41</v>
      </c>
      <c r="C57" s="17">
        <f t="shared" si="2"/>
        <v>0</v>
      </c>
      <c r="E57" s="73">
        <f t="shared" si="3"/>
        <v>0</v>
      </c>
      <c r="F57" s="73">
        <f t="shared" si="4"/>
        <v>0</v>
      </c>
      <c r="G57" s="73">
        <f t="shared" si="5"/>
        <v>0</v>
      </c>
      <c r="H57" s="151"/>
      <c r="I57" s="73"/>
    </row>
    <row r="58" spans="2:9" x14ac:dyDescent="0.25">
      <c r="B58" s="2">
        <f t="shared" si="1"/>
        <v>42</v>
      </c>
      <c r="C58" s="17">
        <f t="shared" si="2"/>
        <v>0</v>
      </c>
      <c r="E58" s="73">
        <f t="shared" si="3"/>
        <v>0</v>
      </c>
      <c r="F58" s="73">
        <f t="shared" si="4"/>
        <v>0</v>
      </c>
      <c r="G58" s="73">
        <f t="shared" si="5"/>
        <v>0</v>
      </c>
      <c r="H58" s="151"/>
      <c r="I58" s="73"/>
    </row>
    <row r="59" spans="2:9" x14ac:dyDescent="0.25">
      <c r="B59" s="2">
        <f t="shared" si="1"/>
        <v>43</v>
      </c>
      <c r="C59" s="17">
        <f t="shared" si="2"/>
        <v>0</v>
      </c>
      <c r="E59" s="73">
        <f t="shared" si="3"/>
        <v>0</v>
      </c>
      <c r="F59" s="73">
        <f t="shared" si="4"/>
        <v>0</v>
      </c>
      <c r="G59" s="73">
        <f t="shared" si="5"/>
        <v>0</v>
      </c>
      <c r="H59" s="151"/>
      <c r="I59" s="73"/>
    </row>
    <row r="60" spans="2:9" x14ac:dyDescent="0.25">
      <c r="B60" s="2">
        <f t="shared" si="1"/>
        <v>44</v>
      </c>
      <c r="C60" s="17">
        <f t="shared" si="2"/>
        <v>0</v>
      </c>
      <c r="E60" s="73">
        <f t="shared" si="3"/>
        <v>0</v>
      </c>
      <c r="F60" s="73">
        <f t="shared" si="4"/>
        <v>0</v>
      </c>
      <c r="G60" s="73">
        <f t="shared" si="5"/>
        <v>0</v>
      </c>
      <c r="H60" s="151"/>
      <c r="I60" s="73"/>
    </row>
    <row r="61" spans="2:9" x14ac:dyDescent="0.25">
      <c r="B61" s="2">
        <f t="shared" si="1"/>
        <v>45</v>
      </c>
      <c r="C61" s="17">
        <f t="shared" si="2"/>
        <v>0</v>
      </c>
      <c r="E61" s="73">
        <f t="shared" si="3"/>
        <v>0</v>
      </c>
      <c r="F61" s="73">
        <f t="shared" si="4"/>
        <v>0</v>
      </c>
      <c r="G61" s="73">
        <f t="shared" si="5"/>
        <v>0</v>
      </c>
      <c r="H61" s="151"/>
      <c r="I61" s="73"/>
    </row>
    <row r="62" spans="2:9" x14ac:dyDescent="0.25">
      <c r="B62" s="2">
        <f t="shared" si="1"/>
        <v>46</v>
      </c>
      <c r="C62" s="17">
        <f t="shared" si="2"/>
        <v>0</v>
      </c>
      <c r="E62" s="73">
        <f t="shared" si="3"/>
        <v>0</v>
      </c>
      <c r="F62" s="73">
        <f t="shared" si="4"/>
        <v>0</v>
      </c>
      <c r="G62" s="73">
        <f t="shared" si="5"/>
        <v>0</v>
      </c>
      <c r="H62" s="151"/>
      <c r="I62" s="73"/>
    </row>
    <row r="63" spans="2:9" x14ac:dyDescent="0.25">
      <c r="B63" s="2">
        <f t="shared" si="1"/>
        <v>47</v>
      </c>
      <c r="C63" s="17">
        <f t="shared" si="2"/>
        <v>0</v>
      </c>
      <c r="E63" s="73">
        <f t="shared" si="3"/>
        <v>0</v>
      </c>
      <c r="F63" s="73">
        <f t="shared" si="4"/>
        <v>0</v>
      </c>
      <c r="G63" s="73">
        <f t="shared" si="5"/>
        <v>0</v>
      </c>
      <c r="H63" s="151"/>
      <c r="I63" s="73"/>
    </row>
    <row r="64" spans="2:9" x14ac:dyDescent="0.25">
      <c r="B64" s="2">
        <f t="shared" si="1"/>
        <v>48</v>
      </c>
      <c r="C64" s="17">
        <f t="shared" si="2"/>
        <v>0</v>
      </c>
      <c r="E64" s="73">
        <f t="shared" si="3"/>
        <v>0</v>
      </c>
      <c r="F64" s="73">
        <f t="shared" si="4"/>
        <v>0</v>
      </c>
      <c r="G64" s="73">
        <f t="shared" si="5"/>
        <v>0</v>
      </c>
      <c r="H64" s="151"/>
      <c r="I64" s="73"/>
    </row>
    <row r="65" spans="2:9" x14ac:dyDescent="0.25">
      <c r="B65" s="2">
        <f t="shared" si="1"/>
        <v>49</v>
      </c>
      <c r="C65" s="17">
        <f t="shared" si="2"/>
        <v>0</v>
      </c>
      <c r="E65" s="73">
        <f t="shared" si="3"/>
        <v>0</v>
      </c>
      <c r="F65" s="73">
        <f t="shared" si="4"/>
        <v>0</v>
      </c>
      <c r="G65" s="73">
        <f t="shared" si="5"/>
        <v>0</v>
      </c>
      <c r="H65" s="151"/>
      <c r="I65" s="73"/>
    </row>
    <row r="66" spans="2:9" x14ac:dyDescent="0.25">
      <c r="B66" s="2">
        <f t="shared" si="1"/>
        <v>50</v>
      </c>
      <c r="C66" s="17">
        <f t="shared" si="2"/>
        <v>0</v>
      </c>
      <c r="E66" s="73">
        <f t="shared" si="3"/>
        <v>0</v>
      </c>
      <c r="F66" s="73">
        <f t="shared" si="4"/>
        <v>0</v>
      </c>
      <c r="G66" s="73">
        <f t="shared" si="5"/>
        <v>0</v>
      </c>
      <c r="H66" s="151"/>
      <c r="I66" s="73"/>
    </row>
    <row r="67" spans="2:9" x14ac:dyDescent="0.25">
      <c r="B67" s="2">
        <f t="shared" si="1"/>
        <v>51</v>
      </c>
      <c r="C67" s="17">
        <f t="shared" si="2"/>
        <v>0</v>
      </c>
      <c r="E67" s="73">
        <f t="shared" si="3"/>
        <v>0</v>
      </c>
      <c r="F67" s="73">
        <f t="shared" si="4"/>
        <v>0</v>
      </c>
      <c r="G67" s="73">
        <f t="shared" si="5"/>
        <v>0</v>
      </c>
      <c r="H67" s="151"/>
      <c r="I67" s="73"/>
    </row>
    <row r="68" spans="2:9" x14ac:dyDescent="0.25">
      <c r="B68" s="2">
        <f t="shared" si="1"/>
        <v>52</v>
      </c>
      <c r="C68" s="17">
        <f t="shared" si="2"/>
        <v>0</v>
      </c>
      <c r="E68" s="73">
        <f t="shared" si="3"/>
        <v>0</v>
      </c>
      <c r="F68" s="73">
        <f t="shared" si="4"/>
        <v>0</v>
      </c>
      <c r="G68" s="73">
        <f t="shared" si="5"/>
        <v>0</v>
      </c>
      <c r="H68" s="151"/>
      <c r="I68" s="73"/>
    </row>
    <row r="69" spans="2:9" x14ac:dyDescent="0.25">
      <c r="B69" s="2">
        <f t="shared" si="1"/>
        <v>53</v>
      </c>
      <c r="C69" s="17">
        <f t="shared" si="2"/>
        <v>0</v>
      </c>
      <c r="E69" s="73">
        <f t="shared" si="3"/>
        <v>0</v>
      </c>
      <c r="F69" s="73">
        <f t="shared" si="4"/>
        <v>0</v>
      </c>
      <c r="G69" s="73">
        <f t="shared" si="5"/>
        <v>0</v>
      </c>
      <c r="H69" s="151"/>
      <c r="I69" s="73"/>
    </row>
    <row r="70" spans="2:9" x14ac:dyDescent="0.25">
      <c r="B70" s="2">
        <f t="shared" si="1"/>
        <v>54</v>
      </c>
      <c r="C70" s="17">
        <f t="shared" si="2"/>
        <v>0</v>
      </c>
      <c r="E70" s="73">
        <f t="shared" si="3"/>
        <v>0</v>
      </c>
      <c r="F70" s="73">
        <f t="shared" si="4"/>
        <v>0</v>
      </c>
      <c r="G70" s="73">
        <f t="shared" si="5"/>
        <v>0</v>
      </c>
      <c r="H70" s="151"/>
      <c r="I70" s="73"/>
    </row>
    <row r="71" spans="2:9" x14ac:dyDescent="0.25">
      <c r="B71" s="2">
        <f t="shared" si="1"/>
        <v>55</v>
      </c>
      <c r="C71" s="17">
        <f t="shared" si="2"/>
        <v>0</v>
      </c>
      <c r="E71" s="73">
        <f t="shared" si="3"/>
        <v>0</v>
      </c>
      <c r="F71" s="73">
        <f t="shared" si="4"/>
        <v>0</v>
      </c>
      <c r="G71" s="73">
        <f t="shared" si="5"/>
        <v>0</v>
      </c>
      <c r="H71" s="151"/>
      <c r="I71" s="73"/>
    </row>
    <row r="72" spans="2:9" x14ac:dyDescent="0.25">
      <c r="B72" s="2">
        <f t="shared" si="1"/>
        <v>56</v>
      </c>
      <c r="C72" s="17">
        <f t="shared" si="2"/>
        <v>0</v>
      </c>
      <c r="E72" s="73">
        <f t="shared" si="3"/>
        <v>0</v>
      </c>
      <c r="F72" s="73">
        <f t="shared" si="4"/>
        <v>0</v>
      </c>
      <c r="G72" s="73">
        <f t="shared" si="5"/>
        <v>0</v>
      </c>
      <c r="H72" s="151"/>
      <c r="I72" s="73"/>
    </row>
    <row r="73" spans="2:9" x14ac:dyDescent="0.25">
      <c r="B73" s="2">
        <f t="shared" si="1"/>
        <v>57</v>
      </c>
      <c r="C73" s="17">
        <f t="shared" si="2"/>
        <v>0</v>
      </c>
      <c r="E73" s="73">
        <f t="shared" si="3"/>
        <v>0</v>
      </c>
      <c r="F73" s="73">
        <f t="shared" si="4"/>
        <v>0</v>
      </c>
      <c r="G73" s="73">
        <f t="shared" si="5"/>
        <v>0</v>
      </c>
      <c r="H73" s="151"/>
      <c r="I73" s="73"/>
    </row>
    <row r="74" spans="2:9" x14ac:dyDescent="0.25">
      <c r="B74" s="2">
        <f t="shared" si="1"/>
        <v>58</v>
      </c>
      <c r="C74" s="17">
        <f t="shared" si="2"/>
        <v>0</v>
      </c>
      <c r="E74" s="73">
        <f t="shared" si="3"/>
        <v>0</v>
      </c>
      <c r="F74" s="73">
        <f t="shared" si="4"/>
        <v>0</v>
      </c>
      <c r="G74" s="73">
        <f t="shared" si="5"/>
        <v>0</v>
      </c>
      <c r="H74" s="151"/>
      <c r="I74" s="73"/>
    </row>
    <row r="75" spans="2:9" x14ac:dyDescent="0.25">
      <c r="B75" s="2">
        <f t="shared" si="1"/>
        <v>59</v>
      </c>
      <c r="C75" s="17">
        <f t="shared" si="2"/>
        <v>0</v>
      </c>
      <c r="E75" s="73">
        <f t="shared" si="3"/>
        <v>0</v>
      </c>
      <c r="F75" s="73">
        <f t="shared" si="4"/>
        <v>0</v>
      </c>
      <c r="G75" s="73">
        <f t="shared" si="5"/>
        <v>0</v>
      </c>
      <c r="H75" s="151"/>
      <c r="I75" s="73"/>
    </row>
    <row r="76" spans="2:9" x14ac:dyDescent="0.25">
      <c r="B76" s="2">
        <f t="shared" si="1"/>
        <v>60</v>
      </c>
      <c r="C76" s="17">
        <f t="shared" si="2"/>
        <v>0</v>
      </c>
      <c r="E76" s="73">
        <f t="shared" si="3"/>
        <v>0</v>
      </c>
      <c r="F76" s="73">
        <f t="shared" si="4"/>
        <v>0</v>
      </c>
      <c r="G76" s="73">
        <f t="shared" si="5"/>
        <v>0</v>
      </c>
      <c r="H76" s="151"/>
      <c r="I76" s="73"/>
    </row>
    <row r="77" spans="2:9" x14ac:dyDescent="0.25">
      <c r="B77" s="2">
        <f t="shared" si="1"/>
        <v>61</v>
      </c>
      <c r="C77" s="17">
        <f t="shared" si="2"/>
        <v>0</v>
      </c>
      <c r="E77" s="73">
        <f t="shared" si="3"/>
        <v>0</v>
      </c>
      <c r="F77" s="73">
        <f t="shared" si="4"/>
        <v>0</v>
      </c>
      <c r="G77" s="73">
        <f t="shared" si="5"/>
        <v>0</v>
      </c>
      <c r="H77" s="151"/>
      <c r="I77" s="73"/>
    </row>
    <row r="78" spans="2:9" x14ac:dyDescent="0.25">
      <c r="B78" s="2">
        <f t="shared" si="1"/>
        <v>62</v>
      </c>
      <c r="C78" s="17">
        <f t="shared" si="2"/>
        <v>0</v>
      </c>
      <c r="E78" s="73">
        <f t="shared" si="3"/>
        <v>0</v>
      </c>
      <c r="F78" s="73">
        <f t="shared" si="4"/>
        <v>0</v>
      </c>
      <c r="G78" s="73">
        <f t="shared" si="5"/>
        <v>0</v>
      </c>
      <c r="H78" s="151"/>
      <c r="I78" s="73"/>
    </row>
    <row r="79" spans="2:9" x14ac:dyDescent="0.25">
      <c r="B79" s="2">
        <f t="shared" si="1"/>
        <v>63</v>
      </c>
      <c r="C79" s="17">
        <f t="shared" si="2"/>
        <v>0</v>
      </c>
      <c r="E79" s="73">
        <f t="shared" si="3"/>
        <v>0</v>
      </c>
      <c r="F79" s="73">
        <f t="shared" si="4"/>
        <v>0</v>
      </c>
      <c r="G79" s="73">
        <f t="shared" si="5"/>
        <v>0</v>
      </c>
      <c r="H79" s="151"/>
      <c r="I79" s="73"/>
    </row>
    <row r="80" spans="2:9" x14ac:dyDescent="0.25">
      <c r="B80" s="2">
        <f t="shared" si="1"/>
        <v>64</v>
      </c>
      <c r="C80" s="17">
        <f t="shared" si="2"/>
        <v>0</v>
      </c>
      <c r="E80" s="73">
        <f t="shared" si="3"/>
        <v>0</v>
      </c>
      <c r="F80" s="73">
        <f t="shared" si="4"/>
        <v>0</v>
      </c>
      <c r="G80" s="73">
        <f t="shared" si="5"/>
        <v>0</v>
      </c>
      <c r="H80" s="151"/>
      <c r="I80" s="73"/>
    </row>
    <row r="81" spans="2:9" x14ac:dyDescent="0.25">
      <c r="B81" s="2">
        <f t="shared" si="1"/>
        <v>65</v>
      </c>
      <c r="C81" s="17">
        <f t="shared" si="2"/>
        <v>0</v>
      </c>
      <c r="E81" s="73">
        <f t="shared" si="3"/>
        <v>0</v>
      </c>
      <c r="F81" s="73">
        <f t="shared" si="4"/>
        <v>0</v>
      </c>
      <c r="G81" s="73">
        <f t="shared" si="5"/>
        <v>0</v>
      </c>
      <c r="H81" s="151"/>
      <c r="I81" s="73"/>
    </row>
    <row r="82" spans="2:9" x14ac:dyDescent="0.25">
      <c r="B82" s="2">
        <f t="shared" ref="B82:B145" si="6">B81+1</f>
        <v>66</v>
      </c>
      <c r="C82" s="17">
        <f t="shared" ref="C82:C145" si="7">$E$8</f>
        <v>0</v>
      </c>
      <c r="E82" s="73">
        <f t="shared" ref="E82:E145" si="8">G81*$E$9/12</f>
        <v>0</v>
      </c>
      <c r="F82" s="73">
        <f t="shared" ref="F82:F145" si="9">C82-E82</f>
        <v>0</v>
      </c>
      <c r="G82" s="73">
        <f t="shared" ref="G82:G145" si="10">G81-F82</f>
        <v>0</v>
      </c>
      <c r="H82" s="151"/>
      <c r="I82" s="73"/>
    </row>
    <row r="83" spans="2:9" x14ac:dyDescent="0.25">
      <c r="B83" s="2">
        <f t="shared" si="6"/>
        <v>67</v>
      </c>
      <c r="C83" s="17">
        <f t="shared" si="7"/>
        <v>0</v>
      </c>
      <c r="E83" s="73">
        <f t="shared" si="8"/>
        <v>0</v>
      </c>
      <c r="F83" s="73">
        <f t="shared" si="9"/>
        <v>0</v>
      </c>
      <c r="G83" s="73">
        <f t="shared" si="10"/>
        <v>0</v>
      </c>
      <c r="H83" s="151"/>
      <c r="I83" s="73"/>
    </row>
    <row r="84" spans="2:9" x14ac:dyDescent="0.25">
      <c r="B84" s="2">
        <f t="shared" si="6"/>
        <v>68</v>
      </c>
      <c r="C84" s="17">
        <f t="shared" si="7"/>
        <v>0</v>
      </c>
      <c r="E84" s="73">
        <f t="shared" si="8"/>
        <v>0</v>
      </c>
      <c r="F84" s="73">
        <f t="shared" si="9"/>
        <v>0</v>
      </c>
      <c r="G84" s="73">
        <f t="shared" si="10"/>
        <v>0</v>
      </c>
      <c r="H84" s="151"/>
      <c r="I84" s="73"/>
    </row>
    <row r="85" spans="2:9" x14ac:dyDescent="0.25">
      <c r="B85" s="2">
        <f t="shared" si="6"/>
        <v>69</v>
      </c>
      <c r="C85" s="17">
        <f t="shared" si="7"/>
        <v>0</v>
      </c>
      <c r="E85" s="73">
        <f t="shared" si="8"/>
        <v>0</v>
      </c>
      <c r="F85" s="73">
        <f t="shared" si="9"/>
        <v>0</v>
      </c>
      <c r="G85" s="73">
        <f t="shared" si="10"/>
        <v>0</v>
      </c>
      <c r="H85" s="151"/>
      <c r="I85" s="73"/>
    </row>
    <row r="86" spans="2:9" x14ac:dyDescent="0.25">
      <c r="B86" s="2">
        <f t="shared" si="6"/>
        <v>70</v>
      </c>
      <c r="C86" s="17">
        <f t="shared" si="7"/>
        <v>0</v>
      </c>
      <c r="E86" s="73">
        <f t="shared" si="8"/>
        <v>0</v>
      </c>
      <c r="F86" s="73">
        <f t="shared" si="9"/>
        <v>0</v>
      </c>
      <c r="G86" s="73">
        <f t="shared" si="10"/>
        <v>0</v>
      </c>
      <c r="H86" s="151"/>
      <c r="I86" s="73"/>
    </row>
    <row r="87" spans="2:9" x14ac:dyDescent="0.25">
      <c r="B87" s="2">
        <f t="shared" si="6"/>
        <v>71</v>
      </c>
      <c r="C87" s="17">
        <f t="shared" si="7"/>
        <v>0</v>
      </c>
      <c r="E87" s="73">
        <f t="shared" si="8"/>
        <v>0</v>
      </c>
      <c r="F87" s="73">
        <f t="shared" si="9"/>
        <v>0</v>
      </c>
      <c r="G87" s="73">
        <f t="shared" si="10"/>
        <v>0</v>
      </c>
      <c r="H87" s="151"/>
      <c r="I87" s="73"/>
    </row>
    <row r="88" spans="2:9" x14ac:dyDescent="0.25">
      <c r="B88" s="2">
        <f t="shared" si="6"/>
        <v>72</v>
      </c>
      <c r="C88" s="17">
        <f t="shared" si="7"/>
        <v>0</v>
      </c>
      <c r="E88" s="73">
        <f t="shared" si="8"/>
        <v>0</v>
      </c>
      <c r="F88" s="73">
        <f t="shared" si="9"/>
        <v>0</v>
      </c>
      <c r="G88" s="73">
        <f t="shared" si="10"/>
        <v>0</v>
      </c>
      <c r="H88" s="151"/>
      <c r="I88" s="73"/>
    </row>
    <row r="89" spans="2:9" x14ac:dyDescent="0.25">
      <c r="B89" s="2">
        <f t="shared" si="6"/>
        <v>73</v>
      </c>
      <c r="C89" s="17">
        <f t="shared" si="7"/>
        <v>0</v>
      </c>
      <c r="E89" s="73">
        <f t="shared" si="8"/>
        <v>0</v>
      </c>
      <c r="F89" s="73">
        <f t="shared" si="9"/>
        <v>0</v>
      </c>
      <c r="G89" s="73">
        <f t="shared" si="10"/>
        <v>0</v>
      </c>
      <c r="H89" s="151"/>
      <c r="I89" s="73"/>
    </row>
    <row r="90" spans="2:9" x14ac:dyDescent="0.25">
      <c r="B90" s="2">
        <f t="shared" si="6"/>
        <v>74</v>
      </c>
      <c r="C90" s="17">
        <f t="shared" si="7"/>
        <v>0</v>
      </c>
      <c r="E90" s="73">
        <f t="shared" si="8"/>
        <v>0</v>
      </c>
      <c r="F90" s="73">
        <f t="shared" si="9"/>
        <v>0</v>
      </c>
      <c r="G90" s="73">
        <f t="shared" si="10"/>
        <v>0</v>
      </c>
      <c r="H90" s="151"/>
      <c r="I90" s="73"/>
    </row>
    <row r="91" spans="2:9" x14ac:dyDescent="0.25">
      <c r="B91" s="2">
        <f t="shared" si="6"/>
        <v>75</v>
      </c>
      <c r="C91" s="17">
        <f t="shared" si="7"/>
        <v>0</v>
      </c>
      <c r="E91" s="73">
        <f t="shared" si="8"/>
        <v>0</v>
      </c>
      <c r="F91" s="73">
        <f t="shared" si="9"/>
        <v>0</v>
      </c>
      <c r="G91" s="73">
        <f t="shared" si="10"/>
        <v>0</v>
      </c>
      <c r="H91" s="151"/>
      <c r="I91" s="73"/>
    </row>
    <row r="92" spans="2:9" x14ac:dyDescent="0.25">
      <c r="B92" s="2">
        <f t="shared" si="6"/>
        <v>76</v>
      </c>
      <c r="C92" s="17">
        <f t="shared" si="7"/>
        <v>0</v>
      </c>
      <c r="E92" s="73">
        <f t="shared" si="8"/>
        <v>0</v>
      </c>
      <c r="F92" s="73">
        <f t="shared" si="9"/>
        <v>0</v>
      </c>
      <c r="G92" s="73">
        <f t="shared" si="10"/>
        <v>0</v>
      </c>
      <c r="H92" s="151"/>
      <c r="I92" s="73"/>
    </row>
    <row r="93" spans="2:9" x14ac:dyDescent="0.25">
      <c r="B93" s="2">
        <f t="shared" si="6"/>
        <v>77</v>
      </c>
      <c r="C93" s="17">
        <f t="shared" si="7"/>
        <v>0</v>
      </c>
      <c r="E93" s="73">
        <f t="shared" si="8"/>
        <v>0</v>
      </c>
      <c r="F93" s="73">
        <f t="shared" si="9"/>
        <v>0</v>
      </c>
      <c r="G93" s="73">
        <f t="shared" si="10"/>
        <v>0</v>
      </c>
      <c r="H93" s="151"/>
      <c r="I93" s="73"/>
    </row>
    <row r="94" spans="2:9" x14ac:dyDescent="0.25">
      <c r="B94" s="2">
        <f t="shared" si="6"/>
        <v>78</v>
      </c>
      <c r="C94" s="17">
        <f t="shared" si="7"/>
        <v>0</v>
      </c>
      <c r="E94" s="73">
        <f t="shared" si="8"/>
        <v>0</v>
      </c>
      <c r="F94" s="73">
        <f t="shared" si="9"/>
        <v>0</v>
      </c>
      <c r="G94" s="73">
        <f t="shared" si="10"/>
        <v>0</v>
      </c>
      <c r="H94" s="151"/>
      <c r="I94" s="73"/>
    </row>
    <row r="95" spans="2:9" x14ac:dyDescent="0.25">
      <c r="B95" s="2">
        <f t="shared" si="6"/>
        <v>79</v>
      </c>
      <c r="C95" s="17">
        <f t="shared" si="7"/>
        <v>0</v>
      </c>
      <c r="E95" s="73">
        <f t="shared" si="8"/>
        <v>0</v>
      </c>
      <c r="F95" s="73">
        <f t="shared" si="9"/>
        <v>0</v>
      </c>
      <c r="G95" s="73">
        <f t="shared" si="10"/>
        <v>0</v>
      </c>
      <c r="H95" s="151"/>
      <c r="I95" s="73"/>
    </row>
    <row r="96" spans="2:9" x14ac:dyDescent="0.25">
      <c r="B96" s="2">
        <f t="shared" si="6"/>
        <v>80</v>
      </c>
      <c r="C96" s="17">
        <f t="shared" si="7"/>
        <v>0</v>
      </c>
      <c r="E96" s="73">
        <f t="shared" si="8"/>
        <v>0</v>
      </c>
      <c r="F96" s="73">
        <f t="shared" si="9"/>
        <v>0</v>
      </c>
      <c r="G96" s="73">
        <f t="shared" si="10"/>
        <v>0</v>
      </c>
      <c r="H96" s="151"/>
      <c r="I96" s="73"/>
    </row>
    <row r="97" spans="2:9" x14ac:dyDescent="0.25">
      <c r="B97" s="2">
        <f t="shared" si="6"/>
        <v>81</v>
      </c>
      <c r="C97" s="17">
        <f t="shared" si="7"/>
        <v>0</v>
      </c>
      <c r="E97" s="73">
        <f t="shared" si="8"/>
        <v>0</v>
      </c>
      <c r="F97" s="73">
        <f t="shared" si="9"/>
        <v>0</v>
      </c>
      <c r="G97" s="73">
        <f t="shared" si="10"/>
        <v>0</v>
      </c>
      <c r="H97" s="151"/>
      <c r="I97" s="73"/>
    </row>
    <row r="98" spans="2:9" x14ac:dyDescent="0.25">
      <c r="B98" s="2">
        <f t="shared" si="6"/>
        <v>82</v>
      </c>
      <c r="C98" s="17">
        <f t="shared" si="7"/>
        <v>0</v>
      </c>
      <c r="E98" s="73">
        <f t="shared" si="8"/>
        <v>0</v>
      </c>
      <c r="F98" s="73">
        <f t="shared" si="9"/>
        <v>0</v>
      </c>
      <c r="G98" s="73">
        <f t="shared" si="10"/>
        <v>0</v>
      </c>
      <c r="H98" s="151"/>
      <c r="I98" s="73"/>
    </row>
    <row r="99" spans="2:9" x14ac:dyDescent="0.25">
      <c r="B99" s="2">
        <f t="shared" si="6"/>
        <v>83</v>
      </c>
      <c r="C99" s="17">
        <f t="shared" si="7"/>
        <v>0</v>
      </c>
      <c r="E99" s="73">
        <f t="shared" si="8"/>
        <v>0</v>
      </c>
      <c r="F99" s="73">
        <f t="shared" si="9"/>
        <v>0</v>
      </c>
      <c r="G99" s="73">
        <f t="shared" si="10"/>
        <v>0</v>
      </c>
      <c r="H99" s="151"/>
      <c r="I99" s="73"/>
    </row>
    <row r="100" spans="2:9" x14ac:dyDescent="0.25">
      <c r="B100" s="2">
        <f t="shared" si="6"/>
        <v>84</v>
      </c>
      <c r="C100" s="17">
        <f t="shared" si="7"/>
        <v>0</v>
      </c>
      <c r="E100" s="73">
        <f t="shared" si="8"/>
        <v>0</v>
      </c>
      <c r="F100" s="73">
        <f t="shared" si="9"/>
        <v>0</v>
      </c>
      <c r="G100" s="73">
        <f t="shared" si="10"/>
        <v>0</v>
      </c>
      <c r="H100" s="151"/>
      <c r="I100" s="73"/>
    </row>
    <row r="101" spans="2:9" x14ac:dyDescent="0.25">
      <c r="B101" s="2">
        <f t="shared" si="6"/>
        <v>85</v>
      </c>
      <c r="C101" s="17">
        <f t="shared" si="7"/>
        <v>0</v>
      </c>
      <c r="E101" s="73">
        <f t="shared" si="8"/>
        <v>0</v>
      </c>
      <c r="F101" s="73">
        <f t="shared" si="9"/>
        <v>0</v>
      </c>
      <c r="G101" s="73">
        <f t="shared" si="10"/>
        <v>0</v>
      </c>
      <c r="H101" s="151"/>
      <c r="I101" s="73"/>
    </row>
    <row r="102" spans="2:9" x14ac:dyDescent="0.25">
      <c r="B102" s="2">
        <f t="shared" si="6"/>
        <v>86</v>
      </c>
      <c r="C102" s="17">
        <f t="shared" si="7"/>
        <v>0</v>
      </c>
      <c r="E102" s="73">
        <f t="shared" si="8"/>
        <v>0</v>
      </c>
      <c r="F102" s="73">
        <f t="shared" si="9"/>
        <v>0</v>
      </c>
      <c r="G102" s="73">
        <f t="shared" si="10"/>
        <v>0</v>
      </c>
      <c r="H102" s="151"/>
      <c r="I102" s="73"/>
    </row>
    <row r="103" spans="2:9" x14ac:dyDescent="0.25">
      <c r="B103" s="2">
        <f t="shared" si="6"/>
        <v>87</v>
      </c>
      <c r="C103" s="17">
        <f t="shared" si="7"/>
        <v>0</v>
      </c>
      <c r="E103" s="73">
        <f t="shared" si="8"/>
        <v>0</v>
      </c>
      <c r="F103" s="73">
        <f t="shared" si="9"/>
        <v>0</v>
      </c>
      <c r="G103" s="73">
        <f t="shared" si="10"/>
        <v>0</v>
      </c>
      <c r="H103" s="151"/>
      <c r="I103" s="73"/>
    </row>
    <row r="104" spans="2:9" x14ac:dyDescent="0.25">
      <c r="B104" s="2">
        <f t="shared" si="6"/>
        <v>88</v>
      </c>
      <c r="C104" s="17">
        <f t="shared" si="7"/>
        <v>0</v>
      </c>
      <c r="E104" s="73">
        <f t="shared" si="8"/>
        <v>0</v>
      </c>
      <c r="F104" s="73">
        <f t="shared" si="9"/>
        <v>0</v>
      </c>
      <c r="G104" s="73">
        <f t="shared" si="10"/>
        <v>0</v>
      </c>
      <c r="H104" s="151"/>
      <c r="I104" s="73"/>
    </row>
    <row r="105" spans="2:9" x14ac:dyDescent="0.25">
      <c r="B105" s="2">
        <f t="shared" si="6"/>
        <v>89</v>
      </c>
      <c r="C105" s="17">
        <f t="shared" si="7"/>
        <v>0</v>
      </c>
      <c r="E105" s="73">
        <f t="shared" si="8"/>
        <v>0</v>
      </c>
      <c r="F105" s="73">
        <f t="shared" si="9"/>
        <v>0</v>
      </c>
      <c r="G105" s="73">
        <f t="shared" si="10"/>
        <v>0</v>
      </c>
      <c r="H105" s="151"/>
      <c r="I105" s="73"/>
    </row>
    <row r="106" spans="2:9" x14ac:dyDescent="0.25">
      <c r="B106" s="2">
        <f t="shared" si="6"/>
        <v>90</v>
      </c>
      <c r="C106" s="17">
        <f t="shared" si="7"/>
        <v>0</v>
      </c>
      <c r="E106" s="73">
        <f t="shared" si="8"/>
        <v>0</v>
      </c>
      <c r="F106" s="73">
        <f t="shared" si="9"/>
        <v>0</v>
      </c>
      <c r="G106" s="73">
        <f t="shared" si="10"/>
        <v>0</v>
      </c>
      <c r="H106" s="151"/>
      <c r="I106" s="73"/>
    </row>
    <row r="107" spans="2:9" x14ac:dyDescent="0.25">
      <c r="B107" s="2">
        <f t="shared" si="6"/>
        <v>91</v>
      </c>
      <c r="C107" s="17">
        <f t="shared" si="7"/>
        <v>0</v>
      </c>
      <c r="E107" s="73">
        <f t="shared" si="8"/>
        <v>0</v>
      </c>
      <c r="F107" s="73">
        <f t="shared" si="9"/>
        <v>0</v>
      </c>
      <c r="G107" s="73">
        <f t="shared" si="10"/>
        <v>0</v>
      </c>
      <c r="H107" s="151"/>
      <c r="I107" s="73"/>
    </row>
    <row r="108" spans="2:9" x14ac:dyDescent="0.25">
      <c r="B108" s="2">
        <f t="shared" si="6"/>
        <v>92</v>
      </c>
      <c r="C108" s="17">
        <f t="shared" si="7"/>
        <v>0</v>
      </c>
      <c r="E108" s="73">
        <f t="shared" si="8"/>
        <v>0</v>
      </c>
      <c r="F108" s="73">
        <f t="shared" si="9"/>
        <v>0</v>
      </c>
      <c r="G108" s="73">
        <f t="shared" si="10"/>
        <v>0</v>
      </c>
      <c r="H108" s="151"/>
      <c r="I108" s="73"/>
    </row>
    <row r="109" spans="2:9" x14ac:dyDescent="0.25">
      <c r="B109" s="2">
        <f t="shared" si="6"/>
        <v>93</v>
      </c>
      <c r="C109" s="17">
        <f t="shared" si="7"/>
        <v>0</v>
      </c>
      <c r="E109" s="73">
        <f t="shared" si="8"/>
        <v>0</v>
      </c>
      <c r="F109" s="73">
        <f t="shared" si="9"/>
        <v>0</v>
      </c>
      <c r="G109" s="73">
        <f t="shared" si="10"/>
        <v>0</v>
      </c>
      <c r="H109" s="151"/>
      <c r="I109" s="73"/>
    </row>
    <row r="110" spans="2:9" x14ac:dyDescent="0.25">
      <c r="B110" s="2">
        <f t="shared" si="6"/>
        <v>94</v>
      </c>
      <c r="C110" s="17">
        <f t="shared" si="7"/>
        <v>0</v>
      </c>
      <c r="E110" s="73">
        <f t="shared" si="8"/>
        <v>0</v>
      </c>
      <c r="F110" s="73">
        <f t="shared" si="9"/>
        <v>0</v>
      </c>
      <c r="G110" s="73">
        <f t="shared" si="10"/>
        <v>0</v>
      </c>
      <c r="H110" s="151"/>
      <c r="I110" s="73"/>
    </row>
    <row r="111" spans="2:9" x14ac:dyDescent="0.25">
      <c r="B111" s="2">
        <f t="shared" si="6"/>
        <v>95</v>
      </c>
      <c r="C111" s="17">
        <f t="shared" si="7"/>
        <v>0</v>
      </c>
      <c r="E111" s="73">
        <f t="shared" si="8"/>
        <v>0</v>
      </c>
      <c r="F111" s="73">
        <f t="shared" si="9"/>
        <v>0</v>
      </c>
      <c r="G111" s="73">
        <f t="shared" si="10"/>
        <v>0</v>
      </c>
      <c r="H111" s="151"/>
      <c r="I111" s="73"/>
    </row>
    <row r="112" spans="2:9" x14ac:dyDescent="0.25">
      <c r="B112" s="2">
        <f t="shared" si="6"/>
        <v>96</v>
      </c>
      <c r="C112" s="17">
        <f t="shared" si="7"/>
        <v>0</v>
      </c>
      <c r="E112" s="73">
        <f t="shared" si="8"/>
        <v>0</v>
      </c>
      <c r="F112" s="73">
        <f t="shared" si="9"/>
        <v>0</v>
      </c>
      <c r="G112" s="73">
        <f t="shared" si="10"/>
        <v>0</v>
      </c>
      <c r="H112" s="151"/>
      <c r="I112" s="73"/>
    </row>
    <row r="113" spans="2:9" x14ac:dyDescent="0.25">
      <c r="B113" s="2">
        <f t="shared" si="6"/>
        <v>97</v>
      </c>
      <c r="C113" s="17">
        <f t="shared" si="7"/>
        <v>0</v>
      </c>
      <c r="E113" s="73">
        <f t="shared" si="8"/>
        <v>0</v>
      </c>
      <c r="F113" s="73">
        <f t="shared" si="9"/>
        <v>0</v>
      </c>
      <c r="G113" s="73">
        <f t="shared" si="10"/>
        <v>0</v>
      </c>
      <c r="H113" s="151"/>
      <c r="I113" s="73"/>
    </row>
    <row r="114" spans="2:9" x14ac:dyDescent="0.25">
      <c r="B114" s="2">
        <f t="shared" si="6"/>
        <v>98</v>
      </c>
      <c r="C114" s="17">
        <f t="shared" si="7"/>
        <v>0</v>
      </c>
      <c r="E114" s="73">
        <f t="shared" si="8"/>
        <v>0</v>
      </c>
      <c r="F114" s="73">
        <f t="shared" si="9"/>
        <v>0</v>
      </c>
      <c r="G114" s="73">
        <f t="shared" si="10"/>
        <v>0</v>
      </c>
      <c r="H114" s="151"/>
      <c r="I114" s="73"/>
    </row>
    <row r="115" spans="2:9" x14ac:dyDescent="0.25">
      <c r="B115" s="2">
        <f t="shared" si="6"/>
        <v>99</v>
      </c>
      <c r="C115" s="17">
        <f t="shared" si="7"/>
        <v>0</v>
      </c>
      <c r="E115" s="73">
        <f t="shared" si="8"/>
        <v>0</v>
      </c>
      <c r="F115" s="73">
        <f t="shared" si="9"/>
        <v>0</v>
      </c>
      <c r="G115" s="73">
        <f t="shared" si="10"/>
        <v>0</v>
      </c>
      <c r="H115" s="151"/>
      <c r="I115" s="73"/>
    </row>
    <row r="116" spans="2:9" x14ac:dyDescent="0.25">
      <c r="B116" s="2">
        <f t="shared" si="6"/>
        <v>100</v>
      </c>
      <c r="C116" s="17">
        <f t="shared" si="7"/>
        <v>0</v>
      </c>
      <c r="E116" s="73">
        <f t="shared" si="8"/>
        <v>0</v>
      </c>
      <c r="F116" s="73">
        <f t="shared" si="9"/>
        <v>0</v>
      </c>
      <c r="G116" s="73">
        <f t="shared" si="10"/>
        <v>0</v>
      </c>
      <c r="H116" s="151"/>
      <c r="I116" s="73"/>
    </row>
    <row r="117" spans="2:9" x14ac:dyDescent="0.25">
      <c r="B117" s="2">
        <f t="shared" si="6"/>
        <v>101</v>
      </c>
      <c r="C117" s="17">
        <f t="shared" si="7"/>
        <v>0</v>
      </c>
      <c r="E117" s="73">
        <f t="shared" si="8"/>
        <v>0</v>
      </c>
      <c r="F117" s="73">
        <f t="shared" si="9"/>
        <v>0</v>
      </c>
      <c r="G117" s="73">
        <f t="shared" si="10"/>
        <v>0</v>
      </c>
      <c r="H117" s="151"/>
      <c r="I117" s="73"/>
    </row>
    <row r="118" spans="2:9" x14ac:dyDescent="0.25">
      <c r="B118" s="2">
        <f t="shared" si="6"/>
        <v>102</v>
      </c>
      <c r="C118" s="17">
        <f t="shared" si="7"/>
        <v>0</v>
      </c>
      <c r="E118" s="73">
        <f t="shared" si="8"/>
        <v>0</v>
      </c>
      <c r="F118" s="73">
        <f t="shared" si="9"/>
        <v>0</v>
      </c>
      <c r="G118" s="73">
        <f t="shared" si="10"/>
        <v>0</v>
      </c>
      <c r="H118" s="151"/>
      <c r="I118" s="73"/>
    </row>
    <row r="119" spans="2:9" x14ac:dyDescent="0.25">
      <c r="B119" s="2">
        <f t="shared" si="6"/>
        <v>103</v>
      </c>
      <c r="C119" s="17">
        <f t="shared" si="7"/>
        <v>0</v>
      </c>
      <c r="E119" s="73">
        <f t="shared" si="8"/>
        <v>0</v>
      </c>
      <c r="F119" s="73">
        <f t="shared" si="9"/>
        <v>0</v>
      </c>
      <c r="G119" s="73">
        <f t="shared" si="10"/>
        <v>0</v>
      </c>
      <c r="H119" s="151"/>
      <c r="I119" s="73"/>
    </row>
    <row r="120" spans="2:9" x14ac:dyDescent="0.25">
      <c r="B120" s="2">
        <f t="shared" si="6"/>
        <v>104</v>
      </c>
      <c r="C120" s="17">
        <f t="shared" si="7"/>
        <v>0</v>
      </c>
      <c r="E120" s="73">
        <f t="shared" si="8"/>
        <v>0</v>
      </c>
      <c r="F120" s="73">
        <f t="shared" si="9"/>
        <v>0</v>
      </c>
      <c r="G120" s="73">
        <f t="shared" si="10"/>
        <v>0</v>
      </c>
      <c r="H120" s="151"/>
      <c r="I120" s="73"/>
    </row>
    <row r="121" spans="2:9" x14ac:dyDescent="0.25">
      <c r="B121" s="2">
        <f t="shared" si="6"/>
        <v>105</v>
      </c>
      <c r="C121" s="17">
        <f t="shared" si="7"/>
        <v>0</v>
      </c>
      <c r="E121" s="73">
        <f t="shared" si="8"/>
        <v>0</v>
      </c>
      <c r="F121" s="73">
        <f t="shared" si="9"/>
        <v>0</v>
      </c>
      <c r="G121" s="73">
        <f t="shared" si="10"/>
        <v>0</v>
      </c>
      <c r="H121" s="151"/>
      <c r="I121" s="73"/>
    </row>
    <row r="122" spans="2:9" x14ac:dyDescent="0.25">
      <c r="B122" s="2">
        <f t="shared" si="6"/>
        <v>106</v>
      </c>
      <c r="C122" s="17">
        <f t="shared" si="7"/>
        <v>0</v>
      </c>
      <c r="E122" s="73">
        <f t="shared" si="8"/>
        <v>0</v>
      </c>
      <c r="F122" s="73">
        <f t="shared" si="9"/>
        <v>0</v>
      </c>
      <c r="G122" s="73">
        <f t="shared" si="10"/>
        <v>0</v>
      </c>
      <c r="H122" s="151"/>
      <c r="I122" s="73"/>
    </row>
    <row r="123" spans="2:9" x14ac:dyDescent="0.25">
      <c r="B123" s="2">
        <f t="shared" si="6"/>
        <v>107</v>
      </c>
      <c r="C123" s="17">
        <f t="shared" si="7"/>
        <v>0</v>
      </c>
      <c r="E123" s="73">
        <f t="shared" si="8"/>
        <v>0</v>
      </c>
      <c r="F123" s="73">
        <f t="shared" si="9"/>
        <v>0</v>
      </c>
      <c r="G123" s="73">
        <f t="shared" si="10"/>
        <v>0</v>
      </c>
      <c r="H123" s="151"/>
      <c r="I123" s="73"/>
    </row>
    <row r="124" spans="2:9" x14ac:dyDescent="0.25">
      <c r="B124" s="2">
        <f t="shared" si="6"/>
        <v>108</v>
      </c>
      <c r="C124" s="17">
        <f t="shared" si="7"/>
        <v>0</v>
      </c>
      <c r="E124" s="73">
        <f t="shared" si="8"/>
        <v>0</v>
      </c>
      <c r="F124" s="73">
        <f t="shared" si="9"/>
        <v>0</v>
      </c>
      <c r="G124" s="73">
        <f t="shared" si="10"/>
        <v>0</v>
      </c>
      <c r="H124" s="151"/>
      <c r="I124" s="73"/>
    </row>
    <row r="125" spans="2:9" x14ac:dyDescent="0.25">
      <c r="B125" s="2">
        <f t="shared" si="6"/>
        <v>109</v>
      </c>
      <c r="C125" s="17">
        <f t="shared" si="7"/>
        <v>0</v>
      </c>
      <c r="E125" s="73">
        <f t="shared" si="8"/>
        <v>0</v>
      </c>
      <c r="F125" s="73">
        <f t="shared" si="9"/>
        <v>0</v>
      </c>
      <c r="G125" s="73">
        <f t="shared" si="10"/>
        <v>0</v>
      </c>
      <c r="H125" s="151"/>
      <c r="I125" s="73"/>
    </row>
    <row r="126" spans="2:9" x14ac:dyDescent="0.25">
      <c r="B126" s="2">
        <f t="shared" si="6"/>
        <v>110</v>
      </c>
      <c r="C126" s="17">
        <f t="shared" si="7"/>
        <v>0</v>
      </c>
      <c r="E126" s="73">
        <f t="shared" si="8"/>
        <v>0</v>
      </c>
      <c r="F126" s="73">
        <f t="shared" si="9"/>
        <v>0</v>
      </c>
      <c r="G126" s="73">
        <f t="shared" si="10"/>
        <v>0</v>
      </c>
      <c r="H126" s="151"/>
      <c r="I126" s="73"/>
    </row>
    <row r="127" spans="2:9" x14ac:dyDescent="0.25">
      <c r="B127" s="2">
        <f t="shared" si="6"/>
        <v>111</v>
      </c>
      <c r="C127" s="17">
        <f t="shared" si="7"/>
        <v>0</v>
      </c>
      <c r="E127" s="73">
        <f t="shared" si="8"/>
        <v>0</v>
      </c>
      <c r="F127" s="73">
        <f t="shared" si="9"/>
        <v>0</v>
      </c>
      <c r="G127" s="73">
        <f t="shared" si="10"/>
        <v>0</v>
      </c>
      <c r="H127" s="151"/>
      <c r="I127" s="73"/>
    </row>
    <row r="128" spans="2:9" x14ac:dyDescent="0.25">
      <c r="B128" s="2">
        <f t="shared" si="6"/>
        <v>112</v>
      </c>
      <c r="C128" s="17">
        <f t="shared" si="7"/>
        <v>0</v>
      </c>
      <c r="E128" s="73">
        <f t="shared" si="8"/>
        <v>0</v>
      </c>
      <c r="F128" s="73">
        <f t="shared" si="9"/>
        <v>0</v>
      </c>
      <c r="G128" s="73">
        <f t="shared" si="10"/>
        <v>0</v>
      </c>
      <c r="H128" s="151"/>
      <c r="I128" s="73"/>
    </row>
    <row r="129" spans="2:9" x14ac:dyDescent="0.25">
      <c r="B129" s="2">
        <f t="shared" si="6"/>
        <v>113</v>
      </c>
      <c r="C129" s="17">
        <f t="shared" si="7"/>
        <v>0</v>
      </c>
      <c r="E129" s="73">
        <f t="shared" si="8"/>
        <v>0</v>
      </c>
      <c r="F129" s="73">
        <f t="shared" si="9"/>
        <v>0</v>
      </c>
      <c r="G129" s="73">
        <f t="shared" si="10"/>
        <v>0</v>
      </c>
      <c r="H129" s="151"/>
      <c r="I129" s="73"/>
    </row>
    <row r="130" spans="2:9" x14ac:dyDescent="0.25">
      <c r="B130" s="2">
        <f t="shared" si="6"/>
        <v>114</v>
      </c>
      <c r="C130" s="17">
        <f t="shared" si="7"/>
        <v>0</v>
      </c>
      <c r="E130" s="73">
        <f t="shared" si="8"/>
        <v>0</v>
      </c>
      <c r="F130" s="73">
        <f t="shared" si="9"/>
        <v>0</v>
      </c>
      <c r="G130" s="73">
        <f t="shared" si="10"/>
        <v>0</v>
      </c>
      <c r="H130" s="151"/>
      <c r="I130" s="73"/>
    </row>
    <row r="131" spans="2:9" x14ac:dyDescent="0.25">
      <c r="B131" s="2">
        <f t="shared" si="6"/>
        <v>115</v>
      </c>
      <c r="C131" s="17">
        <f t="shared" si="7"/>
        <v>0</v>
      </c>
      <c r="E131" s="73">
        <f t="shared" si="8"/>
        <v>0</v>
      </c>
      <c r="F131" s="73">
        <f t="shared" si="9"/>
        <v>0</v>
      </c>
      <c r="G131" s="73">
        <f t="shared" si="10"/>
        <v>0</v>
      </c>
      <c r="H131" s="151"/>
      <c r="I131" s="73"/>
    </row>
    <row r="132" spans="2:9" x14ac:dyDescent="0.25">
      <c r="B132" s="2">
        <f t="shared" si="6"/>
        <v>116</v>
      </c>
      <c r="C132" s="17">
        <f t="shared" si="7"/>
        <v>0</v>
      </c>
      <c r="E132" s="73">
        <f t="shared" si="8"/>
        <v>0</v>
      </c>
      <c r="F132" s="73">
        <f t="shared" si="9"/>
        <v>0</v>
      </c>
      <c r="G132" s="73">
        <f t="shared" si="10"/>
        <v>0</v>
      </c>
      <c r="H132" s="151"/>
      <c r="I132" s="73"/>
    </row>
    <row r="133" spans="2:9" x14ac:dyDescent="0.25">
      <c r="B133" s="2">
        <f t="shared" si="6"/>
        <v>117</v>
      </c>
      <c r="C133" s="17">
        <f t="shared" si="7"/>
        <v>0</v>
      </c>
      <c r="E133" s="73">
        <f t="shared" si="8"/>
        <v>0</v>
      </c>
      <c r="F133" s="73">
        <f t="shared" si="9"/>
        <v>0</v>
      </c>
      <c r="G133" s="73">
        <f t="shared" si="10"/>
        <v>0</v>
      </c>
      <c r="H133" s="151"/>
      <c r="I133" s="73"/>
    </row>
    <row r="134" spans="2:9" x14ac:dyDescent="0.25">
      <c r="B134" s="2">
        <f t="shared" si="6"/>
        <v>118</v>
      </c>
      <c r="C134" s="17">
        <f t="shared" si="7"/>
        <v>0</v>
      </c>
      <c r="E134" s="73">
        <f t="shared" si="8"/>
        <v>0</v>
      </c>
      <c r="F134" s="73">
        <f t="shared" si="9"/>
        <v>0</v>
      </c>
      <c r="G134" s="73">
        <f t="shared" si="10"/>
        <v>0</v>
      </c>
      <c r="H134" s="151"/>
      <c r="I134" s="73"/>
    </row>
    <row r="135" spans="2:9" x14ac:dyDescent="0.25">
      <c r="B135" s="2">
        <f t="shared" si="6"/>
        <v>119</v>
      </c>
      <c r="C135" s="17">
        <f t="shared" si="7"/>
        <v>0</v>
      </c>
      <c r="E135" s="73">
        <f t="shared" si="8"/>
        <v>0</v>
      </c>
      <c r="F135" s="73">
        <f t="shared" si="9"/>
        <v>0</v>
      </c>
      <c r="G135" s="73">
        <f t="shared" si="10"/>
        <v>0</v>
      </c>
      <c r="H135" s="151"/>
      <c r="I135" s="73"/>
    </row>
    <row r="136" spans="2:9" x14ac:dyDescent="0.25">
      <c r="B136" s="2">
        <f t="shared" si="6"/>
        <v>120</v>
      </c>
      <c r="C136" s="17">
        <f t="shared" si="7"/>
        <v>0</v>
      </c>
      <c r="E136" s="73">
        <f t="shared" si="8"/>
        <v>0</v>
      </c>
      <c r="F136" s="73">
        <f t="shared" si="9"/>
        <v>0</v>
      </c>
      <c r="G136" s="73">
        <f t="shared" si="10"/>
        <v>0</v>
      </c>
      <c r="H136" s="151"/>
      <c r="I136" s="73"/>
    </row>
    <row r="137" spans="2:9" x14ac:dyDescent="0.25">
      <c r="B137" s="2">
        <f t="shared" si="6"/>
        <v>121</v>
      </c>
      <c r="C137" s="17">
        <f t="shared" si="7"/>
        <v>0</v>
      </c>
      <c r="E137" s="73">
        <f t="shared" si="8"/>
        <v>0</v>
      </c>
      <c r="F137" s="73">
        <f t="shared" si="9"/>
        <v>0</v>
      </c>
      <c r="G137" s="73">
        <f t="shared" si="10"/>
        <v>0</v>
      </c>
      <c r="H137" s="151"/>
      <c r="I137" s="73"/>
    </row>
    <row r="138" spans="2:9" x14ac:dyDescent="0.25">
      <c r="B138" s="2">
        <f t="shared" si="6"/>
        <v>122</v>
      </c>
      <c r="C138" s="17">
        <f t="shared" si="7"/>
        <v>0</v>
      </c>
      <c r="E138" s="73">
        <f t="shared" si="8"/>
        <v>0</v>
      </c>
      <c r="F138" s="73">
        <f t="shared" si="9"/>
        <v>0</v>
      </c>
      <c r="G138" s="73">
        <f t="shared" si="10"/>
        <v>0</v>
      </c>
      <c r="H138" s="151"/>
      <c r="I138" s="73"/>
    </row>
    <row r="139" spans="2:9" x14ac:dyDescent="0.25">
      <c r="B139" s="2">
        <f t="shared" si="6"/>
        <v>123</v>
      </c>
      <c r="C139" s="17">
        <f t="shared" si="7"/>
        <v>0</v>
      </c>
      <c r="E139" s="73">
        <f t="shared" si="8"/>
        <v>0</v>
      </c>
      <c r="F139" s="73">
        <f t="shared" si="9"/>
        <v>0</v>
      </c>
      <c r="G139" s="73">
        <f t="shared" si="10"/>
        <v>0</v>
      </c>
      <c r="H139" s="151"/>
      <c r="I139" s="73"/>
    </row>
    <row r="140" spans="2:9" x14ac:dyDescent="0.25">
      <c r="B140" s="2">
        <f t="shared" si="6"/>
        <v>124</v>
      </c>
      <c r="C140" s="17">
        <f t="shared" si="7"/>
        <v>0</v>
      </c>
      <c r="E140" s="73">
        <f t="shared" si="8"/>
        <v>0</v>
      </c>
      <c r="F140" s="73">
        <f t="shared" si="9"/>
        <v>0</v>
      </c>
      <c r="G140" s="73">
        <f t="shared" si="10"/>
        <v>0</v>
      </c>
      <c r="H140" s="151"/>
      <c r="I140" s="73"/>
    </row>
    <row r="141" spans="2:9" x14ac:dyDescent="0.25">
      <c r="B141" s="2">
        <f t="shared" si="6"/>
        <v>125</v>
      </c>
      <c r="C141" s="17">
        <f t="shared" si="7"/>
        <v>0</v>
      </c>
      <c r="E141" s="73">
        <f t="shared" si="8"/>
        <v>0</v>
      </c>
      <c r="F141" s="73">
        <f t="shared" si="9"/>
        <v>0</v>
      </c>
      <c r="G141" s="73">
        <f t="shared" si="10"/>
        <v>0</v>
      </c>
      <c r="H141" s="151"/>
      <c r="I141" s="73"/>
    </row>
    <row r="142" spans="2:9" x14ac:dyDescent="0.25">
      <c r="B142" s="2">
        <f t="shared" si="6"/>
        <v>126</v>
      </c>
      <c r="C142" s="17">
        <f t="shared" si="7"/>
        <v>0</v>
      </c>
      <c r="E142" s="73">
        <f t="shared" si="8"/>
        <v>0</v>
      </c>
      <c r="F142" s="73">
        <f t="shared" si="9"/>
        <v>0</v>
      </c>
      <c r="G142" s="73">
        <f t="shared" si="10"/>
        <v>0</v>
      </c>
      <c r="H142" s="151"/>
      <c r="I142" s="73"/>
    </row>
    <row r="143" spans="2:9" x14ac:dyDescent="0.25">
      <c r="B143" s="2">
        <f t="shared" si="6"/>
        <v>127</v>
      </c>
      <c r="C143" s="17">
        <f t="shared" si="7"/>
        <v>0</v>
      </c>
      <c r="E143" s="73">
        <f t="shared" si="8"/>
        <v>0</v>
      </c>
      <c r="F143" s="73">
        <f t="shared" si="9"/>
        <v>0</v>
      </c>
      <c r="G143" s="73">
        <f t="shared" si="10"/>
        <v>0</v>
      </c>
      <c r="H143" s="151"/>
      <c r="I143" s="73"/>
    </row>
    <row r="144" spans="2:9" x14ac:dyDescent="0.25">
      <c r="B144" s="2">
        <f t="shared" si="6"/>
        <v>128</v>
      </c>
      <c r="C144" s="17">
        <f t="shared" si="7"/>
        <v>0</v>
      </c>
      <c r="E144" s="73">
        <f t="shared" si="8"/>
        <v>0</v>
      </c>
      <c r="F144" s="73">
        <f t="shared" si="9"/>
        <v>0</v>
      </c>
      <c r="G144" s="73">
        <f t="shared" si="10"/>
        <v>0</v>
      </c>
      <c r="H144" s="151"/>
      <c r="I144" s="73"/>
    </row>
    <row r="145" spans="2:9" x14ac:dyDescent="0.25">
      <c r="B145" s="2">
        <f t="shared" si="6"/>
        <v>129</v>
      </c>
      <c r="C145" s="17">
        <f t="shared" si="7"/>
        <v>0</v>
      </c>
      <c r="E145" s="73">
        <f t="shared" si="8"/>
        <v>0</v>
      </c>
      <c r="F145" s="73">
        <f t="shared" si="9"/>
        <v>0</v>
      </c>
      <c r="G145" s="73">
        <f t="shared" si="10"/>
        <v>0</v>
      </c>
      <c r="H145" s="151"/>
      <c r="I145" s="73"/>
    </row>
    <row r="146" spans="2:9" x14ac:dyDescent="0.25">
      <c r="B146" s="2">
        <f t="shared" ref="B146:B209" si="11">B145+1</f>
        <v>130</v>
      </c>
      <c r="C146" s="17">
        <f t="shared" ref="C146:C209" si="12">$E$8</f>
        <v>0</v>
      </c>
      <c r="E146" s="73">
        <f t="shared" ref="E146:E209" si="13">G145*$E$9/12</f>
        <v>0</v>
      </c>
      <c r="F146" s="73">
        <f t="shared" ref="F146:F209" si="14">C146-E146</f>
        <v>0</v>
      </c>
      <c r="G146" s="73">
        <f t="shared" ref="G146:G209" si="15">G145-F146</f>
        <v>0</v>
      </c>
      <c r="H146" s="151"/>
      <c r="I146" s="73"/>
    </row>
    <row r="147" spans="2:9" x14ac:dyDescent="0.25">
      <c r="B147" s="2">
        <f t="shared" si="11"/>
        <v>131</v>
      </c>
      <c r="C147" s="17">
        <f t="shared" si="12"/>
        <v>0</v>
      </c>
      <c r="E147" s="73">
        <f t="shared" si="13"/>
        <v>0</v>
      </c>
      <c r="F147" s="73">
        <f t="shared" si="14"/>
        <v>0</v>
      </c>
      <c r="G147" s="73">
        <f t="shared" si="15"/>
        <v>0</v>
      </c>
      <c r="H147" s="151"/>
      <c r="I147" s="73"/>
    </row>
    <row r="148" spans="2:9" x14ac:dyDescent="0.25">
      <c r="B148" s="2">
        <f t="shared" si="11"/>
        <v>132</v>
      </c>
      <c r="C148" s="17">
        <f t="shared" si="12"/>
        <v>0</v>
      </c>
      <c r="E148" s="73">
        <f t="shared" si="13"/>
        <v>0</v>
      </c>
      <c r="F148" s="73">
        <f t="shared" si="14"/>
        <v>0</v>
      </c>
      <c r="G148" s="73">
        <f t="shared" si="15"/>
        <v>0</v>
      </c>
      <c r="H148" s="151"/>
      <c r="I148" s="73"/>
    </row>
    <row r="149" spans="2:9" x14ac:dyDescent="0.25">
      <c r="B149" s="2">
        <f t="shared" si="11"/>
        <v>133</v>
      </c>
      <c r="C149" s="17">
        <f t="shared" si="12"/>
        <v>0</v>
      </c>
      <c r="E149" s="73">
        <f t="shared" si="13"/>
        <v>0</v>
      </c>
      <c r="F149" s="73">
        <f t="shared" si="14"/>
        <v>0</v>
      </c>
      <c r="G149" s="73">
        <f t="shared" si="15"/>
        <v>0</v>
      </c>
      <c r="H149" s="151"/>
      <c r="I149" s="73"/>
    </row>
    <row r="150" spans="2:9" x14ac:dyDescent="0.25">
      <c r="B150" s="2">
        <f t="shared" si="11"/>
        <v>134</v>
      </c>
      <c r="C150" s="17">
        <f t="shared" si="12"/>
        <v>0</v>
      </c>
      <c r="E150" s="73">
        <f t="shared" si="13"/>
        <v>0</v>
      </c>
      <c r="F150" s="73">
        <f t="shared" si="14"/>
        <v>0</v>
      </c>
      <c r="G150" s="73">
        <f t="shared" si="15"/>
        <v>0</v>
      </c>
      <c r="H150" s="151"/>
      <c r="I150" s="73"/>
    </row>
    <row r="151" spans="2:9" x14ac:dyDescent="0.25">
      <c r="B151" s="2">
        <f t="shared" si="11"/>
        <v>135</v>
      </c>
      <c r="C151" s="17">
        <f t="shared" si="12"/>
        <v>0</v>
      </c>
      <c r="E151" s="73">
        <f t="shared" si="13"/>
        <v>0</v>
      </c>
      <c r="F151" s="73">
        <f t="shared" si="14"/>
        <v>0</v>
      </c>
      <c r="G151" s="73">
        <f t="shared" si="15"/>
        <v>0</v>
      </c>
      <c r="H151" s="151"/>
      <c r="I151" s="73"/>
    </row>
    <row r="152" spans="2:9" x14ac:dyDescent="0.25">
      <c r="B152" s="2">
        <f t="shared" si="11"/>
        <v>136</v>
      </c>
      <c r="C152" s="17">
        <f t="shared" si="12"/>
        <v>0</v>
      </c>
      <c r="E152" s="73">
        <f t="shared" si="13"/>
        <v>0</v>
      </c>
      <c r="F152" s="73">
        <f t="shared" si="14"/>
        <v>0</v>
      </c>
      <c r="G152" s="73">
        <f t="shared" si="15"/>
        <v>0</v>
      </c>
      <c r="H152" s="151"/>
      <c r="I152" s="73"/>
    </row>
    <row r="153" spans="2:9" x14ac:dyDescent="0.25">
      <c r="B153" s="2">
        <f t="shared" si="11"/>
        <v>137</v>
      </c>
      <c r="C153" s="17">
        <f t="shared" si="12"/>
        <v>0</v>
      </c>
      <c r="E153" s="73">
        <f t="shared" si="13"/>
        <v>0</v>
      </c>
      <c r="F153" s="73">
        <f t="shared" si="14"/>
        <v>0</v>
      </c>
      <c r="G153" s="73">
        <f t="shared" si="15"/>
        <v>0</v>
      </c>
      <c r="H153" s="151"/>
      <c r="I153" s="73"/>
    </row>
    <row r="154" spans="2:9" x14ac:dyDescent="0.25">
      <c r="B154" s="2">
        <f t="shared" si="11"/>
        <v>138</v>
      </c>
      <c r="C154" s="17">
        <f t="shared" si="12"/>
        <v>0</v>
      </c>
      <c r="E154" s="73">
        <f t="shared" si="13"/>
        <v>0</v>
      </c>
      <c r="F154" s="73">
        <f t="shared" si="14"/>
        <v>0</v>
      </c>
      <c r="G154" s="73">
        <f t="shared" si="15"/>
        <v>0</v>
      </c>
      <c r="H154" s="151"/>
      <c r="I154" s="73"/>
    </row>
    <row r="155" spans="2:9" x14ac:dyDescent="0.25">
      <c r="B155" s="2">
        <f t="shared" si="11"/>
        <v>139</v>
      </c>
      <c r="C155" s="17">
        <f t="shared" si="12"/>
        <v>0</v>
      </c>
      <c r="E155" s="73">
        <f t="shared" si="13"/>
        <v>0</v>
      </c>
      <c r="F155" s="73">
        <f t="shared" si="14"/>
        <v>0</v>
      </c>
      <c r="G155" s="73">
        <f t="shared" si="15"/>
        <v>0</v>
      </c>
      <c r="H155" s="151"/>
      <c r="I155" s="73"/>
    </row>
    <row r="156" spans="2:9" x14ac:dyDescent="0.25">
      <c r="B156" s="2">
        <f t="shared" si="11"/>
        <v>140</v>
      </c>
      <c r="C156" s="17">
        <f t="shared" si="12"/>
        <v>0</v>
      </c>
      <c r="E156" s="73">
        <f t="shared" si="13"/>
        <v>0</v>
      </c>
      <c r="F156" s="73">
        <f t="shared" si="14"/>
        <v>0</v>
      </c>
      <c r="G156" s="73">
        <f t="shared" si="15"/>
        <v>0</v>
      </c>
      <c r="H156" s="151"/>
      <c r="I156" s="73"/>
    </row>
    <row r="157" spans="2:9" x14ac:dyDescent="0.25">
      <c r="B157" s="2">
        <f t="shared" si="11"/>
        <v>141</v>
      </c>
      <c r="C157" s="17">
        <f t="shared" si="12"/>
        <v>0</v>
      </c>
      <c r="E157" s="73">
        <f t="shared" si="13"/>
        <v>0</v>
      </c>
      <c r="F157" s="73">
        <f t="shared" si="14"/>
        <v>0</v>
      </c>
      <c r="G157" s="73">
        <f t="shared" si="15"/>
        <v>0</v>
      </c>
      <c r="H157" s="151"/>
      <c r="I157" s="73"/>
    </row>
    <row r="158" spans="2:9" x14ac:dyDescent="0.25">
      <c r="B158" s="2">
        <f t="shared" si="11"/>
        <v>142</v>
      </c>
      <c r="C158" s="17">
        <f t="shared" si="12"/>
        <v>0</v>
      </c>
      <c r="E158" s="73">
        <f t="shared" si="13"/>
        <v>0</v>
      </c>
      <c r="F158" s="73">
        <f t="shared" si="14"/>
        <v>0</v>
      </c>
      <c r="G158" s="73">
        <f t="shared" si="15"/>
        <v>0</v>
      </c>
      <c r="H158" s="151"/>
      <c r="I158" s="73"/>
    </row>
    <row r="159" spans="2:9" x14ac:dyDescent="0.25">
      <c r="B159" s="2">
        <f t="shared" si="11"/>
        <v>143</v>
      </c>
      <c r="C159" s="17">
        <f t="shared" si="12"/>
        <v>0</v>
      </c>
      <c r="E159" s="73">
        <f t="shared" si="13"/>
        <v>0</v>
      </c>
      <c r="F159" s="73">
        <f t="shared" si="14"/>
        <v>0</v>
      </c>
      <c r="G159" s="73">
        <f t="shared" si="15"/>
        <v>0</v>
      </c>
      <c r="H159" s="151"/>
      <c r="I159" s="73"/>
    </row>
    <row r="160" spans="2:9" x14ac:dyDescent="0.25">
      <c r="B160" s="2">
        <f t="shared" si="11"/>
        <v>144</v>
      </c>
      <c r="C160" s="17">
        <f t="shared" si="12"/>
        <v>0</v>
      </c>
      <c r="E160" s="73">
        <f t="shared" si="13"/>
        <v>0</v>
      </c>
      <c r="F160" s="73">
        <f t="shared" si="14"/>
        <v>0</v>
      </c>
      <c r="G160" s="73">
        <f t="shared" si="15"/>
        <v>0</v>
      </c>
      <c r="H160" s="151"/>
      <c r="I160" s="73"/>
    </row>
    <row r="161" spans="2:9" x14ac:dyDescent="0.25">
      <c r="B161" s="2">
        <f t="shared" si="11"/>
        <v>145</v>
      </c>
      <c r="C161" s="17">
        <f t="shared" si="12"/>
        <v>0</v>
      </c>
      <c r="E161" s="73">
        <f t="shared" si="13"/>
        <v>0</v>
      </c>
      <c r="F161" s="73">
        <f t="shared" si="14"/>
        <v>0</v>
      </c>
      <c r="G161" s="73">
        <f t="shared" si="15"/>
        <v>0</v>
      </c>
      <c r="H161" s="151"/>
      <c r="I161" s="73"/>
    </row>
    <row r="162" spans="2:9" x14ac:dyDescent="0.25">
      <c r="B162" s="2">
        <f t="shared" si="11"/>
        <v>146</v>
      </c>
      <c r="C162" s="17">
        <f t="shared" si="12"/>
        <v>0</v>
      </c>
      <c r="E162" s="73">
        <f t="shared" si="13"/>
        <v>0</v>
      </c>
      <c r="F162" s="73">
        <f t="shared" si="14"/>
        <v>0</v>
      </c>
      <c r="G162" s="73">
        <f t="shared" si="15"/>
        <v>0</v>
      </c>
      <c r="H162" s="151"/>
      <c r="I162" s="73"/>
    </row>
    <row r="163" spans="2:9" x14ac:dyDescent="0.25">
      <c r="B163" s="2">
        <f t="shared" si="11"/>
        <v>147</v>
      </c>
      <c r="C163" s="17">
        <f t="shared" si="12"/>
        <v>0</v>
      </c>
      <c r="E163" s="73">
        <f t="shared" si="13"/>
        <v>0</v>
      </c>
      <c r="F163" s="73">
        <f t="shared" si="14"/>
        <v>0</v>
      </c>
      <c r="G163" s="73">
        <f t="shared" si="15"/>
        <v>0</v>
      </c>
      <c r="H163" s="151"/>
      <c r="I163" s="73"/>
    </row>
    <row r="164" spans="2:9" x14ac:dyDescent="0.25">
      <c r="B164" s="2">
        <f t="shared" si="11"/>
        <v>148</v>
      </c>
      <c r="C164" s="17">
        <f t="shared" si="12"/>
        <v>0</v>
      </c>
      <c r="E164" s="73">
        <f t="shared" si="13"/>
        <v>0</v>
      </c>
      <c r="F164" s="73">
        <f t="shared" si="14"/>
        <v>0</v>
      </c>
      <c r="G164" s="73">
        <f t="shared" si="15"/>
        <v>0</v>
      </c>
      <c r="H164" s="151"/>
      <c r="I164" s="73"/>
    </row>
    <row r="165" spans="2:9" x14ac:dyDescent="0.25">
      <c r="B165" s="2">
        <f t="shared" si="11"/>
        <v>149</v>
      </c>
      <c r="C165" s="17">
        <f t="shared" si="12"/>
        <v>0</v>
      </c>
      <c r="E165" s="73">
        <f t="shared" si="13"/>
        <v>0</v>
      </c>
      <c r="F165" s="73">
        <f t="shared" si="14"/>
        <v>0</v>
      </c>
      <c r="G165" s="73">
        <f t="shared" si="15"/>
        <v>0</v>
      </c>
      <c r="H165" s="151"/>
      <c r="I165" s="73"/>
    </row>
    <row r="166" spans="2:9" x14ac:dyDescent="0.25">
      <c r="B166" s="2">
        <f t="shared" si="11"/>
        <v>150</v>
      </c>
      <c r="C166" s="17">
        <f t="shared" si="12"/>
        <v>0</v>
      </c>
      <c r="E166" s="73">
        <f t="shared" si="13"/>
        <v>0</v>
      </c>
      <c r="F166" s="73">
        <f t="shared" si="14"/>
        <v>0</v>
      </c>
      <c r="G166" s="73">
        <f t="shared" si="15"/>
        <v>0</v>
      </c>
      <c r="H166" s="151"/>
      <c r="I166" s="73"/>
    </row>
    <row r="167" spans="2:9" x14ac:dyDescent="0.25">
      <c r="B167" s="2">
        <f t="shared" si="11"/>
        <v>151</v>
      </c>
      <c r="C167" s="17">
        <f t="shared" si="12"/>
        <v>0</v>
      </c>
      <c r="E167" s="73">
        <f t="shared" si="13"/>
        <v>0</v>
      </c>
      <c r="F167" s="73">
        <f t="shared" si="14"/>
        <v>0</v>
      </c>
      <c r="G167" s="73">
        <f t="shared" si="15"/>
        <v>0</v>
      </c>
      <c r="H167" s="151"/>
      <c r="I167" s="73"/>
    </row>
    <row r="168" spans="2:9" x14ac:dyDescent="0.25">
      <c r="B168" s="2">
        <f t="shared" si="11"/>
        <v>152</v>
      </c>
      <c r="C168" s="17">
        <f t="shared" si="12"/>
        <v>0</v>
      </c>
      <c r="E168" s="73">
        <f t="shared" si="13"/>
        <v>0</v>
      </c>
      <c r="F168" s="73">
        <f t="shared" si="14"/>
        <v>0</v>
      </c>
      <c r="G168" s="73">
        <f t="shared" si="15"/>
        <v>0</v>
      </c>
      <c r="H168" s="151"/>
      <c r="I168" s="73"/>
    </row>
    <row r="169" spans="2:9" x14ac:dyDescent="0.25">
      <c r="B169" s="2">
        <f t="shared" si="11"/>
        <v>153</v>
      </c>
      <c r="C169" s="17">
        <f t="shared" si="12"/>
        <v>0</v>
      </c>
      <c r="E169" s="73">
        <f t="shared" si="13"/>
        <v>0</v>
      </c>
      <c r="F169" s="73">
        <f t="shared" si="14"/>
        <v>0</v>
      </c>
      <c r="G169" s="73">
        <f t="shared" si="15"/>
        <v>0</v>
      </c>
      <c r="H169" s="151"/>
      <c r="I169" s="73"/>
    </row>
    <row r="170" spans="2:9" x14ac:dyDescent="0.25">
      <c r="B170" s="2">
        <f t="shared" si="11"/>
        <v>154</v>
      </c>
      <c r="C170" s="17">
        <f t="shared" si="12"/>
        <v>0</v>
      </c>
      <c r="E170" s="73">
        <f t="shared" si="13"/>
        <v>0</v>
      </c>
      <c r="F170" s="73">
        <f t="shared" si="14"/>
        <v>0</v>
      </c>
      <c r="G170" s="73">
        <f t="shared" si="15"/>
        <v>0</v>
      </c>
      <c r="H170" s="151"/>
      <c r="I170" s="73"/>
    </row>
    <row r="171" spans="2:9" x14ac:dyDescent="0.25">
      <c r="B171" s="2">
        <f t="shared" si="11"/>
        <v>155</v>
      </c>
      <c r="C171" s="17">
        <f t="shared" si="12"/>
        <v>0</v>
      </c>
      <c r="E171" s="73">
        <f t="shared" si="13"/>
        <v>0</v>
      </c>
      <c r="F171" s="73">
        <f t="shared" si="14"/>
        <v>0</v>
      </c>
      <c r="G171" s="73">
        <f t="shared" si="15"/>
        <v>0</v>
      </c>
      <c r="H171" s="151"/>
      <c r="I171" s="73"/>
    </row>
    <row r="172" spans="2:9" x14ac:dyDescent="0.25">
      <c r="B172" s="2">
        <f t="shared" si="11"/>
        <v>156</v>
      </c>
      <c r="C172" s="17">
        <f t="shared" si="12"/>
        <v>0</v>
      </c>
      <c r="E172" s="73">
        <f t="shared" si="13"/>
        <v>0</v>
      </c>
      <c r="F172" s="73">
        <f t="shared" si="14"/>
        <v>0</v>
      </c>
      <c r="G172" s="73">
        <f t="shared" si="15"/>
        <v>0</v>
      </c>
      <c r="H172" s="151"/>
      <c r="I172" s="73"/>
    </row>
    <row r="173" spans="2:9" x14ac:dyDescent="0.25">
      <c r="B173" s="2">
        <f t="shared" si="11"/>
        <v>157</v>
      </c>
      <c r="C173" s="17">
        <f t="shared" si="12"/>
        <v>0</v>
      </c>
      <c r="E173" s="73">
        <f t="shared" si="13"/>
        <v>0</v>
      </c>
      <c r="F173" s="73">
        <f t="shared" si="14"/>
        <v>0</v>
      </c>
      <c r="G173" s="73">
        <f t="shared" si="15"/>
        <v>0</v>
      </c>
      <c r="H173" s="151"/>
      <c r="I173" s="73"/>
    </row>
    <row r="174" spans="2:9" x14ac:dyDescent="0.25">
      <c r="B174" s="2">
        <f t="shared" si="11"/>
        <v>158</v>
      </c>
      <c r="C174" s="17">
        <f t="shared" si="12"/>
        <v>0</v>
      </c>
      <c r="E174" s="73">
        <f t="shared" si="13"/>
        <v>0</v>
      </c>
      <c r="F174" s="73">
        <f t="shared" si="14"/>
        <v>0</v>
      </c>
      <c r="G174" s="73">
        <f t="shared" si="15"/>
        <v>0</v>
      </c>
      <c r="H174" s="151"/>
      <c r="I174" s="73"/>
    </row>
    <row r="175" spans="2:9" x14ac:dyDescent="0.25">
      <c r="B175" s="2">
        <f t="shared" si="11"/>
        <v>159</v>
      </c>
      <c r="C175" s="17">
        <f t="shared" si="12"/>
        <v>0</v>
      </c>
      <c r="E175" s="73">
        <f t="shared" si="13"/>
        <v>0</v>
      </c>
      <c r="F175" s="73">
        <f t="shared" si="14"/>
        <v>0</v>
      </c>
      <c r="G175" s="73">
        <f t="shared" si="15"/>
        <v>0</v>
      </c>
      <c r="H175" s="151"/>
      <c r="I175" s="73"/>
    </row>
    <row r="176" spans="2:9" x14ac:dyDescent="0.25">
      <c r="B176" s="2">
        <f t="shared" si="11"/>
        <v>160</v>
      </c>
      <c r="C176" s="17">
        <f t="shared" si="12"/>
        <v>0</v>
      </c>
      <c r="E176" s="73">
        <f t="shared" si="13"/>
        <v>0</v>
      </c>
      <c r="F176" s="73">
        <f t="shared" si="14"/>
        <v>0</v>
      </c>
      <c r="G176" s="73">
        <f t="shared" si="15"/>
        <v>0</v>
      </c>
      <c r="H176" s="151"/>
      <c r="I176" s="73"/>
    </row>
    <row r="177" spans="2:9" x14ac:dyDescent="0.25">
      <c r="B177" s="2">
        <f t="shared" si="11"/>
        <v>161</v>
      </c>
      <c r="C177" s="17">
        <f t="shared" si="12"/>
        <v>0</v>
      </c>
      <c r="E177" s="73">
        <f t="shared" si="13"/>
        <v>0</v>
      </c>
      <c r="F177" s="73">
        <f t="shared" si="14"/>
        <v>0</v>
      </c>
      <c r="G177" s="73">
        <f t="shared" si="15"/>
        <v>0</v>
      </c>
      <c r="H177" s="151"/>
      <c r="I177" s="73"/>
    </row>
    <row r="178" spans="2:9" x14ac:dyDescent="0.25">
      <c r="B178" s="2">
        <f t="shared" si="11"/>
        <v>162</v>
      </c>
      <c r="C178" s="17">
        <f t="shared" si="12"/>
        <v>0</v>
      </c>
      <c r="E178" s="73">
        <f t="shared" si="13"/>
        <v>0</v>
      </c>
      <c r="F178" s="73">
        <f t="shared" si="14"/>
        <v>0</v>
      </c>
      <c r="G178" s="73">
        <f t="shared" si="15"/>
        <v>0</v>
      </c>
      <c r="H178" s="151"/>
      <c r="I178" s="73"/>
    </row>
    <row r="179" spans="2:9" x14ac:dyDescent="0.25">
      <c r="B179" s="2">
        <f t="shared" si="11"/>
        <v>163</v>
      </c>
      <c r="C179" s="17">
        <f t="shared" si="12"/>
        <v>0</v>
      </c>
      <c r="E179" s="73">
        <f t="shared" si="13"/>
        <v>0</v>
      </c>
      <c r="F179" s="73">
        <f t="shared" si="14"/>
        <v>0</v>
      </c>
      <c r="G179" s="73">
        <f t="shared" si="15"/>
        <v>0</v>
      </c>
      <c r="H179" s="151"/>
      <c r="I179" s="73"/>
    </row>
    <row r="180" spans="2:9" x14ac:dyDescent="0.25">
      <c r="B180" s="2">
        <f t="shared" si="11"/>
        <v>164</v>
      </c>
      <c r="C180" s="17">
        <f t="shared" si="12"/>
        <v>0</v>
      </c>
      <c r="E180" s="73">
        <f t="shared" si="13"/>
        <v>0</v>
      </c>
      <c r="F180" s="73">
        <f t="shared" si="14"/>
        <v>0</v>
      </c>
      <c r="G180" s="73">
        <f t="shared" si="15"/>
        <v>0</v>
      </c>
      <c r="H180" s="151"/>
      <c r="I180" s="73"/>
    </row>
    <row r="181" spans="2:9" x14ac:dyDescent="0.25">
      <c r="B181" s="2">
        <f t="shared" si="11"/>
        <v>165</v>
      </c>
      <c r="C181" s="17">
        <f t="shared" si="12"/>
        <v>0</v>
      </c>
      <c r="E181" s="73">
        <f t="shared" si="13"/>
        <v>0</v>
      </c>
      <c r="F181" s="73">
        <f t="shared" si="14"/>
        <v>0</v>
      </c>
      <c r="G181" s="73">
        <f t="shared" si="15"/>
        <v>0</v>
      </c>
      <c r="H181" s="151"/>
      <c r="I181" s="73"/>
    </row>
    <row r="182" spans="2:9" x14ac:dyDescent="0.25">
      <c r="B182" s="2">
        <f t="shared" si="11"/>
        <v>166</v>
      </c>
      <c r="C182" s="17">
        <f t="shared" si="12"/>
        <v>0</v>
      </c>
      <c r="E182" s="73">
        <f t="shared" si="13"/>
        <v>0</v>
      </c>
      <c r="F182" s="73">
        <f t="shared" si="14"/>
        <v>0</v>
      </c>
      <c r="G182" s="73">
        <f t="shared" si="15"/>
        <v>0</v>
      </c>
      <c r="H182" s="151"/>
      <c r="I182" s="73"/>
    </row>
    <row r="183" spans="2:9" x14ac:dyDescent="0.25">
      <c r="B183" s="2">
        <f t="shared" si="11"/>
        <v>167</v>
      </c>
      <c r="C183" s="17">
        <f t="shared" si="12"/>
        <v>0</v>
      </c>
      <c r="E183" s="73">
        <f t="shared" si="13"/>
        <v>0</v>
      </c>
      <c r="F183" s="73">
        <f t="shared" si="14"/>
        <v>0</v>
      </c>
      <c r="G183" s="73">
        <f t="shared" si="15"/>
        <v>0</v>
      </c>
      <c r="H183" s="151"/>
      <c r="I183" s="73"/>
    </row>
    <row r="184" spans="2:9" x14ac:dyDescent="0.25">
      <c r="B184" s="2">
        <f t="shared" si="11"/>
        <v>168</v>
      </c>
      <c r="C184" s="17">
        <f t="shared" si="12"/>
        <v>0</v>
      </c>
      <c r="E184" s="73">
        <f t="shared" si="13"/>
        <v>0</v>
      </c>
      <c r="F184" s="73">
        <f t="shared" si="14"/>
        <v>0</v>
      </c>
      <c r="G184" s="73">
        <f t="shared" si="15"/>
        <v>0</v>
      </c>
      <c r="H184" s="151"/>
      <c r="I184" s="73"/>
    </row>
    <row r="185" spans="2:9" x14ac:dyDescent="0.25">
      <c r="B185" s="2">
        <f t="shared" si="11"/>
        <v>169</v>
      </c>
      <c r="C185" s="17">
        <f t="shared" si="12"/>
        <v>0</v>
      </c>
      <c r="E185" s="73">
        <f t="shared" si="13"/>
        <v>0</v>
      </c>
      <c r="F185" s="73">
        <f t="shared" si="14"/>
        <v>0</v>
      </c>
      <c r="G185" s="73">
        <f t="shared" si="15"/>
        <v>0</v>
      </c>
      <c r="H185" s="151"/>
      <c r="I185" s="73"/>
    </row>
    <row r="186" spans="2:9" x14ac:dyDescent="0.25">
      <c r="B186" s="2">
        <f t="shared" si="11"/>
        <v>170</v>
      </c>
      <c r="C186" s="17">
        <f t="shared" si="12"/>
        <v>0</v>
      </c>
      <c r="E186" s="73">
        <f t="shared" si="13"/>
        <v>0</v>
      </c>
      <c r="F186" s="73">
        <f t="shared" si="14"/>
        <v>0</v>
      </c>
      <c r="G186" s="73">
        <f t="shared" si="15"/>
        <v>0</v>
      </c>
      <c r="H186" s="151"/>
      <c r="I186" s="73"/>
    </row>
    <row r="187" spans="2:9" x14ac:dyDescent="0.25">
      <c r="B187" s="2">
        <f t="shared" si="11"/>
        <v>171</v>
      </c>
      <c r="C187" s="17">
        <f t="shared" si="12"/>
        <v>0</v>
      </c>
      <c r="E187" s="73">
        <f t="shared" si="13"/>
        <v>0</v>
      </c>
      <c r="F187" s="73">
        <f t="shared" si="14"/>
        <v>0</v>
      </c>
      <c r="G187" s="73">
        <f t="shared" si="15"/>
        <v>0</v>
      </c>
      <c r="H187" s="151"/>
      <c r="I187" s="73"/>
    </row>
    <row r="188" spans="2:9" x14ac:dyDescent="0.25">
      <c r="B188" s="2">
        <f t="shared" si="11"/>
        <v>172</v>
      </c>
      <c r="C188" s="17">
        <f t="shared" si="12"/>
        <v>0</v>
      </c>
      <c r="E188" s="73">
        <f t="shared" si="13"/>
        <v>0</v>
      </c>
      <c r="F188" s="73">
        <f t="shared" si="14"/>
        <v>0</v>
      </c>
      <c r="G188" s="73">
        <f t="shared" si="15"/>
        <v>0</v>
      </c>
      <c r="H188" s="151"/>
      <c r="I188" s="73"/>
    </row>
    <row r="189" spans="2:9" x14ac:dyDescent="0.25">
      <c r="B189" s="2">
        <f t="shared" si="11"/>
        <v>173</v>
      </c>
      <c r="C189" s="17">
        <f t="shared" si="12"/>
        <v>0</v>
      </c>
      <c r="E189" s="73">
        <f t="shared" si="13"/>
        <v>0</v>
      </c>
      <c r="F189" s="73">
        <f t="shared" si="14"/>
        <v>0</v>
      </c>
      <c r="G189" s="73">
        <f t="shared" si="15"/>
        <v>0</v>
      </c>
      <c r="H189" s="151"/>
      <c r="I189" s="73"/>
    </row>
    <row r="190" spans="2:9" x14ac:dyDescent="0.25">
      <c r="B190" s="2">
        <f t="shared" si="11"/>
        <v>174</v>
      </c>
      <c r="C190" s="17">
        <f t="shared" si="12"/>
        <v>0</v>
      </c>
      <c r="E190" s="73">
        <f t="shared" si="13"/>
        <v>0</v>
      </c>
      <c r="F190" s="73">
        <f t="shared" si="14"/>
        <v>0</v>
      </c>
      <c r="G190" s="73">
        <f t="shared" si="15"/>
        <v>0</v>
      </c>
      <c r="H190" s="151"/>
      <c r="I190" s="73"/>
    </row>
    <row r="191" spans="2:9" x14ac:dyDescent="0.25">
      <c r="B191" s="2">
        <f t="shared" si="11"/>
        <v>175</v>
      </c>
      <c r="C191" s="17">
        <f t="shared" si="12"/>
        <v>0</v>
      </c>
      <c r="E191" s="73">
        <f t="shared" si="13"/>
        <v>0</v>
      </c>
      <c r="F191" s="73">
        <f t="shared" si="14"/>
        <v>0</v>
      </c>
      <c r="G191" s="73">
        <f t="shared" si="15"/>
        <v>0</v>
      </c>
      <c r="H191" s="151"/>
      <c r="I191" s="73"/>
    </row>
    <row r="192" spans="2:9" x14ac:dyDescent="0.25">
      <c r="B192" s="2">
        <f t="shared" si="11"/>
        <v>176</v>
      </c>
      <c r="C192" s="17">
        <f t="shared" si="12"/>
        <v>0</v>
      </c>
      <c r="E192" s="73">
        <f t="shared" si="13"/>
        <v>0</v>
      </c>
      <c r="F192" s="73">
        <f t="shared" si="14"/>
        <v>0</v>
      </c>
      <c r="G192" s="73">
        <f t="shared" si="15"/>
        <v>0</v>
      </c>
      <c r="H192" s="151"/>
      <c r="I192" s="73"/>
    </row>
    <row r="193" spans="2:9" x14ac:dyDescent="0.25">
      <c r="B193" s="2">
        <f t="shared" si="11"/>
        <v>177</v>
      </c>
      <c r="C193" s="17">
        <f t="shared" si="12"/>
        <v>0</v>
      </c>
      <c r="E193" s="73">
        <f t="shared" si="13"/>
        <v>0</v>
      </c>
      <c r="F193" s="73">
        <f t="shared" si="14"/>
        <v>0</v>
      </c>
      <c r="G193" s="73">
        <f t="shared" si="15"/>
        <v>0</v>
      </c>
      <c r="H193" s="151"/>
      <c r="I193" s="73"/>
    </row>
    <row r="194" spans="2:9" x14ac:dyDescent="0.25">
      <c r="B194" s="2">
        <f t="shared" si="11"/>
        <v>178</v>
      </c>
      <c r="C194" s="17">
        <f t="shared" si="12"/>
        <v>0</v>
      </c>
      <c r="E194" s="73">
        <f t="shared" si="13"/>
        <v>0</v>
      </c>
      <c r="F194" s="73">
        <f t="shared" si="14"/>
        <v>0</v>
      </c>
      <c r="G194" s="73">
        <f t="shared" si="15"/>
        <v>0</v>
      </c>
      <c r="H194" s="151"/>
      <c r="I194" s="73"/>
    </row>
    <row r="195" spans="2:9" x14ac:dyDescent="0.25">
      <c r="B195" s="2">
        <f t="shared" si="11"/>
        <v>179</v>
      </c>
      <c r="C195" s="17">
        <f t="shared" si="12"/>
        <v>0</v>
      </c>
      <c r="E195" s="73">
        <f t="shared" si="13"/>
        <v>0</v>
      </c>
      <c r="F195" s="73">
        <f t="shared" si="14"/>
        <v>0</v>
      </c>
      <c r="G195" s="73">
        <f t="shared" si="15"/>
        <v>0</v>
      </c>
      <c r="H195" s="151"/>
      <c r="I195" s="73"/>
    </row>
    <row r="196" spans="2:9" x14ac:dyDescent="0.25">
      <c r="B196" s="2">
        <f t="shared" si="11"/>
        <v>180</v>
      </c>
      <c r="C196" s="17">
        <f t="shared" si="12"/>
        <v>0</v>
      </c>
      <c r="E196" s="73">
        <f t="shared" si="13"/>
        <v>0</v>
      </c>
      <c r="F196" s="73">
        <f t="shared" si="14"/>
        <v>0</v>
      </c>
      <c r="G196" s="73">
        <f t="shared" si="15"/>
        <v>0</v>
      </c>
      <c r="H196" s="151"/>
      <c r="I196" s="73"/>
    </row>
    <row r="197" spans="2:9" x14ac:dyDescent="0.25">
      <c r="B197" s="2">
        <f t="shared" si="11"/>
        <v>181</v>
      </c>
      <c r="C197" s="17">
        <f t="shared" si="12"/>
        <v>0</v>
      </c>
      <c r="E197" s="73">
        <f t="shared" si="13"/>
        <v>0</v>
      </c>
      <c r="F197" s="73">
        <f t="shared" si="14"/>
        <v>0</v>
      </c>
      <c r="G197" s="73">
        <f t="shared" si="15"/>
        <v>0</v>
      </c>
      <c r="H197" s="151"/>
      <c r="I197" s="73"/>
    </row>
    <row r="198" spans="2:9" x14ac:dyDescent="0.25">
      <c r="B198" s="2">
        <f t="shared" si="11"/>
        <v>182</v>
      </c>
      <c r="C198" s="17">
        <f t="shared" si="12"/>
        <v>0</v>
      </c>
      <c r="E198" s="73">
        <f t="shared" si="13"/>
        <v>0</v>
      </c>
      <c r="F198" s="73">
        <f t="shared" si="14"/>
        <v>0</v>
      </c>
      <c r="G198" s="73">
        <f t="shared" si="15"/>
        <v>0</v>
      </c>
      <c r="H198" s="151"/>
      <c r="I198" s="73"/>
    </row>
    <row r="199" spans="2:9" x14ac:dyDescent="0.25">
      <c r="B199" s="2">
        <f t="shared" si="11"/>
        <v>183</v>
      </c>
      <c r="C199" s="17">
        <f t="shared" si="12"/>
        <v>0</v>
      </c>
      <c r="E199" s="73">
        <f t="shared" si="13"/>
        <v>0</v>
      </c>
      <c r="F199" s="73">
        <f t="shared" si="14"/>
        <v>0</v>
      </c>
      <c r="G199" s="73">
        <f t="shared" si="15"/>
        <v>0</v>
      </c>
      <c r="H199" s="151"/>
      <c r="I199" s="73"/>
    </row>
    <row r="200" spans="2:9" x14ac:dyDescent="0.25">
      <c r="B200" s="2">
        <f t="shared" si="11"/>
        <v>184</v>
      </c>
      <c r="C200" s="17">
        <f t="shared" si="12"/>
        <v>0</v>
      </c>
      <c r="E200" s="73">
        <f t="shared" si="13"/>
        <v>0</v>
      </c>
      <c r="F200" s="73">
        <f t="shared" si="14"/>
        <v>0</v>
      </c>
      <c r="G200" s="73">
        <f t="shared" si="15"/>
        <v>0</v>
      </c>
      <c r="H200" s="151"/>
      <c r="I200" s="73"/>
    </row>
    <row r="201" spans="2:9" x14ac:dyDescent="0.25">
      <c r="B201" s="2">
        <f t="shared" si="11"/>
        <v>185</v>
      </c>
      <c r="C201" s="17">
        <f t="shared" si="12"/>
        <v>0</v>
      </c>
      <c r="E201" s="73">
        <f t="shared" si="13"/>
        <v>0</v>
      </c>
      <c r="F201" s="73">
        <f t="shared" si="14"/>
        <v>0</v>
      </c>
      <c r="G201" s="73">
        <f t="shared" si="15"/>
        <v>0</v>
      </c>
      <c r="H201" s="151"/>
      <c r="I201" s="73"/>
    </row>
    <row r="202" spans="2:9" x14ac:dyDescent="0.25">
      <c r="B202" s="2">
        <f t="shared" si="11"/>
        <v>186</v>
      </c>
      <c r="C202" s="17">
        <f t="shared" si="12"/>
        <v>0</v>
      </c>
      <c r="E202" s="73">
        <f t="shared" si="13"/>
        <v>0</v>
      </c>
      <c r="F202" s="73">
        <f t="shared" si="14"/>
        <v>0</v>
      </c>
      <c r="G202" s="73">
        <f t="shared" si="15"/>
        <v>0</v>
      </c>
      <c r="H202" s="151"/>
      <c r="I202" s="73"/>
    </row>
    <row r="203" spans="2:9" x14ac:dyDescent="0.25">
      <c r="B203" s="2">
        <f t="shared" si="11"/>
        <v>187</v>
      </c>
      <c r="C203" s="17">
        <f t="shared" si="12"/>
        <v>0</v>
      </c>
      <c r="E203" s="73">
        <f t="shared" si="13"/>
        <v>0</v>
      </c>
      <c r="F203" s="73">
        <f t="shared" si="14"/>
        <v>0</v>
      </c>
      <c r="G203" s="73">
        <f t="shared" si="15"/>
        <v>0</v>
      </c>
      <c r="H203" s="151"/>
      <c r="I203" s="73"/>
    </row>
    <row r="204" spans="2:9" x14ac:dyDescent="0.25">
      <c r="B204" s="2">
        <f t="shared" si="11"/>
        <v>188</v>
      </c>
      <c r="C204" s="17">
        <f t="shared" si="12"/>
        <v>0</v>
      </c>
      <c r="E204" s="73">
        <f t="shared" si="13"/>
        <v>0</v>
      </c>
      <c r="F204" s="73">
        <f t="shared" si="14"/>
        <v>0</v>
      </c>
      <c r="G204" s="73">
        <f t="shared" si="15"/>
        <v>0</v>
      </c>
      <c r="H204" s="151"/>
      <c r="I204" s="73"/>
    </row>
    <row r="205" spans="2:9" x14ac:dyDescent="0.25">
      <c r="B205" s="2">
        <f t="shared" si="11"/>
        <v>189</v>
      </c>
      <c r="C205" s="17">
        <f t="shared" si="12"/>
        <v>0</v>
      </c>
      <c r="E205" s="73">
        <f t="shared" si="13"/>
        <v>0</v>
      </c>
      <c r="F205" s="73">
        <f t="shared" si="14"/>
        <v>0</v>
      </c>
      <c r="G205" s="73">
        <f t="shared" si="15"/>
        <v>0</v>
      </c>
      <c r="H205" s="151"/>
      <c r="I205" s="73"/>
    </row>
    <row r="206" spans="2:9" x14ac:dyDescent="0.25">
      <c r="B206" s="2">
        <f t="shared" si="11"/>
        <v>190</v>
      </c>
      <c r="C206" s="17">
        <f t="shared" si="12"/>
        <v>0</v>
      </c>
      <c r="E206" s="73">
        <f t="shared" si="13"/>
        <v>0</v>
      </c>
      <c r="F206" s="73">
        <f t="shared" si="14"/>
        <v>0</v>
      </c>
      <c r="G206" s="73">
        <f t="shared" si="15"/>
        <v>0</v>
      </c>
      <c r="H206" s="151"/>
      <c r="I206" s="73"/>
    </row>
    <row r="207" spans="2:9" x14ac:dyDescent="0.25">
      <c r="B207" s="2">
        <f t="shared" si="11"/>
        <v>191</v>
      </c>
      <c r="C207" s="17">
        <f t="shared" si="12"/>
        <v>0</v>
      </c>
      <c r="E207" s="73">
        <f t="shared" si="13"/>
        <v>0</v>
      </c>
      <c r="F207" s="73">
        <f t="shared" si="14"/>
        <v>0</v>
      </c>
      <c r="G207" s="73">
        <f t="shared" si="15"/>
        <v>0</v>
      </c>
      <c r="H207" s="151"/>
      <c r="I207" s="73"/>
    </row>
    <row r="208" spans="2:9" x14ac:dyDescent="0.25">
      <c r="B208" s="2">
        <f t="shared" si="11"/>
        <v>192</v>
      </c>
      <c r="C208" s="17">
        <f t="shared" si="12"/>
        <v>0</v>
      </c>
      <c r="E208" s="73">
        <f t="shared" si="13"/>
        <v>0</v>
      </c>
      <c r="F208" s="73">
        <f t="shared" si="14"/>
        <v>0</v>
      </c>
      <c r="G208" s="73">
        <f t="shared" si="15"/>
        <v>0</v>
      </c>
      <c r="H208" s="151"/>
      <c r="I208" s="73"/>
    </row>
    <row r="209" spans="2:9" x14ac:dyDescent="0.25">
      <c r="B209" s="2">
        <f t="shared" si="11"/>
        <v>193</v>
      </c>
      <c r="C209" s="17">
        <f t="shared" si="12"/>
        <v>0</v>
      </c>
      <c r="E209" s="73">
        <f t="shared" si="13"/>
        <v>0</v>
      </c>
      <c r="F209" s="73">
        <f t="shared" si="14"/>
        <v>0</v>
      </c>
      <c r="G209" s="73">
        <f t="shared" si="15"/>
        <v>0</v>
      </c>
      <c r="H209" s="151"/>
      <c r="I209" s="73"/>
    </row>
    <row r="210" spans="2:9" x14ac:dyDescent="0.25">
      <c r="B210" s="2">
        <f t="shared" ref="B210:B256" si="16">B209+1</f>
        <v>194</v>
      </c>
      <c r="C210" s="17">
        <f t="shared" ref="C210:C256" si="17">$E$8</f>
        <v>0</v>
      </c>
      <c r="E210" s="73">
        <f t="shared" ref="E210:E256" si="18">G209*$E$9/12</f>
        <v>0</v>
      </c>
      <c r="F210" s="73">
        <f t="shared" ref="F210:F256" si="19">C210-E210</f>
        <v>0</v>
      </c>
      <c r="G210" s="73">
        <f t="shared" ref="G210:G256" si="20">G209-F210</f>
        <v>0</v>
      </c>
      <c r="H210" s="151"/>
      <c r="I210" s="73"/>
    </row>
    <row r="211" spans="2:9" x14ac:dyDescent="0.25">
      <c r="B211" s="2">
        <f t="shared" si="16"/>
        <v>195</v>
      </c>
      <c r="C211" s="17">
        <f t="shared" si="17"/>
        <v>0</v>
      </c>
      <c r="E211" s="73">
        <f t="shared" si="18"/>
        <v>0</v>
      </c>
      <c r="F211" s="73">
        <f t="shared" si="19"/>
        <v>0</v>
      </c>
      <c r="G211" s="73">
        <f t="shared" si="20"/>
        <v>0</v>
      </c>
      <c r="H211" s="151"/>
      <c r="I211" s="73"/>
    </row>
    <row r="212" spans="2:9" x14ac:dyDescent="0.25">
      <c r="B212" s="2">
        <f t="shared" si="16"/>
        <v>196</v>
      </c>
      <c r="C212" s="17">
        <f t="shared" si="17"/>
        <v>0</v>
      </c>
      <c r="E212" s="73">
        <f t="shared" si="18"/>
        <v>0</v>
      </c>
      <c r="F212" s="73">
        <f t="shared" si="19"/>
        <v>0</v>
      </c>
      <c r="G212" s="73">
        <f t="shared" si="20"/>
        <v>0</v>
      </c>
      <c r="H212" s="151"/>
      <c r="I212" s="73"/>
    </row>
    <row r="213" spans="2:9" x14ac:dyDescent="0.25">
      <c r="B213" s="2">
        <f t="shared" si="16"/>
        <v>197</v>
      </c>
      <c r="C213" s="17">
        <f t="shared" si="17"/>
        <v>0</v>
      </c>
      <c r="E213" s="73">
        <f t="shared" si="18"/>
        <v>0</v>
      </c>
      <c r="F213" s="73">
        <f t="shared" si="19"/>
        <v>0</v>
      </c>
      <c r="G213" s="73">
        <f t="shared" si="20"/>
        <v>0</v>
      </c>
      <c r="H213" s="151"/>
      <c r="I213" s="73"/>
    </row>
    <row r="214" spans="2:9" x14ac:dyDescent="0.25">
      <c r="B214" s="2">
        <f t="shared" si="16"/>
        <v>198</v>
      </c>
      <c r="C214" s="17">
        <f t="shared" si="17"/>
        <v>0</v>
      </c>
      <c r="E214" s="73">
        <f t="shared" si="18"/>
        <v>0</v>
      </c>
      <c r="F214" s="73">
        <f t="shared" si="19"/>
        <v>0</v>
      </c>
      <c r="G214" s="73">
        <f t="shared" si="20"/>
        <v>0</v>
      </c>
      <c r="H214" s="151"/>
      <c r="I214" s="73"/>
    </row>
    <row r="215" spans="2:9" x14ac:dyDescent="0.25">
      <c r="B215" s="2">
        <f t="shared" si="16"/>
        <v>199</v>
      </c>
      <c r="C215" s="17">
        <f t="shared" si="17"/>
        <v>0</v>
      </c>
      <c r="E215" s="73">
        <f t="shared" si="18"/>
        <v>0</v>
      </c>
      <c r="F215" s="73">
        <f t="shared" si="19"/>
        <v>0</v>
      </c>
      <c r="G215" s="73">
        <f t="shared" si="20"/>
        <v>0</v>
      </c>
      <c r="H215" s="151"/>
      <c r="I215" s="73"/>
    </row>
    <row r="216" spans="2:9" x14ac:dyDescent="0.25">
      <c r="B216" s="2">
        <f t="shared" si="16"/>
        <v>200</v>
      </c>
      <c r="C216" s="17">
        <f t="shared" si="17"/>
        <v>0</v>
      </c>
      <c r="E216" s="73">
        <f t="shared" si="18"/>
        <v>0</v>
      </c>
      <c r="F216" s="73">
        <f t="shared" si="19"/>
        <v>0</v>
      </c>
      <c r="G216" s="73">
        <f t="shared" si="20"/>
        <v>0</v>
      </c>
      <c r="H216" s="151"/>
      <c r="I216" s="73"/>
    </row>
    <row r="217" spans="2:9" x14ac:dyDescent="0.25">
      <c r="B217" s="2">
        <f t="shared" si="16"/>
        <v>201</v>
      </c>
      <c r="C217" s="17">
        <f t="shared" si="17"/>
        <v>0</v>
      </c>
      <c r="E217" s="73">
        <f t="shared" si="18"/>
        <v>0</v>
      </c>
      <c r="F217" s="73">
        <f t="shared" si="19"/>
        <v>0</v>
      </c>
      <c r="G217" s="73">
        <f t="shared" si="20"/>
        <v>0</v>
      </c>
      <c r="H217" s="151"/>
      <c r="I217" s="73"/>
    </row>
    <row r="218" spans="2:9" x14ac:dyDescent="0.25">
      <c r="B218" s="2">
        <f t="shared" si="16"/>
        <v>202</v>
      </c>
      <c r="C218" s="17">
        <f t="shared" si="17"/>
        <v>0</v>
      </c>
      <c r="E218" s="73">
        <f t="shared" si="18"/>
        <v>0</v>
      </c>
      <c r="F218" s="73">
        <f t="shared" si="19"/>
        <v>0</v>
      </c>
      <c r="G218" s="73">
        <f t="shared" si="20"/>
        <v>0</v>
      </c>
      <c r="H218" s="151"/>
      <c r="I218" s="73"/>
    </row>
    <row r="219" spans="2:9" x14ac:dyDescent="0.25">
      <c r="B219" s="2">
        <f t="shared" si="16"/>
        <v>203</v>
      </c>
      <c r="C219" s="17">
        <f t="shared" si="17"/>
        <v>0</v>
      </c>
      <c r="E219" s="73">
        <f t="shared" si="18"/>
        <v>0</v>
      </c>
      <c r="F219" s="73">
        <f t="shared" si="19"/>
        <v>0</v>
      </c>
      <c r="G219" s="73">
        <f t="shared" si="20"/>
        <v>0</v>
      </c>
      <c r="H219" s="151"/>
      <c r="I219" s="73"/>
    </row>
    <row r="220" spans="2:9" x14ac:dyDescent="0.25">
      <c r="B220" s="2">
        <f t="shared" si="16"/>
        <v>204</v>
      </c>
      <c r="C220" s="17">
        <f t="shared" si="17"/>
        <v>0</v>
      </c>
      <c r="E220" s="73">
        <f t="shared" si="18"/>
        <v>0</v>
      </c>
      <c r="F220" s="73">
        <f t="shared" si="19"/>
        <v>0</v>
      </c>
      <c r="G220" s="73">
        <f t="shared" si="20"/>
        <v>0</v>
      </c>
      <c r="H220" s="151"/>
      <c r="I220" s="73"/>
    </row>
    <row r="221" spans="2:9" x14ac:dyDescent="0.25">
      <c r="B221" s="2">
        <f t="shared" si="16"/>
        <v>205</v>
      </c>
      <c r="C221" s="17">
        <f t="shared" si="17"/>
        <v>0</v>
      </c>
      <c r="E221" s="73">
        <f t="shared" si="18"/>
        <v>0</v>
      </c>
      <c r="F221" s="73">
        <f t="shared" si="19"/>
        <v>0</v>
      </c>
      <c r="G221" s="73">
        <f t="shared" si="20"/>
        <v>0</v>
      </c>
      <c r="H221" s="151"/>
      <c r="I221" s="73"/>
    </row>
    <row r="222" spans="2:9" x14ac:dyDescent="0.25">
      <c r="B222" s="2">
        <f t="shared" si="16"/>
        <v>206</v>
      </c>
      <c r="C222" s="17">
        <f t="shared" si="17"/>
        <v>0</v>
      </c>
      <c r="E222" s="73">
        <f t="shared" si="18"/>
        <v>0</v>
      </c>
      <c r="F222" s="73">
        <f t="shared" si="19"/>
        <v>0</v>
      </c>
      <c r="G222" s="73">
        <f t="shared" si="20"/>
        <v>0</v>
      </c>
      <c r="H222" s="151"/>
      <c r="I222" s="73"/>
    </row>
    <row r="223" spans="2:9" x14ac:dyDescent="0.25">
      <c r="B223" s="2">
        <f t="shared" si="16"/>
        <v>207</v>
      </c>
      <c r="C223" s="17">
        <f t="shared" si="17"/>
        <v>0</v>
      </c>
      <c r="E223" s="73">
        <f t="shared" si="18"/>
        <v>0</v>
      </c>
      <c r="F223" s="73">
        <f t="shared" si="19"/>
        <v>0</v>
      </c>
      <c r="G223" s="73">
        <f t="shared" si="20"/>
        <v>0</v>
      </c>
      <c r="H223" s="151"/>
      <c r="I223" s="73"/>
    </row>
    <row r="224" spans="2:9" x14ac:dyDescent="0.25">
      <c r="B224" s="2">
        <f t="shared" si="16"/>
        <v>208</v>
      </c>
      <c r="C224" s="17">
        <f t="shared" si="17"/>
        <v>0</v>
      </c>
      <c r="E224" s="73">
        <f t="shared" si="18"/>
        <v>0</v>
      </c>
      <c r="F224" s="73">
        <f t="shared" si="19"/>
        <v>0</v>
      </c>
      <c r="G224" s="73">
        <f t="shared" si="20"/>
        <v>0</v>
      </c>
      <c r="H224" s="151"/>
      <c r="I224" s="73"/>
    </row>
    <row r="225" spans="2:9" x14ac:dyDescent="0.25">
      <c r="B225" s="2">
        <f t="shared" si="16"/>
        <v>209</v>
      </c>
      <c r="C225" s="17">
        <f t="shared" si="17"/>
        <v>0</v>
      </c>
      <c r="E225" s="73">
        <f t="shared" si="18"/>
        <v>0</v>
      </c>
      <c r="F225" s="73">
        <f t="shared" si="19"/>
        <v>0</v>
      </c>
      <c r="G225" s="73">
        <f t="shared" si="20"/>
        <v>0</v>
      </c>
      <c r="H225" s="151"/>
      <c r="I225" s="73"/>
    </row>
    <row r="226" spans="2:9" x14ac:dyDescent="0.25">
      <c r="B226" s="2">
        <f t="shared" si="16"/>
        <v>210</v>
      </c>
      <c r="C226" s="17">
        <f t="shared" si="17"/>
        <v>0</v>
      </c>
      <c r="E226" s="73">
        <f t="shared" si="18"/>
        <v>0</v>
      </c>
      <c r="F226" s="73">
        <f t="shared" si="19"/>
        <v>0</v>
      </c>
      <c r="G226" s="73">
        <f t="shared" si="20"/>
        <v>0</v>
      </c>
      <c r="H226" s="151"/>
      <c r="I226" s="73"/>
    </row>
    <row r="227" spans="2:9" x14ac:dyDescent="0.25">
      <c r="B227" s="2">
        <f t="shared" si="16"/>
        <v>211</v>
      </c>
      <c r="C227" s="17">
        <f t="shared" si="17"/>
        <v>0</v>
      </c>
      <c r="E227" s="73">
        <f t="shared" si="18"/>
        <v>0</v>
      </c>
      <c r="F227" s="73">
        <f t="shared" si="19"/>
        <v>0</v>
      </c>
      <c r="G227" s="73">
        <f t="shared" si="20"/>
        <v>0</v>
      </c>
      <c r="H227" s="151"/>
      <c r="I227" s="73"/>
    </row>
    <row r="228" spans="2:9" x14ac:dyDescent="0.25">
      <c r="B228" s="2">
        <f t="shared" si="16"/>
        <v>212</v>
      </c>
      <c r="C228" s="17">
        <f t="shared" si="17"/>
        <v>0</v>
      </c>
      <c r="E228" s="73">
        <f t="shared" si="18"/>
        <v>0</v>
      </c>
      <c r="F228" s="73">
        <f t="shared" si="19"/>
        <v>0</v>
      </c>
      <c r="G228" s="73">
        <f t="shared" si="20"/>
        <v>0</v>
      </c>
      <c r="H228" s="151"/>
      <c r="I228" s="73"/>
    </row>
    <row r="229" spans="2:9" x14ac:dyDescent="0.25">
      <c r="B229" s="2">
        <f t="shared" si="16"/>
        <v>213</v>
      </c>
      <c r="C229" s="17">
        <f t="shared" si="17"/>
        <v>0</v>
      </c>
      <c r="E229" s="73">
        <f t="shared" si="18"/>
        <v>0</v>
      </c>
      <c r="F229" s="73">
        <f t="shared" si="19"/>
        <v>0</v>
      </c>
      <c r="G229" s="73">
        <f t="shared" si="20"/>
        <v>0</v>
      </c>
      <c r="H229" s="151"/>
      <c r="I229" s="73"/>
    </row>
    <row r="230" spans="2:9" x14ac:dyDescent="0.25">
      <c r="B230" s="2">
        <f t="shared" si="16"/>
        <v>214</v>
      </c>
      <c r="C230" s="17">
        <f t="shared" si="17"/>
        <v>0</v>
      </c>
      <c r="E230" s="73">
        <f t="shared" si="18"/>
        <v>0</v>
      </c>
      <c r="F230" s="73">
        <f t="shared" si="19"/>
        <v>0</v>
      </c>
      <c r="G230" s="73">
        <f t="shared" si="20"/>
        <v>0</v>
      </c>
      <c r="H230" s="151"/>
      <c r="I230" s="73"/>
    </row>
    <row r="231" spans="2:9" x14ac:dyDescent="0.25">
      <c r="B231" s="2">
        <f t="shared" si="16"/>
        <v>215</v>
      </c>
      <c r="C231" s="17">
        <f t="shared" si="17"/>
        <v>0</v>
      </c>
      <c r="E231" s="73">
        <f t="shared" si="18"/>
        <v>0</v>
      </c>
      <c r="F231" s="73">
        <f t="shared" si="19"/>
        <v>0</v>
      </c>
      <c r="G231" s="73">
        <f t="shared" si="20"/>
        <v>0</v>
      </c>
      <c r="H231" s="151"/>
      <c r="I231" s="73"/>
    </row>
    <row r="232" spans="2:9" x14ac:dyDescent="0.25">
      <c r="B232" s="2">
        <f t="shared" si="16"/>
        <v>216</v>
      </c>
      <c r="C232" s="17">
        <f t="shared" si="17"/>
        <v>0</v>
      </c>
      <c r="E232" s="73">
        <f t="shared" si="18"/>
        <v>0</v>
      </c>
      <c r="F232" s="73">
        <f t="shared" si="19"/>
        <v>0</v>
      </c>
      <c r="G232" s="73">
        <f t="shared" si="20"/>
        <v>0</v>
      </c>
      <c r="H232" s="151"/>
      <c r="I232" s="73"/>
    </row>
    <row r="233" spans="2:9" x14ac:dyDescent="0.25">
      <c r="B233" s="2">
        <f t="shared" si="16"/>
        <v>217</v>
      </c>
      <c r="C233" s="17">
        <f t="shared" si="17"/>
        <v>0</v>
      </c>
      <c r="E233" s="73">
        <f t="shared" si="18"/>
        <v>0</v>
      </c>
      <c r="F233" s="73">
        <f t="shared" si="19"/>
        <v>0</v>
      </c>
      <c r="G233" s="73">
        <f t="shared" si="20"/>
        <v>0</v>
      </c>
      <c r="H233" s="151"/>
      <c r="I233" s="73"/>
    </row>
    <row r="234" spans="2:9" x14ac:dyDescent="0.25">
      <c r="B234" s="2">
        <f t="shared" si="16"/>
        <v>218</v>
      </c>
      <c r="C234" s="17">
        <f t="shared" si="17"/>
        <v>0</v>
      </c>
      <c r="E234" s="73">
        <f t="shared" si="18"/>
        <v>0</v>
      </c>
      <c r="F234" s="73">
        <f t="shared" si="19"/>
        <v>0</v>
      </c>
      <c r="G234" s="73">
        <f t="shared" si="20"/>
        <v>0</v>
      </c>
      <c r="H234" s="151"/>
      <c r="I234" s="73"/>
    </row>
    <row r="235" spans="2:9" x14ac:dyDescent="0.25">
      <c r="B235" s="2">
        <f t="shared" si="16"/>
        <v>219</v>
      </c>
      <c r="C235" s="17">
        <f t="shared" si="17"/>
        <v>0</v>
      </c>
      <c r="E235" s="73">
        <f t="shared" si="18"/>
        <v>0</v>
      </c>
      <c r="F235" s="73">
        <f t="shared" si="19"/>
        <v>0</v>
      </c>
      <c r="G235" s="73">
        <f t="shared" si="20"/>
        <v>0</v>
      </c>
      <c r="H235" s="151"/>
      <c r="I235" s="73"/>
    </row>
    <row r="236" spans="2:9" x14ac:dyDescent="0.25">
      <c r="B236" s="2">
        <f t="shared" si="16"/>
        <v>220</v>
      </c>
      <c r="C236" s="17">
        <f t="shared" si="17"/>
        <v>0</v>
      </c>
      <c r="E236" s="73">
        <f t="shared" si="18"/>
        <v>0</v>
      </c>
      <c r="F236" s="73">
        <f t="shared" si="19"/>
        <v>0</v>
      </c>
      <c r="G236" s="73">
        <f t="shared" si="20"/>
        <v>0</v>
      </c>
      <c r="H236" s="151"/>
      <c r="I236" s="73"/>
    </row>
    <row r="237" spans="2:9" x14ac:dyDescent="0.25">
      <c r="B237" s="2">
        <f t="shared" si="16"/>
        <v>221</v>
      </c>
      <c r="C237" s="17">
        <f t="shared" si="17"/>
        <v>0</v>
      </c>
      <c r="E237" s="73">
        <f t="shared" si="18"/>
        <v>0</v>
      </c>
      <c r="F237" s="73">
        <f t="shared" si="19"/>
        <v>0</v>
      </c>
      <c r="G237" s="73">
        <f t="shared" si="20"/>
        <v>0</v>
      </c>
      <c r="H237" s="151"/>
      <c r="I237" s="73"/>
    </row>
    <row r="238" spans="2:9" x14ac:dyDescent="0.25">
      <c r="B238" s="2">
        <f t="shared" si="16"/>
        <v>222</v>
      </c>
      <c r="C238" s="17">
        <f t="shared" si="17"/>
        <v>0</v>
      </c>
      <c r="E238" s="73">
        <f t="shared" si="18"/>
        <v>0</v>
      </c>
      <c r="F238" s="73">
        <f t="shared" si="19"/>
        <v>0</v>
      </c>
      <c r="G238" s="73">
        <f t="shared" si="20"/>
        <v>0</v>
      </c>
      <c r="H238" s="151"/>
      <c r="I238" s="73"/>
    </row>
    <row r="239" spans="2:9" x14ac:dyDescent="0.25">
      <c r="B239" s="2">
        <f t="shared" si="16"/>
        <v>223</v>
      </c>
      <c r="C239" s="17">
        <f t="shared" si="17"/>
        <v>0</v>
      </c>
      <c r="E239" s="73">
        <f t="shared" si="18"/>
        <v>0</v>
      </c>
      <c r="F239" s="73">
        <f t="shared" si="19"/>
        <v>0</v>
      </c>
      <c r="G239" s="73">
        <f t="shared" si="20"/>
        <v>0</v>
      </c>
      <c r="H239" s="151"/>
      <c r="I239" s="73"/>
    </row>
    <row r="240" spans="2:9" x14ac:dyDescent="0.25">
      <c r="B240" s="2">
        <f t="shared" si="16"/>
        <v>224</v>
      </c>
      <c r="C240" s="17">
        <f t="shared" si="17"/>
        <v>0</v>
      </c>
      <c r="E240" s="73">
        <f t="shared" si="18"/>
        <v>0</v>
      </c>
      <c r="F240" s="73">
        <f t="shared" si="19"/>
        <v>0</v>
      </c>
      <c r="G240" s="73">
        <f t="shared" si="20"/>
        <v>0</v>
      </c>
      <c r="H240" s="151"/>
      <c r="I240" s="73"/>
    </row>
    <row r="241" spans="2:9" x14ac:dyDescent="0.25">
      <c r="B241" s="2">
        <f t="shared" si="16"/>
        <v>225</v>
      </c>
      <c r="C241" s="17">
        <f t="shared" si="17"/>
        <v>0</v>
      </c>
      <c r="E241" s="73">
        <f t="shared" si="18"/>
        <v>0</v>
      </c>
      <c r="F241" s="73">
        <f t="shared" si="19"/>
        <v>0</v>
      </c>
      <c r="G241" s="73">
        <f t="shared" si="20"/>
        <v>0</v>
      </c>
      <c r="H241" s="151"/>
      <c r="I241" s="73"/>
    </row>
    <row r="242" spans="2:9" x14ac:dyDescent="0.25">
      <c r="B242" s="2">
        <f t="shared" si="16"/>
        <v>226</v>
      </c>
      <c r="C242" s="17">
        <f t="shared" si="17"/>
        <v>0</v>
      </c>
      <c r="E242" s="73">
        <f t="shared" si="18"/>
        <v>0</v>
      </c>
      <c r="F242" s="73">
        <f t="shared" si="19"/>
        <v>0</v>
      </c>
      <c r="G242" s="73">
        <f t="shared" si="20"/>
        <v>0</v>
      </c>
      <c r="H242" s="151"/>
      <c r="I242" s="73"/>
    </row>
    <row r="243" spans="2:9" x14ac:dyDescent="0.25">
      <c r="B243" s="2">
        <f t="shared" si="16"/>
        <v>227</v>
      </c>
      <c r="C243" s="17">
        <f t="shared" si="17"/>
        <v>0</v>
      </c>
      <c r="E243" s="73">
        <f t="shared" si="18"/>
        <v>0</v>
      </c>
      <c r="F243" s="73">
        <f t="shared" si="19"/>
        <v>0</v>
      </c>
      <c r="G243" s="73">
        <f t="shared" si="20"/>
        <v>0</v>
      </c>
      <c r="H243" s="151"/>
      <c r="I243" s="73"/>
    </row>
    <row r="244" spans="2:9" x14ac:dyDescent="0.25">
      <c r="B244" s="2">
        <f t="shared" si="16"/>
        <v>228</v>
      </c>
      <c r="C244" s="17">
        <f t="shared" si="17"/>
        <v>0</v>
      </c>
      <c r="E244" s="73">
        <f t="shared" si="18"/>
        <v>0</v>
      </c>
      <c r="F244" s="73">
        <f t="shared" si="19"/>
        <v>0</v>
      </c>
      <c r="G244" s="73">
        <f t="shared" si="20"/>
        <v>0</v>
      </c>
      <c r="H244" s="151"/>
      <c r="I244" s="73"/>
    </row>
    <row r="245" spans="2:9" x14ac:dyDescent="0.25">
      <c r="B245" s="2">
        <f t="shared" si="16"/>
        <v>229</v>
      </c>
      <c r="C245" s="17">
        <f t="shared" si="17"/>
        <v>0</v>
      </c>
      <c r="E245" s="73">
        <f t="shared" si="18"/>
        <v>0</v>
      </c>
      <c r="F245" s="73">
        <f t="shared" si="19"/>
        <v>0</v>
      </c>
      <c r="G245" s="73">
        <f t="shared" si="20"/>
        <v>0</v>
      </c>
      <c r="H245" s="151"/>
      <c r="I245" s="73"/>
    </row>
    <row r="246" spans="2:9" x14ac:dyDescent="0.25">
      <c r="B246" s="2">
        <f t="shared" si="16"/>
        <v>230</v>
      </c>
      <c r="C246" s="17">
        <f t="shared" si="17"/>
        <v>0</v>
      </c>
      <c r="E246" s="73">
        <f t="shared" si="18"/>
        <v>0</v>
      </c>
      <c r="F246" s="73">
        <f t="shared" si="19"/>
        <v>0</v>
      </c>
      <c r="G246" s="73">
        <f t="shared" si="20"/>
        <v>0</v>
      </c>
      <c r="H246" s="151"/>
      <c r="I246" s="73"/>
    </row>
    <row r="247" spans="2:9" x14ac:dyDescent="0.25">
      <c r="B247" s="2">
        <f t="shared" si="16"/>
        <v>231</v>
      </c>
      <c r="C247" s="17">
        <f t="shared" si="17"/>
        <v>0</v>
      </c>
      <c r="E247" s="73">
        <f t="shared" si="18"/>
        <v>0</v>
      </c>
      <c r="F247" s="73">
        <f t="shared" si="19"/>
        <v>0</v>
      </c>
      <c r="G247" s="73">
        <f t="shared" si="20"/>
        <v>0</v>
      </c>
      <c r="H247" s="151"/>
      <c r="I247" s="73"/>
    </row>
    <row r="248" spans="2:9" x14ac:dyDescent="0.25">
      <c r="B248" s="2">
        <f t="shared" si="16"/>
        <v>232</v>
      </c>
      <c r="C248" s="17">
        <f t="shared" si="17"/>
        <v>0</v>
      </c>
      <c r="E248" s="73">
        <f t="shared" si="18"/>
        <v>0</v>
      </c>
      <c r="F248" s="73">
        <f t="shared" si="19"/>
        <v>0</v>
      </c>
      <c r="G248" s="73">
        <f t="shared" si="20"/>
        <v>0</v>
      </c>
      <c r="H248" s="151"/>
      <c r="I248" s="73"/>
    </row>
    <row r="249" spans="2:9" x14ac:dyDescent="0.25">
      <c r="B249" s="2">
        <f t="shared" si="16"/>
        <v>233</v>
      </c>
      <c r="C249" s="17">
        <f t="shared" si="17"/>
        <v>0</v>
      </c>
      <c r="E249" s="73">
        <f t="shared" si="18"/>
        <v>0</v>
      </c>
      <c r="F249" s="73">
        <f t="shared" si="19"/>
        <v>0</v>
      </c>
      <c r="G249" s="73">
        <f t="shared" si="20"/>
        <v>0</v>
      </c>
      <c r="H249" s="151"/>
      <c r="I249" s="73"/>
    </row>
    <row r="250" spans="2:9" x14ac:dyDescent="0.25">
      <c r="B250" s="2">
        <f t="shared" si="16"/>
        <v>234</v>
      </c>
      <c r="C250" s="17">
        <f t="shared" si="17"/>
        <v>0</v>
      </c>
      <c r="E250" s="73">
        <f t="shared" si="18"/>
        <v>0</v>
      </c>
      <c r="F250" s="73">
        <f t="shared" si="19"/>
        <v>0</v>
      </c>
      <c r="G250" s="73">
        <f t="shared" si="20"/>
        <v>0</v>
      </c>
      <c r="H250" s="151"/>
      <c r="I250" s="73"/>
    </row>
    <row r="251" spans="2:9" x14ac:dyDescent="0.25">
      <c r="B251" s="2">
        <f t="shared" si="16"/>
        <v>235</v>
      </c>
      <c r="C251" s="17">
        <f t="shared" si="17"/>
        <v>0</v>
      </c>
      <c r="E251" s="73">
        <f t="shared" si="18"/>
        <v>0</v>
      </c>
      <c r="F251" s="73">
        <f t="shared" si="19"/>
        <v>0</v>
      </c>
      <c r="G251" s="73">
        <f t="shared" si="20"/>
        <v>0</v>
      </c>
      <c r="H251" s="151"/>
      <c r="I251" s="73"/>
    </row>
    <row r="252" spans="2:9" x14ac:dyDescent="0.25">
      <c r="B252" s="2">
        <f t="shared" si="16"/>
        <v>236</v>
      </c>
      <c r="C252" s="17">
        <f t="shared" si="17"/>
        <v>0</v>
      </c>
      <c r="E252" s="73">
        <f t="shared" si="18"/>
        <v>0</v>
      </c>
      <c r="F252" s="73">
        <f t="shared" si="19"/>
        <v>0</v>
      </c>
      <c r="G252" s="73">
        <f t="shared" si="20"/>
        <v>0</v>
      </c>
      <c r="H252" s="151"/>
      <c r="I252" s="73"/>
    </row>
    <row r="253" spans="2:9" x14ac:dyDescent="0.25">
      <c r="B253" s="2">
        <f t="shared" si="16"/>
        <v>237</v>
      </c>
      <c r="C253" s="17">
        <f t="shared" si="17"/>
        <v>0</v>
      </c>
      <c r="E253" s="73">
        <f t="shared" si="18"/>
        <v>0</v>
      </c>
      <c r="F253" s="73">
        <f t="shared" si="19"/>
        <v>0</v>
      </c>
      <c r="G253" s="73">
        <f t="shared" si="20"/>
        <v>0</v>
      </c>
      <c r="H253" s="151"/>
      <c r="I253" s="73"/>
    </row>
    <row r="254" spans="2:9" x14ac:dyDescent="0.25">
      <c r="B254" s="2">
        <f t="shared" si="16"/>
        <v>238</v>
      </c>
      <c r="C254" s="17">
        <f t="shared" si="17"/>
        <v>0</v>
      </c>
      <c r="E254" s="73">
        <f t="shared" si="18"/>
        <v>0</v>
      </c>
      <c r="F254" s="73">
        <f t="shared" si="19"/>
        <v>0</v>
      </c>
      <c r="G254" s="73">
        <f t="shared" si="20"/>
        <v>0</v>
      </c>
      <c r="H254" s="151"/>
      <c r="I254" s="73"/>
    </row>
    <row r="255" spans="2:9" x14ac:dyDescent="0.25">
      <c r="B255" s="2">
        <f t="shared" si="16"/>
        <v>239</v>
      </c>
      <c r="C255" s="17">
        <f t="shared" si="17"/>
        <v>0</v>
      </c>
      <c r="E255" s="73">
        <f t="shared" si="18"/>
        <v>0</v>
      </c>
      <c r="F255" s="73">
        <f t="shared" si="19"/>
        <v>0</v>
      </c>
      <c r="G255" s="73">
        <f t="shared" si="20"/>
        <v>0</v>
      </c>
      <c r="H255" s="151"/>
      <c r="I255" s="73"/>
    </row>
    <row r="256" spans="2:9" x14ac:dyDescent="0.25">
      <c r="B256" s="2">
        <f t="shared" si="16"/>
        <v>240</v>
      </c>
      <c r="C256" s="17">
        <f t="shared" si="17"/>
        <v>0</v>
      </c>
      <c r="E256" s="73">
        <f t="shared" si="18"/>
        <v>0</v>
      </c>
      <c r="F256" s="73">
        <f t="shared" si="19"/>
        <v>0</v>
      </c>
      <c r="G256" s="73">
        <f t="shared" si="20"/>
        <v>0</v>
      </c>
      <c r="H256" s="151"/>
      <c r="I256" s="73"/>
    </row>
    <row r="257" spans="3:9" x14ac:dyDescent="0.25">
      <c r="E257" s="73"/>
      <c r="F257" s="73"/>
      <c r="G257" s="73"/>
      <c r="H257" s="151"/>
      <c r="I257" s="73"/>
    </row>
    <row r="258" spans="3:9" ht="16.5" thickBot="1" x14ac:dyDescent="0.3">
      <c r="C258" s="33">
        <f>SUM(C17:C257)</f>
        <v>0</v>
      </c>
      <c r="D258" s="46"/>
      <c r="E258" s="33">
        <f>SUM(E17:E257)</f>
        <v>0</v>
      </c>
      <c r="F258" s="33">
        <f>SUM(F17:F257)</f>
        <v>0</v>
      </c>
      <c r="G258" s="73"/>
      <c r="H258" s="151"/>
      <c r="I258" s="73"/>
    </row>
    <row r="259" spans="3:9" ht="16.5" thickTop="1" x14ac:dyDescent="0.25">
      <c r="E259" s="73"/>
      <c r="F259" s="73"/>
      <c r="G259" s="73"/>
      <c r="H259" s="151"/>
      <c r="I259" s="73"/>
    </row>
    <row r="260" spans="3:9" x14ac:dyDescent="0.25">
      <c r="E260" s="73"/>
      <c r="F260" s="73"/>
      <c r="G260" s="73"/>
      <c r="H260" s="151"/>
      <c r="I260" s="73"/>
    </row>
    <row r="261" spans="3:9" x14ac:dyDescent="0.25">
      <c r="E261" s="73"/>
      <c r="F261" s="73"/>
      <c r="G261" s="73"/>
      <c r="H261" s="151"/>
      <c r="I261" s="73"/>
    </row>
    <row r="262" spans="3:9" x14ac:dyDescent="0.25">
      <c r="F262" s="73"/>
      <c r="G262" s="73"/>
      <c r="H262" s="73"/>
      <c r="I262" s="73"/>
    </row>
    <row r="263" spans="3:9" x14ac:dyDescent="0.25">
      <c r="F263" s="73"/>
      <c r="G263" s="73"/>
      <c r="H263" s="73"/>
      <c r="I263" s="73"/>
    </row>
    <row r="264" spans="3:9" x14ac:dyDescent="0.25">
      <c r="F264" s="73"/>
      <c r="G264" s="73"/>
      <c r="H264" s="73"/>
      <c r="I264" s="73"/>
    </row>
    <row r="265" spans="3:9" x14ac:dyDescent="0.25">
      <c r="F265" s="73"/>
      <c r="G265" s="73"/>
      <c r="H265" s="73"/>
      <c r="I265" s="73"/>
    </row>
    <row r="266" spans="3:9" x14ac:dyDescent="0.25">
      <c r="F266" s="73"/>
      <c r="G266" s="73"/>
      <c r="H266" s="73"/>
      <c r="I266" s="73"/>
    </row>
    <row r="267" spans="3:9" x14ac:dyDescent="0.25">
      <c r="F267" s="73"/>
      <c r="G267" s="73"/>
      <c r="H267" s="73"/>
      <c r="I267" s="73"/>
    </row>
    <row r="268" spans="3:9" x14ac:dyDescent="0.25">
      <c r="F268" s="73"/>
      <c r="G268" s="73"/>
      <c r="H268" s="73"/>
      <c r="I268" s="73"/>
    </row>
    <row r="269" spans="3:9" x14ac:dyDescent="0.25">
      <c r="F269" s="73"/>
      <c r="G269" s="73"/>
      <c r="H269" s="73"/>
      <c r="I269" s="73"/>
    </row>
    <row r="270" spans="3:9" x14ac:dyDescent="0.25">
      <c r="F270" s="73"/>
      <c r="G270" s="73"/>
      <c r="H270" s="73"/>
      <c r="I270" s="73"/>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32"/>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1"/>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214" customWidth="1"/>
    <col min="10" max="10" width="3.85546875" style="85" customWidth="1"/>
    <col min="11" max="11" width="16.140625" bestFit="1" customWidth="1"/>
    <col min="12" max="12" width="4.140625" customWidth="1"/>
    <col min="13" max="13" width="8.85546875" customWidth="1"/>
    <col min="14" max="14" width="15.28515625" style="51" bestFit="1" customWidth="1"/>
    <col min="15" max="15" width="14.28515625" bestFit="1" customWidth="1"/>
    <col min="16" max="17" width="13.140625" bestFit="1" customWidth="1"/>
    <col min="18" max="18" width="13.85546875" bestFit="1" customWidth="1"/>
  </cols>
  <sheetData>
    <row r="1" spans="1:18" x14ac:dyDescent="0.2">
      <c r="A1" s="413"/>
      <c r="B1" s="414"/>
      <c r="C1" s="444" t="str">
        <f>Criteria!E14</f>
        <v>SEAFRONT RESTAURANT</v>
      </c>
      <c r="D1" s="440"/>
      <c r="E1" s="440"/>
      <c r="F1" s="415"/>
      <c r="G1" s="416" t="s">
        <v>202</v>
      </c>
      <c r="H1" s="416"/>
      <c r="I1" s="417">
        <f>Criteria!E22</f>
        <v>2024</v>
      </c>
      <c r="J1" s="417"/>
      <c r="K1" s="417">
        <f>Criteria!E27</f>
        <v>2023</v>
      </c>
      <c r="L1" s="414"/>
      <c r="M1" s="414"/>
      <c r="N1" s="400" t="s">
        <v>415</v>
      </c>
      <c r="O1" s="71"/>
      <c r="P1" s="71"/>
    </row>
    <row r="2" spans="1:18" x14ac:dyDescent="0.2">
      <c r="A2" s="418" t="s">
        <v>1437</v>
      </c>
      <c r="B2" s="414"/>
      <c r="C2" s="414"/>
      <c r="D2" s="715">
        <f>D403-E403</f>
        <v>0</v>
      </c>
      <c r="E2" s="715"/>
      <c r="F2" s="420" t="s">
        <v>521</v>
      </c>
      <c r="G2" s="415">
        <f>G403</f>
        <v>0</v>
      </c>
      <c r="H2" s="415">
        <f>D2-E2</f>
        <v>0</v>
      </c>
      <c r="I2" s="422">
        <f>I403</f>
        <v>0</v>
      </c>
      <c r="J2" s="423"/>
      <c r="K2" s="424">
        <f>K403</f>
        <v>0</v>
      </c>
      <c r="L2" s="414"/>
      <c r="M2" s="414"/>
      <c r="N2" s="424">
        <f>SUM(I5:I164)</f>
        <v>0</v>
      </c>
      <c r="O2" s="72"/>
      <c r="P2" s="72"/>
    </row>
    <row r="3" spans="1:18" x14ac:dyDescent="0.2">
      <c r="A3" s="418" t="s">
        <v>727</v>
      </c>
      <c r="B3" s="445" t="s">
        <v>283</v>
      </c>
      <c r="C3" s="425" t="s">
        <v>284</v>
      </c>
      <c r="D3" s="418" t="s">
        <v>285</v>
      </c>
      <c r="E3" s="418" t="s">
        <v>286</v>
      </c>
      <c r="F3" s="426" t="s">
        <v>166</v>
      </c>
      <c r="G3" s="413"/>
      <c r="H3" s="413"/>
      <c r="I3" s="407"/>
      <c r="J3" s="428"/>
      <c r="K3" s="414"/>
      <c r="L3" s="414"/>
      <c r="M3" s="414"/>
      <c r="N3" s="396"/>
    </row>
    <row r="4" spans="1:18" x14ac:dyDescent="0.2">
      <c r="A4" s="166"/>
      <c r="B4" s="114" t="s">
        <v>287</v>
      </c>
      <c r="C4" s="397" t="s">
        <v>137</v>
      </c>
      <c r="D4" s="92"/>
      <c r="E4" s="60"/>
      <c r="F4" s="60"/>
      <c r="G4" s="47"/>
      <c r="H4" s="47"/>
      <c r="I4" s="212"/>
      <c r="J4" s="68"/>
      <c r="K4" s="55" t="s">
        <v>284</v>
      </c>
      <c r="N4" s="52"/>
    </row>
    <row r="5" spans="1:18" x14ac:dyDescent="0.2">
      <c r="A5" s="394"/>
      <c r="B5" s="13" t="s">
        <v>288</v>
      </c>
      <c r="C5" s="398" t="s">
        <v>1308</v>
      </c>
      <c r="D5" s="435"/>
      <c r="E5" s="435"/>
      <c r="F5" s="88"/>
      <c r="G5" s="56">
        <f>SUMIF(JournalsA!D$14:D$920,TrialBalanceA!M5,JournalsA!J$14:J$920)+SUMIF(JournalsA!E$14:E$920,TrialBalanceA!M5,JournalsA!J$14:J$920)</f>
        <v>0</v>
      </c>
      <c r="H5" s="443"/>
      <c r="I5" s="411">
        <f t="shared" ref="I5:I41" si="0">ROUND(D5-E5+G5+F5,0)</f>
        <v>0</v>
      </c>
      <c r="J5" s="84"/>
      <c r="K5" s="57">
        <f t="shared" ref="K5:K72" si="1">ROUND(SUM(A5),0)</f>
        <v>0</v>
      </c>
      <c r="M5" s="197" t="str">
        <f t="shared" ref="M5:M72" si="2">CONCATENATE(B5,C5)</f>
        <v>1000/001Sale of goods</v>
      </c>
      <c r="N5" s="79"/>
      <c r="P5" s="80"/>
      <c r="Q5" s="60"/>
      <c r="R5" s="34"/>
    </row>
    <row r="6" spans="1:18" x14ac:dyDescent="0.2">
      <c r="A6" s="394"/>
      <c r="B6" s="114" t="s">
        <v>289</v>
      </c>
      <c r="C6" s="398" t="s">
        <v>1309</v>
      </c>
      <c r="D6" s="435"/>
      <c r="E6" s="435"/>
      <c r="F6" s="88"/>
      <c r="G6" s="56">
        <f>SUMIF(JournalsA!D$14:D$920,TrialBalanceA!M6,JournalsA!J$14:J$920)+SUMIF(JournalsA!E$14:E$920,TrialBalanceA!M6,JournalsA!J$14:J$920)</f>
        <v>0</v>
      </c>
      <c r="H6" s="443"/>
      <c r="I6" s="411">
        <f t="shared" ref="I6:I9" si="3">ROUND(D6-E6+G6+F6,0)</f>
        <v>0</v>
      </c>
      <c r="J6" s="84"/>
      <c r="K6" s="57">
        <f t="shared" ref="K6:K9" si="4">ROUND(SUM(A6),0)</f>
        <v>0</v>
      </c>
      <c r="M6" s="197" t="str">
        <f t="shared" ref="M6:M9" si="5">CONCATENATE(B6,C6)</f>
        <v>1000/002Rendering of services</v>
      </c>
      <c r="N6" s="79"/>
      <c r="P6" s="80"/>
      <c r="Q6" s="60"/>
      <c r="R6" s="34"/>
    </row>
    <row r="7" spans="1:18" x14ac:dyDescent="0.2">
      <c r="A7" s="394"/>
      <c r="B7" s="114" t="s">
        <v>290</v>
      </c>
      <c r="C7" s="398" t="s">
        <v>1310</v>
      </c>
      <c r="D7" s="435"/>
      <c r="E7" s="435"/>
      <c r="F7" s="88"/>
      <c r="G7" s="56">
        <f>SUMIF(JournalsA!D$14:D$920,TrialBalanceA!M7,JournalsA!J$14:J$920)+SUMIF(JournalsA!E$14:E$920,TrialBalanceA!M7,JournalsA!J$14:J$920)</f>
        <v>0</v>
      </c>
      <c r="H7" s="443"/>
      <c r="I7" s="411">
        <f t="shared" si="3"/>
        <v>0</v>
      </c>
      <c r="J7" s="84"/>
      <c r="K7" s="57">
        <f t="shared" si="4"/>
        <v>0</v>
      </c>
      <c r="M7" s="197" t="str">
        <f t="shared" si="5"/>
        <v>1000/003Commissions received</v>
      </c>
      <c r="N7" s="79"/>
      <c r="P7" s="80"/>
      <c r="Q7" s="60"/>
      <c r="R7" s="34"/>
    </row>
    <row r="8" spans="1:18" x14ac:dyDescent="0.2">
      <c r="A8" s="394"/>
      <c r="B8" s="114" t="s">
        <v>1311</v>
      </c>
      <c r="C8" s="430">
        <f>TrialBalance!C8</f>
        <v>0</v>
      </c>
      <c r="D8" s="435"/>
      <c r="E8" s="435"/>
      <c r="F8" s="88"/>
      <c r="G8" s="56">
        <f>SUMIF(JournalsA!D$14:D$920,TrialBalanceA!M8,JournalsA!J$14:J$920)+SUMIF(JournalsA!E$14:E$920,TrialBalanceA!M8,JournalsA!J$14:J$920)</f>
        <v>0</v>
      </c>
      <c r="H8" s="443"/>
      <c r="I8" s="411">
        <f t="shared" si="3"/>
        <v>0</v>
      </c>
      <c r="J8" s="84"/>
      <c r="K8" s="57">
        <f t="shared" si="4"/>
        <v>0</v>
      </c>
      <c r="M8" s="197" t="str">
        <f t="shared" si="5"/>
        <v>1000/0040</v>
      </c>
      <c r="N8" s="79"/>
      <c r="P8" s="80"/>
      <c r="Q8" s="60"/>
      <c r="R8" s="34"/>
    </row>
    <row r="9" spans="1:18" x14ac:dyDescent="0.2">
      <c r="A9" s="394"/>
      <c r="B9" s="114" t="s">
        <v>1312</v>
      </c>
      <c r="C9" s="430">
        <f>TrialBalance!C9</f>
        <v>0</v>
      </c>
      <c r="D9" s="435"/>
      <c r="E9" s="435"/>
      <c r="F9" s="88"/>
      <c r="G9" s="56">
        <f>SUMIF(JournalsA!D$14:D$920,TrialBalanceA!M9,JournalsA!J$14:J$920)+SUMIF(JournalsA!E$14:E$920,TrialBalanceA!M9,JournalsA!J$14:J$920)</f>
        <v>0</v>
      </c>
      <c r="H9" s="443"/>
      <c r="I9" s="411">
        <f t="shared" si="3"/>
        <v>0</v>
      </c>
      <c r="J9" s="84"/>
      <c r="K9" s="57">
        <f t="shared" si="4"/>
        <v>0</v>
      </c>
      <c r="M9" s="197" t="str">
        <f t="shared" si="5"/>
        <v>1000/0050</v>
      </c>
      <c r="N9" s="79"/>
      <c r="P9" s="80"/>
      <c r="Q9" s="60"/>
      <c r="R9" s="34"/>
    </row>
    <row r="10" spans="1:18" x14ac:dyDescent="0.2">
      <c r="A10" s="394"/>
      <c r="B10" s="114" t="s">
        <v>1313</v>
      </c>
      <c r="C10" s="430">
        <f>TrialBalance!C10</f>
        <v>0</v>
      </c>
      <c r="D10" s="436"/>
      <c r="E10" s="435"/>
      <c r="F10" s="88"/>
      <c r="G10" s="56">
        <f>SUMIF(JournalsA!D$14:D$920,TrialBalanceA!M10,JournalsA!J$14:J$920)+SUMIF(JournalsA!E$14:E$920,TrialBalanceA!M10,JournalsA!J$14:J$920)</f>
        <v>0</v>
      </c>
      <c r="H10" s="443"/>
      <c r="I10" s="411">
        <f t="shared" si="0"/>
        <v>0</v>
      </c>
      <c r="J10" s="84"/>
      <c r="K10" s="57">
        <f t="shared" si="1"/>
        <v>0</v>
      </c>
      <c r="M10" s="197" t="str">
        <f t="shared" si="2"/>
        <v>1000/0060</v>
      </c>
      <c r="N10" s="79"/>
      <c r="P10" s="80"/>
      <c r="Q10" s="60"/>
      <c r="R10" s="34"/>
    </row>
    <row r="11" spans="1:18" x14ac:dyDescent="0.2">
      <c r="A11" s="394"/>
      <c r="B11" s="114" t="s">
        <v>1314</v>
      </c>
      <c r="C11" s="396" t="s">
        <v>433</v>
      </c>
      <c r="D11" s="428"/>
      <c r="E11" s="435"/>
      <c r="F11" s="88"/>
      <c r="G11" s="56">
        <f>SUMIF(JournalsA!D$14:D$920,TrialBalanceA!M11,JournalsA!J$14:J$920)+SUMIF(JournalsA!E$14:E$920,TrialBalanceA!M11,JournalsA!J$14:J$920)</f>
        <v>0</v>
      </c>
      <c r="H11" s="443"/>
      <c r="I11" s="411">
        <f t="shared" si="0"/>
        <v>0</v>
      </c>
      <c r="J11" s="84"/>
      <c r="K11" s="57">
        <f t="shared" si="1"/>
        <v>0</v>
      </c>
      <c r="M11" s="197" t="str">
        <f t="shared" si="2"/>
        <v>1000/007Rent received</v>
      </c>
      <c r="N11" s="79"/>
      <c r="P11" s="80"/>
      <c r="Q11" s="60"/>
      <c r="R11" s="34"/>
    </row>
    <row r="12" spans="1:18" x14ac:dyDescent="0.2">
      <c r="A12" s="394"/>
      <c r="B12" s="63" t="s">
        <v>291</v>
      </c>
      <c r="C12" s="397" t="s">
        <v>138</v>
      </c>
      <c r="D12" s="437"/>
      <c r="E12" s="435"/>
      <c r="F12" s="88"/>
      <c r="G12" s="56">
        <f>SUMIF(JournalsA!D$14:D$920,TrialBalanceA!M12,JournalsA!J$14:J$920)+SUMIF(JournalsA!E$14:E$920,TrialBalanceA!M12,JournalsA!J$14:J$920)</f>
        <v>0</v>
      </c>
      <c r="H12" s="443"/>
      <c r="I12" s="411">
        <f t="shared" si="0"/>
        <v>0</v>
      </c>
      <c r="J12" s="84"/>
      <c r="K12" s="57">
        <f t="shared" si="1"/>
        <v>0</v>
      </c>
      <c r="M12" s="197" t="str">
        <f t="shared" si="2"/>
        <v>2000/000COST OF SALES</v>
      </c>
      <c r="N12" s="79"/>
      <c r="P12" s="80"/>
      <c r="Q12" s="60"/>
      <c r="R12" s="34"/>
    </row>
    <row r="13" spans="1:18" x14ac:dyDescent="0.2">
      <c r="A13" s="394"/>
      <c r="B13" s="63" t="s">
        <v>292</v>
      </c>
      <c r="C13" s="398" t="s">
        <v>773</v>
      </c>
      <c r="D13" s="438"/>
      <c r="E13" s="435"/>
      <c r="F13" s="88"/>
      <c r="G13" s="56">
        <f>SUMIF(JournalsA!D$14:D$920,TrialBalanceA!M13,JournalsA!J$14:J$920)+SUMIF(JournalsA!E$14:E$920,TrialBalanceA!M13,JournalsA!J$14:J$920)</f>
        <v>0</v>
      </c>
      <c r="H13" s="443"/>
      <c r="I13" s="411">
        <f t="shared" si="0"/>
        <v>0</v>
      </c>
      <c r="J13" s="84"/>
      <c r="K13" s="57">
        <f t="shared" si="1"/>
        <v>0</v>
      </c>
      <c r="M13" s="197" t="str">
        <f t="shared" si="2"/>
        <v>2000/001Opening stock - Raw materials</v>
      </c>
      <c r="N13" s="79"/>
      <c r="P13" s="80"/>
      <c r="Q13" s="60"/>
      <c r="R13" s="34"/>
    </row>
    <row r="14" spans="1:18" x14ac:dyDescent="0.2">
      <c r="A14" s="394"/>
      <c r="B14" s="63" t="s">
        <v>462</v>
      </c>
      <c r="C14" s="395" t="s">
        <v>463</v>
      </c>
      <c r="D14" s="436"/>
      <c r="E14" s="435"/>
      <c r="F14" s="88"/>
      <c r="G14" s="56">
        <f>SUMIF(JournalsA!D$14:D$920,TrialBalanceA!M14,JournalsA!J$14:J$920)+SUMIF(JournalsA!E$14:E$920,TrialBalanceA!M14,JournalsA!J$14:J$920)</f>
        <v>0</v>
      </c>
      <c r="H14" s="443"/>
      <c r="I14" s="411">
        <f t="shared" si="0"/>
        <v>0</v>
      </c>
      <c r="J14" s="84"/>
      <c r="K14" s="57">
        <f t="shared" si="1"/>
        <v>0</v>
      </c>
      <c r="M14" s="197" t="str">
        <f t="shared" si="2"/>
        <v>2000/002Opening stock - WIP</v>
      </c>
      <c r="N14" s="79"/>
      <c r="P14" s="80"/>
      <c r="Q14" s="60"/>
      <c r="R14" s="34"/>
    </row>
    <row r="15" spans="1:18" x14ac:dyDescent="0.2">
      <c r="A15" s="394"/>
      <c r="B15" s="63" t="s">
        <v>464</v>
      </c>
      <c r="C15" s="395" t="s">
        <v>465</v>
      </c>
      <c r="D15" s="436"/>
      <c r="E15" s="435"/>
      <c r="F15" s="88"/>
      <c r="G15" s="56">
        <f>SUMIF(JournalsA!D$14:D$920,TrialBalanceA!M15,JournalsA!J$14:J$920)+SUMIF(JournalsA!E$14:E$920,TrialBalanceA!M15,JournalsA!J$14:J$920)</f>
        <v>0</v>
      </c>
      <c r="H15" s="443"/>
      <c r="I15" s="411">
        <f t="shared" si="0"/>
        <v>0</v>
      </c>
      <c r="J15" s="84"/>
      <c r="K15" s="57">
        <f t="shared" si="1"/>
        <v>0</v>
      </c>
      <c r="M15" s="197" t="str">
        <f t="shared" si="2"/>
        <v>2000/003Opening stock - Finished goods</v>
      </c>
      <c r="N15" s="79"/>
      <c r="P15" s="80"/>
      <c r="Q15" s="60"/>
      <c r="R15" s="34"/>
    </row>
    <row r="16" spans="1:18" x14ac:dyDescent="0.2">
      <c r="A16" s="394"/>
      <c r="B16" s="63" t="s">
        <v>466</v>
      </c>
      <c r="C16" s="395" t="s">
        <v>467</v>
      </c>
      <c r="D16" s="436"/>
      <c r="E16" s="435"/>
      <c r="F16" s="88"/>
      <c r="G16" s="56">
        <f>SUMIF(JournalsA!D$14:D$920,TrialBalanceA!M16,JournalsA!J$14:J$920)+SUMIF(JournalsA!E$14:E$920,TrialBalanceA!M16,JournalsA!J$14:J$920)</f>
        <v>0</v>
      </c>
      <c r="H16" s="443"/>
      <c r="I16" s="411">
        <f t="shared" si="0"/>
        <v>0</v>
      </c>
      <c r="J16" s="84"/>
      <c r="K16" s="57">
        <f t="shared" si="1"/>
        <v>0</v>
      </c>
      <c r="M16" s="197" t="str">
        <f t="shared" si="2"/>
        <v>2000/004Opening stock - Trading stock</v>
      </c>
      <c r="N16" s="79"/>
      <c r="P16" s="80"/>
      <c r="Q16" s="60"/>
      <c r="R16" s="34"/>
    </row>
    <row r="17" spans="1:18" x14ac:dyDescent="0.2">
      <c r="A17" s="394"/>
      <c r="B17" s="13" t="s">
        <v>468</v>
      </c>
      <c r="C17" s="395" t="s">
        <v>334</v>
      </c>
      <c r="D17" s="436"/>
      <c r="E17" s="435"/>
      <c r="F17" s="88"/>
      <c r="G17" s="56">
        <f>SUMIF(JournalsA!D$14:D$920,TrialBalanceA!M17,JournalsA!J$14:J$920)+SUMIF(JournalsA!E$14:E$920,TrialBalanceA!M17,JournalsA!J$14:J$920)</f>
        <v>0</v>
      </c>
      <c r="H17" s="443"/>
      <c r="I17" s="411">
        <f t="shared" si="0"/>
        <v>0</v>
      </c>
      <c r="J17" s="84"/>
      <c r="K17" s="57">
        <f t="shared" si="1"/>
        <v>0</v>
      </c>
      <c r="M17" s="197" t="str">
        <f t="shared" si="2"/>
        <v>2000/010Purchases</v>
      </c>
      <c r="N17" s="79"/>
      <c r="P17" s="80"/>
      <c r="Q17" s="60"/>
      <c r="R17" s="34"/>
    </row>
    <row r="18" spans="1:18" x14ac:dyDescent="0.2">
      <c r="A18" s="394"/>
      <c r="B18" s="13" t="s">
        <v>469</v>
      </c>
      <c r="C18" s="430"/>
      <c r="D18" s="428"/>
      <c r="E18" s="435"/>
      <c r="F18" s="88"/>
      <c r="G18" s="56">
        <f>SUMIF(JournalsA!D$14:D$920,TrialBalanceA!M18,JournalsA!J$14:J$920)+SUMIF(JournalsA!E$14:E$920,TrialBalanceA!M18,JournalsA!J$14:J$920)</f>
        <v>0</v>
      </c>
      <c r="H18" s="443"/>
      <c r="I18" s="411">
        <f t="shared" si="0"/>
        <v>0</v>
      </c>
      <c r="J18" s="84"/>
      <c r="K18" s="57">
        <f t="shared" si="1"/>
        <v>0</v>
      </c>
      <c r="M18" s="197" t="str">
        <f t="shared" si="2"/>
        <v>2000/011</v>
      </c>
      <c r="N18" s="79"/>
      <c r="O18" s="34"/>
      <c r="P18" s="80"/>
      <c r="Q18" s="60"/>
      <c r="R18" s="34"/>
    </row>
    <row r="19" spans="1:18" x14ac:dyDescent="0.2">
      <c r="A19" s="394"/>
      <c r="B19" s="63" t="s">
        <v>470</v>
      </c>
      <c r="C19" s="430"/>
      <c r="D19" s="428"/>
      <c r="E19" s="435"/>
      <c r="F19" s="88"/>
      <c r="G19" s="56">
        <f>SUMIF(JournalsA!D$14:D$920,TrialBalanceA!M19,JournalsA!J$14:J$920)+SUMIF(JournalsA!E$14:E$920,TrialBalanceA!M19,JournalsA!J$14:J$920)</f>
        <v>0</v>
      </c>
      <c r="H19" s="443"/>
      <c r="I19" s="411">
        <f t="shared" si="0"/>
        <v>0</v>
      </c>
      <c r="J19" s="84"/>
      <c r="K19" s="57">
        <f t="shared" si="1"/>
        <v>0</v>
      </c>
      <c r="M19" s="197" t="str">
        <f t="shared" si="2"/>
        <v>2000/012</v>
      </c>
      <c r="N19" s="79"/>
      <c r="P19" s="80"/>
      <c r="Q19" s="60"/>
      <c r="R19" s="34"/>
    </row>
    <row r="20" spans="1:18" x14ac:dyDescent="0.2">
      <c r="A20" s="394"/>
      <c r="B20" s="63" t="s">
        <v>471</v>
      </c>
      <c r="C20" s="431"/>
      <c r="D20" s="428"/>
      <c r="E20" s="435"/>
      <c r="F20" s="88"/>
      <c r="G20" s="56">
        <f>SUMIF(JournalsA!D$14:D$920,TrialBalanceA!M20,JournalsA!J$14:J$920)+SUMIF(JournalsA!E$14:E$920,TrialBalanceA!M20,JournalsA!J$14:J$920)</f>
        <v>0</v>
      </c>
      <c r="H20" s="443"/>
      <c r="I20" s="411">
        <f t="shared" si="0"/>
        <v>0</v>
      </c>
      <c r="J20" s="84"/>
      <c r="K20" s="57">
        <f t="shared" si="1"/>
        <v>0</v>
      </c>
      <c r="M20" s="197" t="str">
        <f t="shared" si="2"/>
        <v>2000/013</v>
      </c>
      <c r="N20" s="79"/>
      <c r="P20" s="80"/>
      <c r="Q20" s="60"/>
      <c r="R20" s="34"/>
    </row>
    <row r="21" spans="1:18" x14ac:dyDescent="0.2">
      <c r="A21" s="394"/>
      <c r="B21" s="63" t="s">
        <v>472</v>
      </c>
      <c r="C21" s="431"/>
      <c r="D21" s="428"/>
      <c r="E21" s="435"/>
      <c r="F21" s="88"/>
      <c r="G21" s="56">
        <f>SUMIF(JournalsA!D$14:D$920,TrialBalanceA!M21,JournalsA!J$14:J$920)+SUMIF(JournalsA!E$14:E$920,TrialBalanceA!M21,JournalsA!J$14:J$920)</f>
        <v>0</v>
      </c>
      <c r="H21" s="443"/>
      <c r="I21" s="411">
        <f t="shared" si="0"/>
        <v>0</v>
      </c>
      <c r="J21" s="84"/>
      <c r="K21" s="57">
        <f t="shared" si="1"/>
        <v>0</v>
      </c>
      <c r="M21" s="197" t="str">
        <f t="shared" si="2"/>
        <v>2000/014</v>
      </c>
      <c r="N21" s="79"/>
      <c r="P21" s="80"/>
      <c r="Q21" s="60"/>
      <c r="R21" s="34"/>
    </row>
    <row r="22" spans="1:18" x14ac:dyDescent="0.2">
      <c r="A22" s="394"/>
      <c r="B22" s="63" t="s">
        <v>473</v>
      </c>
      <c r="C22" s="431"/>
      <c r="D22" s="428"/>
      <c r="E22" s="435"/>
      <c r="F22" s="88"/>
      <c r="G22" s="56">
        <f>SUMIF(JournalsA!D$14:D$920,TrialBalanceA!M22,JournalsA!J$14:J$920)+SUMIF(JournalsA!E$14:E$920,TrialBalanceA!M22,JournalsA!J$14:J$920)</f>
        <v>0</v>
      </c>
      <c r="H22" s="443"/>
      <c r="I22" s="411">
        <f t="shared" si="0"/>
        <v>0</v>
      </c>
      <c r="J22" s="84"/>
      <c r="K22" s="57">
        <f t="shared" si="1"/>
        <v>0</v>
      </c>
      <c r="M22" s="197" t="str">
        <f t="shared" si="2"/>
        <v>2000/015</v>
      </c>
      <c r="N22" s="79"/>
      <c r="P22" s="80"/>
      <c r="Q22" s="60"/>
      <c r="R22" s="34"/>
    </row>
    <row r="23" spans="1:18" x14ac:dyDescent="0.2">
      <c r="A23" s="394"/>
      <c r="B23" s="63" t="s">
        <v>474</v>
      </c>
      <c r="C23" s="395" t="s">
        <v>475</v>
      </c>
      <c r="D23" s="436"/>
      <c r="E23" s="435"/>
      <c r="F23" s="88"/>
      <c r="G23" s="56">
        <f>SUMIF(JournalsA!D$14:D$920,TrialBalanceA!M23,JournalsA!J$14:J$920)+SUMIF(JournalsA!E$14:E$920,TrialBalanceA!M23,JournalsA!J$14:J$920)</f>
        <v>0</v>
      </c>
      <c r="H23" s="443"/>
      <c r="I23" s="411">
        <f t="shared" si="0"/>
        <v>0</v>
      </c>
      <c r="J23" s="84"/>
      <c r="K23" s="57">
        <f t="shared" si="1"/>
        <v>0</v>
      </c>
      <c r="M23" s="197" t="str">
        <f t="shared" si="2"/>
        <v>2000/050Closing stock - Raw materials</v>
      </c>
      <c r="N23" s="79"/>
      <c r="P23" s="80"/>
      <c r="Q23" s="60"/>
      <c r="R23" s="34"/>
    </row>
    <row r="24" spans="1:18" x14ac:dyDescent="0.2">
      <c r="A24" s="394"/>
      <c r="B24" s="63" t="s">
        <v>476</v>
      </c>
      <c r="C24" s="395" t="s">
        <v>477</v>
      </c>
      <c r="D24" s="436"/>
      <c r="E24" s="435"/>
      <c r="F24" s="88"/>
      <c r="G24" s="56">
        <f>SUMIF(JournalsA!D$14:D$920,TrialBalanceA!M24,JournalsA!J$14:J$920)+SUMIF(JournalsA!E$14:E$920,TrialBalanceA!M24,JournalsA!J$14:J$920)</f>
        <v>0</v>
      </c>
      <c r="H24" s="443"/>
      <c r="I24" s="411">
        <f t="shared" si="0"/>
        <v>0</v>
      </c>
      <c r="J24" s="84"/>
      <c r="K24" s="57">
        <f t="shared" si="1"/>
        <v>0</v>
      </c>
      <c r="M24" s="197" t="str">
        <f t="shared" si="2"/>
        <v>2000/051Closing stock - WIP</v>
      </c>
      <c r="N24" s="79"/>
      <c r="P24" s="80"/>
      <c r="Q24" s="60"/>
      <c r="R24" s="34"/>
    </row>
    <row r="25" spans="1:18" x14ac:dyDescent="0.2">
      <c r="A25" s="394"/>
      <c r="B25" s="63" t="s">
        <v>478</v>
      </c>
      <c r="C25" s="395" t="s">
        <v>479</v>
      </c>
      <c r="D25" s="436"/>
      <c r="E25" s="435"/>
      <c r="F25" s="88"/>
      <c r="G25" s="56">
        <f>SUMIF(JournalsA!D$14:D$920,TrialBalanceA!M25,JournalsA!J$14:J$920)+SUMIF(JournalsA!E$14:E$920,TrialBalanceA!M25,JournalsA!J$14:J$920)</f>
        <v>0</v>
      </c>
      <c r="H25" s="443"/>
      <c r="I25" s="411">
        <f t="shared" si="0"/>
        <v>0</v>
      </c>
      <c r="J25" s="84"/>
      <c r="K25" s="57">
        <f t="shared" si="1"/>
        <v>0</v>
      </c>
      <c r="M25" s="197" t="str">
        <f t="shared" si="2"/>
        <v>2000/052Closing stock - Finished goods</v>
      </c>
      <c r="N25" s="79"/>
      <c r="P25" s="80"/>
      <c r="Q25" s="60"/>
      <c r="R25" s="34"/>
    </row>
    <row r="26" spans="1:18" x14ac:dyDescent="0.2">
      <c r="A26" s="394"/>
      <c r="B26" s="63" t="s">
        <v>480</v>
      </c>
      <c r="C26" s="395" t="s">
        <v>481</v>
      </c>
      <c r="D26" s="436"/>
      <c r="E26" s="435"/>
      <c r="F26" s="88"/>
      <c r="G26" s="56">
        <f>SUMIF(JournalsA!D$14:D$920,TrialBalanceA!M26,JournalsA!J$14:J$920)+SUMIF(JournalsA!E$14:E$920,TrialBalanceA!M26,JournalsA!J$14:J$920)</f>
        <v>0</v>
      </c>
      <c r="H26" s="443"/>
      <c r="I26" s="411">
        <f t="shared" si="0"/>
        <v>0</v>
      </c>
      <c r="J26" s="84"/>
      <c r="K26" s="57">
        <f t="shared" si="1"/>
        <v>0</v>
      </c>
      <c r="M26" s="197" t="str">
        <f t="shared" si="2"/>
        <v>2000/053Closing stock - Trading stock</v>
      </c>
      <c r="N26" s="79"/>
      <c r="P26" s="80"/>
      <c r="Q26" s="60"/>
      <c r="R26" s="34"/>
    </row>
    <row r="27" spans="1:18" x14ac:dyDescent="0.2">
      <c r="A27" s="394"/>
      <c r="B27" s="65" t="s">
        <v>386</v>
      </c>
      <c r="C27" s="400" t="s">
        <v>385</v>
      </c>
      <c r="D27" s="426"/>
      <c r="E27" s="435"/>
      <c r="F27" s="88"/>
      <c r="G27" s="56">
        <f>SUMIF(JournalsA!D$14:D$920,TrialBalanceA!M27,JournalsA!J$14:J$920)+SUMIF(JournalsA!E$14:E$920,TrialBalanceA!M27,JournalsA!J$14:J$920)</f>
        <v>0</v>
      </c>
      <c r="H27" s="443"/>
      <c r="I27" s="411">
        <f t="shared" si="0"/>
        <v>0</v>
      </c>
      <c r="J27" s="84"/>
      <c r="K27" s="57">
        <f t="shared" si="1"/>
        <v>0</v>
      </c>
      <c r="M27" s="197" t="str">
        <f t="shared" si="2"/>
        <v>2050/000OTHER OPERATING INCOME</v>
      </c>
      <c r="N27" s="79"/>
      <c r="P27" s="80"/>
      <c r="Q27" s="60"/>
      <c r="R27" s="34"/>
    </row>
    <row r="28" spans="1:18" x14ac:dyDescent="0.2">
      <c r="A28" s="394"/>
      <c r="B28" s="65" t="s">
        <v>387</v>
      </c>
      <c r="C28" s="396" t="str">
        <f>CONCATENATE("Insurance claims - ",Criteria!H14)</f>
        <v>Insurance claims - Seafront Restaurant</v>
      </c>
      <c r="D28" s="435"/>
      <c r="E28" s="435"/>
      <c r="F28" s="88"/>
      <c r="G28" s="56">
        <f>SUMIF(JournalsA!D$14:D$920,TrialBalanceA!M28,JournalsA!J$14:J$920)+SUMIF(JournalsA!E$14:E$920,TrialBalanceA!M28,JournalsA!J$14:J$920)</f>
        <v>0</v>
      </c>
      <c r="H28" s="443"/>
      <c r="I28" s="411">
        <f t="shared" si="0"/>
        <v>0</v>
      </c>
      <c r="J28" s="84"/>
      <c r="K28" s="57">
        <f t="shared" si="1"/>
        <v>0</v>
      </c>
      <c r="M28" s="197" t="str">
        <f t="shared" si="2"/>
        <v>2050/001Insurance claims - Seafront Restaurant</v>
      </c>
      <c r="N28" s="79"/>
      <c r="P28" s="80"/>
      <c r="Q28" s="60"/>
      <c r="R28" s="34"/>
    </row>
    <row r="29" spans="1:18" x14ac:dyDescent="0.2">
      <c r="A29" s="394"/>
      <c r="B29" s="65" t="s">
        <v>388</v>
      </c>
      <c r="C29" s="396" t="s">
        <v>1079</v>
      </c>
      <c r="D29" s="435"/>
      <c r="E29" s="435"/>
      <c r="F29" s="88"/>
      <c r="G29" s="56">
        <f>SUMIF(JournalsA!D$14:D$920,TrialBalanceA!M29,JournalsA!J$14:J$920)+SUMIF(JournalsA!E$14:E$920,TrialBalanceA!M29,JournalsA!J$14:J$920)</f>
        <v>0</v>
      </c>
      <c r="H29" s="443"/>
      <c r="I29" s="411">
        <f t="shared" si="0"/>
        <v>0</v>
      </c>
      <c r="J29" s="84"/>
      <c r="K29" s="57">
        <f t="shared" si="1"/>
        <v>0</v>
      </c>
      <c r="M29" s="197" t="str">
        <f t="shared" si="2"/>
        <v>2050/002Government grants received</v>
      </c>
      <c r="N29" s="79"/>
      <c r="P29" s="80"/>
      <c r="Q29" s="60"/>
      <c r="R29" s="34"/>
    </row>
    <row r="30" spans="1:18" x14ac:dyDescent="0.2">
      <c r="A30" s="394"/>
      <c r="B30" s="65" t="s">
        <v>389</v>
      </c>
      <c r="C30" s="431"/>
      <c r="D30" s="428"/>
      <c r="E30" s="435"/>
      <c r="F30" s="88"/>
      <c r="G30" s="56">
        <f>SUMIF(JournalsA!D$14:D$920,TrialBalanceA!M30,JournalsA!J$14:J$920)+SUMIF(JournalsA!E$14:E$920,TrialBalanceA!M30,JournalsA!J$14:J$920)</f>
        <v>0</v>
      </c>
      <c r="H30" s="443"/>
      <c r="I30" s="411">
        <f t="shared" si="0"/>
        <v>0</v>
      </c>
      <c r="J30" s="84"/>
      <c r="K30" s="57">
        <f t="shared" si="1"/>
        <v>0</v>
      </c>
      <c r="M30" s="197" t="str">
        <f t="shared" si="2"/>
        <v>2050/003</v>
      </c>
      <c r="N30" s="79"/>
      <c r="P30" s="80"/>
      <c r="Q30" s="60"/>
      <c r="R30" s="34"/>
    </row>
    <row r="31" spans="1:18" x14ac:dyDescent="0.2">
      <c r="A31" s="394"/>
      <c r="B31" s="65" t="s">
        <v>390</v>
      </c>
      <c r="C31" s="431"/>
      <c r="D31" s="428"/>
      <c r="E31" s="435"/>
      <c r="F31" s="88"/>
      <c r="G31" s="56">
        <f>SUMIF(JournalsA!D$14:D$920,TrialBalanceA!M31,JournalsA!J$14:J$920)+SUMIF(JournalsA!E$14:E$920,TrialBalanceA!M31,JournalsA!J$14:J$920)</f>
        <v>0</v>
      </c>
      <c r="H31" s="443"/>
      <c r="I31" s="411">
        <f t="shared" si="0"/>
        <v>0</v>
      </c>
      <c r="J31" s="84"/>
      <c r="K31" s="57">
        <f t="shared" si="1"/>
        <v>0</v>
      </c>
      <c r="M31" s="197" t="str">
        <f t="shared" si="2"/>
        <v>2050/004</v>
      </c>
      <c r="N31" s="79"/>
      <c r="P31" s="80"/>
      <c r="Q31" s="60"/>
      <c r="R31" s="34"/>
    </row>
    <row r="32" spans="1:18" x14ac:dyDescent="0.2">
      <c r="A32" s="394"/>
      <c r="B32" s="65" t="s">
        <v>391</v>
      </c>
      <c r="C32" s="431"/>
      <c r="D32" s="428"/>
      <c r="E32" s="435"/>
      <c r="F32" s="88"/>
      <c r="G32" s="56">
        <f>SUMIF(JournalsA!D$14:D$920,TrialBalanceA!M32,JournalsA!J$14:J$920)+SUMIF(JournalsA!E$14:E$920,TrialBalanceA!M32,JournalsA!J$14:J$920)</f>
        <v>0</v>
      </c>
      <c r="H32" s="443"/>
      <c r="I32" s="411">
        <f t="shared" si="0"/>
        <v>0</v>
      </c>
      <c r="J32" s="84"/>
      <c r="K32" s="57">
        <f t="shared" si="1"/>
        <v>0</v>
      </c>
      <c r="M32" s="197" t="str">
        <f t="shared" si="2"/>
        <v>2050/005</v>
      </c>
      <c r="N32" s="79"/>
      <c r="P32" s="80"/>
      <c r="Q32" s="60"/>
      <c r="R32" s="34"/>
    </row>
    <row r="33" spans="1:18" x14ac:dyDescent="0.2">
      <c r="A33" s="394"/>
      <c r="B33" s="52" t="s">
        <v>1544</v>
      </c>
      <c r="C33" s="396" t="s">
        <v>1545</v>
      </c>
      <c r="D33" s="428"/>
      <c r="E33" s="435"/>
      <c r="F33" s="88"/>
      <c r="G33" s="56">
        <f>SUMIF(JournalsA!D$14:D$920,TrialBalanceA!M33,JournalsA!J$14:J$920)+SUMIF(JournalsA!E$14:E$920,TrialBalanceA!M33,JournalsA!J$14:J$920)</f>
        <v>0</v>
      </c>
      <c r="H33" s="443"/>
      <c r="I33" s="411">
        <f t="shared" ref="I33" si="6">ROUND(D33-E33+G33+F33,0)</f>
        <v>0</v>
      </c>
      <c r="J33" s="84"/>
      <c r="K33" s="57">
        <f t="shared" ref="K33" si="7">ROUND(SUM(A33),0)</f>
        <v>0</v>
      </c>
      <c r="M33" s="197" t="str">
        <f t="shared" ref="M33" si="8">CONCATENATE(B33,C33)</f>
        <v>2050/006Recoupment of depreciation</v>
      </c>
      <c r="N33" s="79"/>
      <c r="P33" s="80"/>
      <c r="Q33" s="60"/>
      <c r="R33" s="34"/>
    </row>
    <row r="34" spans="1:18" x14ac:dyDescent="0.2">
      <c r="A34" s="394"/>
      <c r="B34" s="52" t="s">
        <v>775</v>
      </c>
      <c r="C34" s="400" t="s">
        <v>774</v>
      </c>
      <c r="D34" s="426"/>
      <c r="E34" s="435"/>
      <c r="F34" s="88"/>
      <c r="G34" s="56">
        <f>SUMIF(JournalsA!D$14:D$920,TrialBalanceA!M34,JournalsA!J$14:J$920)+SUMIF(JournalsA!E$14:E$920,TrialBalanceA!M34,JournalsA!J$14:J$920)</f>
        <v>0</v>
      </c>
      <c r="H34" s="443"/>
      <c r="I34" s="411">
        <f t="shared" si="0"/>
        <v>0</v>
      </c>
      <c r="J34" s="84"/>
      <c r="K34" s="57">
        <f t="shared" si="1"/>
        <v>0</v>
      </c>
      <c r="M34" s="197" t="str">
        <f t="shared" si="2"/>
        <v>2060/000NET (PROFIT)/LOSS OTHER</v>
      </c>
      <c r="N34" s="79"/>
      <c r="P34" s="80"/>
      <c r="Q34" s="60"/>
      <c r="R34" s="34"/>
    </row>
    <row r="35" spans="1:18" x14ac:dyDescent="0.2">
      <c r="A35" s="394"/>
      <c r="B35" s="52" t="s">
        <v>671</v>
      </c>
      <c r="C35" s="396"/>
      <c r="D35" s="439"/>
      <c r="E35" s="435"/>
      <c r="F35" s="88"/>
      <c r="G35" s="56">
        <f>SUMIF(JournalsA!D$14:D$920,TrialBalanceA!M35,JournalsA!J$14:J$920)+SUMIF(JournalsA!E$14:E$920,TrialBalanceA!M35,JournalsA!J$14:J$920)</f>
        <v>0</v>
      </c>
      <c r="H35" s="443"/>
      <c r="I35" s="411">
        <f t="shared" si="0"/>
        <v>0</v>
      </c>
      <c r="J35" s="84"/>
      <c r="K35" s="57">
        <f t="shared" si="1"/>
        <v>0</v>
      </c>
      <c r="M35" s="197" t="str">
        <f t="shared" si="2"/>
        <v>2060/001</v>
      </c>
      <c r="N35" s="79"/>
      <c r="P35" s="80"/>
      <c r="Q35" s="60"/>
      <c r="R35" s="34"/>
    </row>
    <row r="36" spans="1:18" x14ac:dyDescent="0.2">
      <c r="A36" s="394"/>
      <c r="B36" s="52" t="s">
        <v>672</v>
      </c>
      <c r="C36" s="402"/>
      <c r="D36" s="439"/>
      <c r="E36" s="435"/>
      <c r="F36" s="88"/>
      <c r="G36" s="56">
        <f>SUMIF(JournalsA!D$14:D$920,TrialBalanceA!M36,JournalsA!J$14:J$920)+SUMIF(JournalsA!E$14:E$920,TrialBalanceA!M36,JournalsA!J$14:J$920)</f>
        <v>0</v>
      </c>
      <c r="H36" s="443"/>
      <c r="I36" s="411">
        <f t="shared" si="0"/>
        <v>0</v>
      </c>
      <c r="J36" s="84"/>
      <c r="K36" s="57">
        <f t="shared" si="1"/>
        <v>0</v>
      </c>
      <c r="M36" s="197" t="str">
        <f t="shared" si="2"/>
        <v>2060/002</v>
      </c>
      <c r="N36" s="79"/>
      <c r="P36" s="80"/>
      <c r="Q36" s="60"/>
      <c r="R36" s="34"/>
    </row>
    <row r="37" spans="1:18" x14ac:dyDescent="0.2">
      <c r="A37" s="394"/>
      <c r="B37" s="52" t="s">
        <v>673</v>
      </c>
      <c r="C37" s="402"/>
      <c r="D37" s="439"/>
      <c r="E37" s="435"/>
      <c r="F37" s="88"/>
      <c r="G37" s="56">
        <f>SUMIF(JournalsA!D$14:D$920,TrialBalanceA!M37,JournalsA!J$14:J$920)+SUMIF(JournalsA!E$14:E$920,TrialBalanceA!M37,JournalsA!J$14:J$920)</f>
        <v>0</v>
      </c>
      <c r="H37" s="443"/>
      <c r="I37" s="411">
        <f t="shared" si="0"/>
        <v>0</v>
      </c>
      <c r="J37" s="84"/>
      <c r="K37" s="57">
        <f t="shared" si="1"/>
        <v>0</v>
      </c>
      <c r="M37" s="197" t="str">
        <f t="shared" si="2"/>
        <v>2060/003</v>
      </c>
      <c r="N37" s="79"/>
      <c r="P37" s="80"/>
      <c r="Q37" s="60"/>
      <c r="R37" s="34"/>
    </row>
    <row r="38" spans="1:18" x14ac:dyDescent="0.2">
      <c r="A38" s="394"/>
      <c r="B38" s="52" t="s">
        <v>674</v>
      </c>
      <c r="C38" s="402"/>
      <c r="D38" s="428"/>
      <c r="E38" s="435"/>
      <c r="F38" s="88"/>
      <c r="G38" s="56">
        <f>SUMIF(JournalsA!D$14:D$920,TrialBalanceA!M38,JournalsA!J$14:J$920)+SUMIF(JournalsA!E$14:E$920,TrialBalanceA!M38,JournalsA!J$14:J$920)</f>
        <v>0</v>
      </c>
      <c r="H38" s="443"/>
      <c r="I38" s="411">
        <f t="shared" si="0"/>
        <v>0</v>
      </c>
      <c r="J38" s="84"/>
      <c r="K38" s="57">
        <f t="shared" si="1"/>
        <v>0</v>
      </c>
      <c r="M38" s="197" t="str">
        <f t="shared" si="2"/>
        <v>2060/004</v>
      </c>
      <c r="N38" s="79"/>
      <c r="P38" s="80"/>
      <c r="Q38" s="60"/>
      <c r="R38" s="34"/>
    </row>
    <row r="39" spans="1:18" x14ac:dyDescent="0.2">
      <c r="A39" s="394"/>
      <c r="B39" s="63" t="s">
        <v>482</v>
      </c>
      <c r="C39" s="397" t="s">
        <v>1415</v>
      </c>
      <c r="D39" s="437"/>
      <c r="E39" s="435"/>
      <c r="F39" s="88"/>
      <c r="G39" s="56">
        <f>SUMIF(JournalsA!D$14:D$920,TrialBalanceA!M39,JournalsA!J$14:J$920)+SUMIF(JournalsA!E$14:E$920,TrialBalanceA!M39,JournalsA!J$14:J$920)</f>
        <v>0</v>
      </c>
      <c r="H39" s="443"/>
      <c r="I39" s="411">
        <f t="shared" si="0"/>
        <v>0</v>
      </c>
      <c r="J39" s="84"/>
      <c r="K39" s="57">
        <f t="shared" si="1"/>
        <v>0</v>
      </c>
      <c r="M39" s="197" t="str">
        <f t="shared" si="2"/>
        <v>2100/000OPERATING EXPENSES</v>
      </c>
      <c r="N39" s="79"/>
      <c r="P39" s="80"/>
      <c r="Q39" s="60"/>
      <c r="R39" s="34"/>
    </row>
    <row r="40" spans="1:18" x14ac:dyDescent="0.2">
      <c r="A40" s="394"/>
      <c r="B40" s="63" t="s">
        <v>483</v>
      </c>
      <c r="C40" s="395" t="s">
        <v>335</v>
      </c>
      <c r="D40" s="436"/>
      <c r="E40" s="435"/>
      <c r="F40" s="88"/>
      <c r="G40" s="56">
        <f>SUMIF(JournalsA!D$14:D$920,TrialBalanceA!M40,JournalsA!J$14:J$920)+SUMIF(JournalsA!E$14:E$920,TrialBalanceA!M40,JournalsA!J$14:J$920)</f>
        <v>0</v>
      </c>
      <c r="H40" s="443"/>
      <c r="I40" s="411">
        <f t="shared" si="0"/>
        <v>0</v>
      </c>
      <c r="J40" s="84"/>
      <c r="K40" s="57">
        <f t="shared" si="1"/>
        <v>0</v>
      </c>
      <c r="M40" s="197" t="str">
        <f t="shared" si="2"/>
        <v>2100/001Advertising</v>
      </c>
      <c r="N40" s="79"/>
      <c r="P40" s="80"/>
      <c r="Q40" s="60"/>
      <c r="R40" s="34"/>
    </row>
    <row r="41" spans="1:18" x14ac:dyDescent="0.2">
      <c r="A41" s="394"/>
      <c r="B41" s="63" t="s">
        <v>484</v>
      </c>
      <c r="C41" s="398" t="s">
        <v>887</v>
      </c>
      <c r="D41" s="438"/>
      <c r="E41" s="435"/>
      <c r="F41" s="88"/>
      <c r="G41" s="56">
        <f>SUMIF(JournalsA!D$14:D$920,TrialBalanceA!M41,JournalsA!J$14:J$920)+SUMIF(JournalsA!E$14:E$920,TrialBalanceA!M41,JournalsA!J$14:J$920)</f>
        <v>0</v>
      </c>
      <c r="H41" s="443"/>
      <c r="I41" s="411">
        <f t="shared" si="0"/>
        <v>0</v>
      </c>
      <c r="J41" s="84"/>
      <c r="K41" s="57">
        <f t="shared" si="1"/>
        <v>0</v>
      </c>
      <c r="M41" s="197" t="str">
        <f t="shared" si="2"/>
        <v>2100/010Assets less than R7,000</v>
      </c>
      <c r="N41" s="79"/>
      <c r="P41" s="80"/>
      <c r="Q41" s="60"/>
      <c r="R41" s="34"/>
    </row>
    <row r="42" spans="1:18" x14ac:dyDescent="0.2">
      <c r="A42" s="394"/>
      <c r="B42" s="63" t="s">
        <v>485</v>
      </c>
      <c r="C42" s="395" t="s">
        <v>336</v>
      </c>
      <c r="D42" s="436"/>
      <c r="E42" s="435"/>
      <c r="F42" s="88"/>
      <c r="G42" s="56">
        <f>SUMIF(JournalsA!D$14:D$920,TrialBalanceA!M42,JournalsA!J$14:J$920)+SUMIF(JournalsA!E$14:E$920,TrialBalanceA!M42,JournalsA!J$14:J$920)</f>
        <v>0</v>
      </c>
      <c r="H42" s="443"/>
      <c r="I42" s="411">
        <f t="shared" ref="I42:I72" si="9">ROUND(D42-E42+G42+F42,0)</f>
        <v>0</v>
      </c>
      <c r="J42" s="84"/>
      <c r="K42" s="57">
        <f t="shared" si="1"/>
        <v>0</v>
      </c>
      <c r="M42" s="197" t="str">
        <f t="shared" si="2"/>
        <v>2100/020Consumables</v>
      </c>
      <c r="N42" s="79"/>
      <c r="P42" s="80"/>
      <c r="Q42" s="60"/>
      <c r="R42" s="34"/>
    </row>
    <row r="43" spans="1:18" x14ac:dyDescent="0.2">
      <c r="A43" s="394"/>
      <c r="B43" s="63" t="s">
        <v>486</v>
      </c>
      <c r="C43" s="397" t="s">
        <v>749</v>
      </c>
      <c r="D43" s="437"/>
      <c r="E43" s="435"/>
      <c r="F43" s="88"/>
      <c r="G43" s="56">
        <f>SUMIF(JournalsA!D$14:D$920,TrialBalanceA!M43,JournalsA!J$14:J$920)+SUMIF(JournalsA!E$14:E$920,TrialBalanceA!M43,JournalsA!J$14:J$920)</f>
        <v>0</v>
      </c>
      <c r="H43" s="443"/>
      <c r="I43" s="411">
        <f t="shared" si="9"/>
        <v>0</v>
      </c>
      <c r="J43" s="84"/>
      <c r="K43" s="57">
        <f t="shared" si="1"/>
        <v>0</v>
      </c>
      <c r="M43" s="197" t="str">
        <f t="shared" si="2"/>
        <v>2100/030Depreciation--------------------------------------------------</v>
      </c>
      <c r="N43" s="79"/>
      <c r="P43" s="80"/>
      <c r="Q43" s="60"/>
      <c r="R43" s="34"/>
    </row>
    <row r="44" spans="1:18" x14ac:dyDescent="0.2">
      <c r="A44" s="394"/>
      <c r="B44" s="63" t="s">
        <v>488</v>
      </c>
      <c r="C44" s="398" t="s">
        <v>1619</v>
      </c>
      <c r="D44" s="436"/>
      <c r="E44" s="435"/>
      <c r="F44" s="88"/>
      <c r="G44" s="56">
        <f>SUMIF(JournalsA!D$14:D$920,TrialBalanceA!M44,JournalsA!J$14:J$920)+SUMIF(JournalsA!E$14:E$920,TrialBalanceA!M44,JournalsA!J$14:J$920)</f>
        <v>0</v>
      </c>
      <c r="H44" s="443"/>
      <c r="I44" s="411">
        <f t="shared" si="9"/>
        <v>0</v>
      </c>
      <c r="J44" s="84"/>
      <c r="K44" s="57">
        <f t="shared" si="1"/>
        <v>0</v>
      </c>
      <c r="M44" s="197" t="str">
        <f t="shared" si="2"/>
        <v>2100/031Depr - Property</v>
      </c>
      <c r="N44" s="79"/>
      <c r="P44" s="80"/>
      <c r="Q44" s="60"/>
      <c r="R44" s="34"/>
    </row>
    <row r="45" spans="1:18" x14ac:dyDescent="0.2">
      <c r="A45" s="394"/>
      <c r="B45" s="63" t="s">
        <v>489</v>
      </c>
      <c r="C45" s="398" t="s">
        <v>989</v>
      </c>
      <c r="D45" s="436"/>
      <c r="E45" s="435"/>
      <c r="F45" s="88"/>
      <c r="G45" s="56">
        <f>SUMIF(JournalsA!D$14:D$920,TrialBalanceA!M45,JournalsA!J$14:J$920)+SUMIF(JournalsA!E$14:E$920,TrialBalanceA!M45,JournalsA!J$14:J$920)</f>
        <v>0</v>
      </c>
      <c r="H45" s="443"/>
      <c r="I45" s="411">
        <f t="shared" si="9"/>
        <v>0</v>
      </c>
      <c r="J45" s="84"/>
      <c r="K45" s="57">
        <f t="shared" si="1"/>
        <v>0</v>
      </c>
      <c r="M45" s="197" t="str">
        <f t="shared" si="2"/>
        <v>2100/032Depr - Plant and machinery</v>
      </c>
      <c r="N45" s="79"/>
      <c r="P45" s="80"/>
      <c r="Q45" s="60"/>
      <c r="R45" s="34"/>
    </row>
    <row r="46" spans="1:18" x14ac:dyDescent="0.2">
      <c r="A46" s="394"/>
      <c r="B46" s="63" t="s">
        <v>63</v>
      </c>
      <c r="C46" s="395" t="s">
        <v>64</v>
      </c>
      <c r="D46" s="436"/>
      <c r="E46" s="435"/>
      <c r="F46" s="88"/>
      <c r="G46" s="56">
        <f>SUMIF(JournalsA!D$14:D$920,TrialBalanceA!M46,JournalsA!J$14:J$920)+SUMIF(JournalsA!E$14:E$920,TrialBalanceA!M46,JournalsA!J$14:J$920)</f>
        <v>0</v>
      </c>
      <c r="H46" s="443"/>
      <c r="I46" s="411">
        <f t="shared" si="9"/>
        <v>0</v>
      </c>
      <c r="J46" s="84"/>
      <c r="K46" s="57">
        <f t="shared" si="1"/>
        <v>0</v>
      </c>
      <c r="M46" s="197" t="str">
        <f t="shared" si="2"/>
        <v>2100/033Depr - Motor vehicles</v>
      </c>
      <c r="N46" s="79"/>
      <c r="P46" s="80"/>
      <c r="Q46" s="60"/>
      <c r="R46" s="34"/>
    </row>
    <row r="47" spans="1:18" x14ac:dyDescent="0.2">
      <c r="A47" s="394"/>
      <c r="B47" s="63" t="s">
        <v>66</v>
      </c>
      <c r="C47" s="395" t="s">
        <v>67</v>
      </c>
      <c r="D47" s="436"/>
      <c r="E47" s="435"/>
      <c r="F47" s="88"/>
      <c r="G47" s="56">
        <f>SUMIF(JournalsA!D$14:D$920,TrialBalanceA!M47,JournalsA!J$14:J$920)+SUMIF(JournalsA!E$14:E$920,TrialBalanceA!M47,JournalsA!J$14:J$920)</f>
        <v>0</v>
      </c>
      <c r="H47" s="443"/>
      <c r="I47" s="411">
        <f t="shared" si="9"/>
        <v>0</v>
      </c>
      <c r="J47" s="84"/>
      <c r="K47" s="57">
        <f t="shared" si="1"/>
        <v>0</v>
      </c>
      <c r="M47" s="197" t="str">
        <f t="shared" si="2"/>
        <v>2100/040Discounts allowed</v>
      </c>
      <c r="N47" s="79"/>
      <c r="P47" s="80"/>
      <c r="Q47" s="60"/>
      <c r="R47" s="34"/>
    </row>
    <row r="48" spans="1:18" x14ac:dyDescent="0.2">
      <c r="A48" s="394"/>
      <c r="B48" s="63" t="s">
        <v>68</v>
      </c>
      <c r="C48" s="398" t="s">
        <v>933</v>
      </c>
      <c r="D48" s="436"/>
      <c r="E48" s="435"/>
      <c r="F48" s="88"/>
      <c r="G48" s="56">
        <f>SUMIF(JournalsA!D$14:D$920,TrialBalanceA!M48,JournalsA!J$14:J$920)+SUMIF(JournalsA!E$14:E$920,TrialBalanceA!M48,JournalsA!J$14:J$920)</f>
        <v>0</v>
      </c>
      <c r="H48" s="443"/>
      <c r="I48" s="411">
        <f t="shared" si="9"/>
        <v>0</v>
      </c>
      <c r="J48" s="84"/>
      <c r="K48" s="57">
        <f t="shared" si="1"/>
        <v>0</v>
      </c>
      <c r="M48" s="197" t="str">
        <f t="shared" si="2"/>
        <v>2100/050Electricity and water</v>
      </c>
      <c r="N48" s="79"/>
      <c r="P48" s="80"/>
      <c r="Q48" s="60"/>
      <c r="R48" s="34"/>
    </row>
    <row r="49" spans="1:18" x14ac:dyDescent="0.2">
      <c r="A49" s="394"/>
      <c r="B49" s="63" t="s">
        <v>69</v>
      </c>
      <c r="C49" s="395" t="s">
        <v>74</v>
      </c>
      <c r="D49" s="436"/>
      <c r="E49" s="435"/>
      <c r="F49" s="88"/>
      <c r="G49" s="56">
        <f>SUMIF(JournalsA!D$14:D$920,TrialBalanceA!M49,JournalsA!J$14:J$920)+SUMIF(JournalsA!E$14:E$920,TrialBalanceA!M49,JournalsA!J$14:J$920)</f>
        <v>0</v>
      </c>
      <c r="H49" s="443"/>
      <c r="I49" s="411">
        <f t="shared" si="9"/>
        <v>0</v>
      </c>
      <c r="J49" s="84"/>
      <c r="K49" s="57">
        <f t="shared" si="1"/>
        <v>0</v>
      </c>
      <c r="M49" s="197" t="str">
        <f t="shared" si="2"/>
        <v>2100/055Equipment lease</v>
      </c>
      <c r="N49" s="79"/>
      <c r="P49" s="80"/>
      <c r="Q49" s="60"/>
      <c r="R49" s="34"/>
    </row>
    <row r="50" spans="1:18" x14ac:dyDescent="0.2">
      <c r="A50" s="394"/>
      <c r="B50" s="63" t="s">
        <v>75</v>
      </c>
      <c r="C50" s="395" t="s">
        <v>338</v>
      </c>
      <c r="D50" s="436"/>
      <c r="E50" s="435"/>
      <c r="F50" s="88"/>
      <c r="G50" s="56">
        <f>SUMIF(JournalsA!D$14:D$920,TrialBalanceA!M50,JournalsA!J$14:J$920)+SUMIF(JournalsA!E$14:E$920,TrialBalanceA!M50,JournalsA!J$14:J$920)</f>
        <v>0</v>
      </c>
      <c r="H50" s="443"/>
      <c r="I50" s="411">
        <f t="shared" si="9"/>
        <v>0</v>
      </c>
      <c r="J50" s="84"/>
      <c r="K50" s="57">
        <f t="shared" si="1"/>
        <v>0</v>
      </c>
      <c r="M50" s="197" t="str">
        <f t="shared" si="2"/>
        <v>2100/060Insurance</v>
      </c>
      <c r="N50" s="79"/>
      <c r="P50" s="60"/>
      <c r="Q50" s="60"/>
      <c r="R50" s="34"/>
    </row>
    <row r="51" spans="1:18" x14ac:dyDescent="0.2">
      <c r="A51" s="394"/>
      <c r="B51" s="63" t="s">
        <v>522</v>
      </c>
      <c r="C51" s="395" t="s">
        <v>210</v>
      </c>
      <c r="D51" s="436"/>
      <c r="E51" s="435"/>
      <c r="F51" s="88"/>
      <c r="G51" s="56">
        <f>SUMIF(JournalsA!D$14:D$920,TrialBalanceA!M51,JournalsA!J$14:J$920)+SUMIF(JournalsA!E$14:E$920,TrialBalanceA!M51,JournalsA!J$14:J$920)</f>
        <v>0</v>
      </c>
      <c r="H51" s="443"/>
      <c r="I51" s="411">
        <f t="shared" si="9"/>
        <v>0</v>
      </c>
      <c r="J51" s="84"/>
      <c r="K51" s="57">
        <f t="shared" si="1"/>
        <v>0</v>
      </c>
      <c r="M51" s="197" t="str">
        <f t="shared" si="2"/>
        <v>2100/071Levies - SDL</v>
      </c>
      <c r="N51" s="79"/>
      <c r="P51" s="80"/>
      <c r="Q51" s="60"/>
      <c r="R51" s="34"/>
    </row>
    <row r="52" spans="1:18" x14ac:dyDescent="0.2">
      <c r="A52" s="394"/>
      <c r="B52" s="63" t="s">
        <v>211</v>
      </c>
      <c r="C52" s="395" t="s">
        <v>212</v>
      </c>
      <c r="D52" s="436"/>
      <c r="E52" s="435"/>
      <c r="F52" s="88"/>
      <c r="G52" s="56">
        <f>SUMIF(JournalsA!D$14:D$920,TrialBalanceA!M52,JournalsA!J$14:J$920)+SUMIF(JournalsA!E$14:E$920,TrialBalanceA!M52,JournalsA!J$14:J$920)</f>
        <v>0</v>
      </c>
      <c r="H52" s="443"/>
      <c r="I52" s="411">
        <f t="shared" si="9"/>
        <v>0</v>
      </c>
      <c r="J52" s="84"/>
      <c r="K52" s="57">
        <f t="shared" si="1"/>
        <v>0</v>
      </c>
      <c r="M52" s="197" t="str">
        <f t="shared" si="2"/>
        <v>2100/072Levies - other</v>
      </c>
      <c r="N52" s="79"/>
      <c r="P52" s="80"/>
      <c r="Q52" s="60"/>
      <c r="R52" s="34"/>
    </row>
    <row r="53" spans="1:18" x14ac:dyDescent="0.2">
      <c r="A53" s="394"/>
      <c r="B53" s="63" t="s">
        <v>213</v>
      </c>
      <c r="C53" s="402" t="s">
        <v>422</v>
      </c>
      <c r="D53" s="428"/>
      <c r="E53" s="435"/>
      <c r="F53" s="88"/>
      <c r="G53" s="56">
        <f>SUMIF(JournalsA!D$14:D$920,TrialBalanceA!M53,JournalsA!J$14:J$920)+SUMIF(JournalsA!E$14:E$920,TrialBalanceA!M53,JournalsA!J$14:J$920)</f>
        <v>0</v>
      </c>
      <c r="H53" s="443"/>
      <c r="I53" s="411">
        <f t="shared" si="9"/>
        <v>0</v>
      </c>
      <c r="J53" s="84"/>
      <c r="K53" s="57">
        <f t="shared" si="1"/>
        <v>0</v>
      </c>
      <c r="M53" s="197" t="str">
        <f t="shared" si="2"/>
        <v>2100/080Trade licenses</v>
      </c>
      <c r="N53" s="79"/>
      <c r="P53" s="80"/>
      <c r="Q53" s="60"/>
      <c r="R53" s="34"/>
    </row>
    <row r="54" spans="1:18" x14ac:dyDescent="0.2">
      <c r="A54" s="394"/>
      <c r="B54" s="63" t="s">
        <v>214</v>
      </c>
      <c r="C54" s="397" t="s">
        <v>785</v>
      </c>
      <c r="D54" s="437"/>
      <c r="E54" s="435"/>
      <c r="F54" s="88"/>
      <c r="G54" s="56">
        <f>SUMIF(JournalsA!D$14:D$920,TrialBalanceA!M54,JournalsA!J$14:J$920)+SUMIF(JournalsA!E$14:E$920,TrialBalanceA!M54,JournalsA!J$14:J$920)</f>
        <v>0</v>
      </c>
      <c r="H54" s="443"/>
      <c r="I54" s="411">
        <f t="shared" si="9"/>
        <v>0</v>
      </c>
      <c r="J54" s="84"/>
      <c r="K54" s="57">
        <f t="shared" si="1"/>
        <v>0</v>
      </c>
      <c r="M54" s="197" t="str">
        <f t="shared" si="2"/>
        <v>2100/090Motor vehicle expenses----------------------------------</v>
      </c>
      <c r="N54" s="79"/>
      <c r="P54" s="80"/>
      <c r="Q54" s="60"/>
      <c r="R54" s="34"/>
    </row>
    <row r="55" spans="1:18" x14ac:dyDescent="0.2">
      <c r="A55" s="394"/>
      <c r="B55" s="63" t="s">
        <v>216</v>
      </c>
      <c r="C55" s="395" t="s">
        <v>217</v>
      </c>
      <c r="D55" s="436"/>
      <c r="E55" s="435"/>
      <c r="F55" s="88"/>
      <c r="G55" s="56">
        <f>SUMIF(JournalsA!D$14:D$920,TrialBalanceA!M55,JournalsA!J$14:J$920)+SUMIF(JournalsA!E$14:E$920,TrialBalanceA!M55,JournalsA!J$14:J$920)</f>
        <v>0</v>
      </c>
      <c r="H55" s="443"/>
      <c r="I55" s="411">
        <f t="shared" si="9"/>
        <v>0</v>
      </c>
      <c r="J55" s="84"/>
      <c r="K55" s="57">
        <f t="shared" si="1"/>
        <v>0</v>
      </c>
      <c r="M55" s="197" t="str">
        <f t="shared" si="2"/>
        <v>2100/091Motor vehicle expenses - Petrol and oil</v>
      </c>
      <c r="N55" s="79"/>
      <c r="P55" s="80"/>
      <c r="Q55" s="60"/>
      <c r="R55" s="34"/>
    </row>
    <row r="56" spans="1:18" x14ac:dyDescent="0.2">
      <c r="A56" s="394"/>
      <c r="B56" s="63" t="s">
        <v>218</v>
      </c>
      <c r="C56" s="395" t="s">
        <v>219</v>
      </c>
      <c r="D56" s="436"/>
      <c r="E56" s="435"/>
      <c r="F56" s="88"/>
      <c r="G56" s="56">
        <f>SUMIF(JournalsA!D$14:D$920,TrialBalanceA!M56,JournalsA!J$14:J$920)+SUMIF(JournalsA!E$14:E$920,TrialBalanceA!M56,JournalsA!J$14:J$920)</f>
        <v>0</v>
      </c>
      <c r="H56" s="443"/>
      <c r="I56" s="411">
        <f t="shared" si="9"/>
        <v>0</v>
      </c>
      <c r="J56" s="84"/>
      <c r="K56" s="57">
        <f t="shared" si="1"/>
        <v>0</v>
      </c>
      <c r="M56" s="197" t="str">
        <f t="shared" si="2"/>
        <v>2100/092Motor vehicle expenses - R&amp;M</v>
      </c>
      <c r="N56" s="79"/>
      <c r="P56" s="80"/>
      <c r="Q56" s="60"/>
      <c r="R56" s="34"/>
    </row>
    <row r="57" spans="1:18" x14ac:dyDescent="0.2">
      <c r="A57" s="394"/>
      <c r="B57" s="63" t="s">
        <v>220</v>
      </c>
      <c r="C57" s="395" t="s">
        <v>221</v>
      </c>
      <c r="D57" s="436"/>
      <c r="E57" s="435"/>
      <c r="F57" s="88"/>
      <c r="G57" s="56">
        <f>SUMIF(JournalsA!D$14:D$920,TrialBalanceA!M57,JournalsA!J$14:J$920)+SUMIF(JournalsA!E$14:E$920,TrialBalanceA!M57,JournalsA!J$14:J$920)</f>
        <v>0</v>
      </c>
      <c r="H57" s="443"/>
      <c r="I57" s="411">
        <f t="shared" si="9"/>
        <v>0</v>
      </c>
      <c r="J57" s="84"/>
      <c r="K57" s="57">
        <f t="shared" si="1"/>
        <v>0</v>
      </c>
      <c r="M57" s="197" t="str">
        <f t="shared" si="2"/>
        <v>2100/093Motor vehicle expenses - Insurance</v>
      </c>
      <c r="N57" s="79"/>
      <c r="P57" s="80"/>
      <c r="Q57" s="60"/>
      <c r="R57" s="34"/>
    </row>
    <row r="58" spans="1:18" x14ac:dyDescent="0.2">
      <c r="A58" s="394"/>
      <c r="B58" s="63" t="s">
        <v>222</v>
      </c>
      <c r="C58" s="396" t="s">
        <v>990</v>
      </c>
      <c r="D58" s="428"/>
      <c r="E58" s="435"/>
      <c r="F58" s="88"/>
      <c r="G58" s="56">
        <f>SUMIF(JournalsA!D$14:D$920,TrialBalanceA!M58,JournalsA!J$14:J$920)+SUMIF(JournalsA!E$14:E$920,TrialBalanceA!M58,JournalsA!J$14:J$920)</f>
        <v>0</v>
      </c>
      <c r="H58" s="443"/>
      <c r="I58" s="411">
        <f t="shared" si="9"/>
        <v>0</v>
      </c>
      <c r="J58" s="84"/>
      <c r="K58" s="57">
        <f t="shared" si="1"/>
        <v>0</v>
      </c>
      <c r="M58" s="197" t="str">
        <f t="shared" si="2"/>
        <v>2100/094Motor vehicle expenses - Licenses</v>
      </c>
      <c r="N58" s="79"/>
      <c r="P58" s="80"/>
      <c r="Q58" s="60"/>
      <c r="R58" s="34"/>
    </row>
    <row r="59" spans="1:18" x14ac:dyDescent="0.2">
      <c r="A59" s="394"/>
      <c r="B59" s="63" t="s">
        <v>223</v>
      </c>
      <c r="C59" s="398" t="s">
        <v>991</v>
      </c>
      <c r="D59" s="436"/>
      <c r="E59" s="435"/>
      <c r="F59" s="88"/>
      <c r="G59" s="56">
        <f>SUMIF(JournalsA!D$14:D$920,TrialBalanceA!M59,JournalsA!J$14:J$920)+SUMIF(JournalsA!E$14:E$920,TrialBalanceA!M59,JournalsA!J$14:J$920)</f>
        <v>0</v>
      </c>
      <c r="H59" s="443"/>
      <c r="I59" s="411">
        <f t="shared" si="9"/>
        <v>0</v>
      </c>
      <c r="J59" s="84"/>
      <c r="K59" s="57">
        <f t="shared" si="1"/>
        <v>0</v>
      </c>
      <c r="M59" s="197" t="str">
        <f t="shared" si="2"/>
        <v>2100/095Motor vehicle expenses - General</v>
      </c>
      <c r="N59" s="79"/>
      <c r="P59" s="80"/>
      <c r="Q59" s="60"/>
      <c r="R59" s="34"/>
    </row>
    <row r="60" spans="1:18" x14ac:dyDescent="0.2">
      <c r="A60" s="394"/>
      <c r="B60" s="63" t="s">
        <v>224</v>
      </c>
      <c r="C60" s="397" t="s">
        <v>225</v>
      </c>
      <c r="D60" s="437"/>
      <c r="E60" s="435"/>
      <c r="F60" s="88"/>
      <c r="G60" s="56">
        <f>SUMIF(JournalsA!D$14:D$920,TrialBalanceA!M60,JournalsA!J$14:J$920)+SUMIF(JournalsA!E$14:E$920,TrialBalanceA!M60,JournalsA!J$14:J$920)</f>
        <v>0</v>
      </c>
      <c r="H60" s="443"/>
      <c r="I60" s="411">
        <f t="shared" si="9"/>
        <v>0</v>
      </c>
      <c r="J60" s="84"/>
      <c r="K60" s="57">
        <f t="shared" si="1"/>
        <v>0</v>
      </c>
      <c r="M60" s="197" t="str">
        <f t="shared" si="2"/>
        <v>2100/100Rent paid-------------------------------</v>
      </c>
      <c r="N60" s="79"/>
      <c r="P60" s="80"/>
      <c r="Q60" s="60"/>
      <c r="R60" s="34"/>
    </row>
    <row r="61" spans="1:18" x14ac:dyDescent="0.2">
      <c r="A61" s="394"/>
      <c r="B61" s="63" t="s">
        <v>226</v>
      </c>
      <c r="C61" s="430"/>
      <c r="D61" s="435"/>
      <c r="E61" s="435"/>
      <c r="F61" s="88"/>
      <c r="G61" s="56">
        <f>SUMIF(JournalsA!D$14:D$920,TrialBalanceA!M61,JournalsA!J$14:J$920)+SUMIF(JournalsA!E$14:E$920,TrialBalanceA!M61,JournalsA!J$14:J$920)</f>
        <v>0</v>
      </c>
      <c r="H61" s="443"/>
      <c r="I61" s="411">
        <f t="shared" si="9"/>
        <v>0</v>
      </c>
      <c r="J61" s="84"/>
      <c r="K61" s="57">
        <f t="shared" si="1"/>
        <v>0</v>
      </c>
      <c r="M61" s="197" t="str">
        <f t="shared" si="2"/>
        <v>2100/101</v>
      </c>
      <c r="N61" s="79"/>
      <c r="P61" s="80"/>
      <c r="Q61" s="60"/>
      <c r="R61" s="34"/>
    </row>
    <row r="62" spans="1:18" x14ac:dyDescent="0.2">
      <c r="A62" s="394"/>
      <c r="B62" s="63" t="s">
        <v>227</v>
      </c>
      <c r="C62" s="431"/>
      <c r="D62" s="435"/>
      <c r="E62" s="435"/>
      <c r="F62" s="88"/>
      <c r="G62" s="56">
        <f>SUMIF(JournalsA!D$14:D$920,TrialBalanceA!M62,JournalsA!J$14:J$920)+SUMIF(JournalsA!E$14:E$920,TrialBalanceA!M62,JournalsA!J$14:J$920)</f>
        <v>0</v>
      </c>
      <c r="H62" s="443"/>
      <c r="I62" s="411">
        <f t="shared" si="9"/>
        <v>0</v>
      </c>
      <c r="J62" s="84"/>
      <c r="K62" s="57">
        <f t="shared" si="1"/>
        <v>0</v>
      </c>
      <c r="M62" s="197" t="str">
        <f t="shared" si="2"/>
        <v>2100/102</v>
      </c>
      <c r="N62" s="79"/>
      <c r="P62" s="80"/>
      <c r="Q62" s="60"/>
      <c r="R62" s="34"/>
    </row>
    <row r="63" spans="1:18" x14ac:dyDescent="0.2">
      <c r="A63" s="394"/>
      <c r="B63" s="63" t="s">
        <v>228</v>
      </c>
      <c r="C63" s="431"/>
      <c r="D63" s="428"/>
      <c r="E63" s="435"/>
      <c r="F63" s="88"/>
      <c r="G63" s="56">
        <f>SUMIF(JournalsA!D$14:D$920,TrialBalanceA!M63,JournalsA!J$14:J$920)+SUMIF(JournalsA!E$14:E$920,TrialBalanceA!M63,JournalsA!J$14:J$920)</f>
        <v>0</v>
      </c>
      <c r="H63" s="443"/>
      <c r="I63" s="411">
        <f t="shared" si="9"/>
        <v>0</v>
      </c>
      <c r="J63" s="84"/>
      <c r="K63" s="57">
        <f t="shared" si="1"/>
        <v>0</v>
      </c>
      <c r="M63" s="197" t="str">
        <f t="shared" si="2"/>
        <v>2100/103</v>
      </c>
      <c r="N63" s="79"/>
      <c r="P63" s="80"/>
      <c r="Q63" s="60"/>
      <c r="R63" s="34"/>
    </row>
    <row r="64" spans="1:18" x14ac:dyDescent="0.2">
      <c r="A64" s="394"/>
      <c r="B64" s="63" t="s">
        <v>229</v>
      </c>
      <c r="C64" s="395" t="s">
        <v>82</v>
      </c>
      <c r="D64" s="436"/>
      <c r="E64" s="435"/>
      <c r="F64" s="88"/>
      <c r="G64" s="56">
        <f>SUMIF(JournalsA!D$14:D$920,TrialBalanceA!M64,JournalsA!J$14:J$920)+SUMIF(JournalsA!E$14:E$920,TrialBalanceA!M64,JournalsA!J$14:J$920)</f>
        <v>0</v>
      </c>
      <c r="H64" s="443"/>
      <c r="I64" s="411">
        <f t="shared" si="9"/>
        <v>0</v>
      </c>
      <c r="J64" s="84"/>
      <c r="K64" s="57">
        <f t="shared" si="1"/>
        <v>0</v>
      </c>
      <c r="M64" s="197" t="str">
        <f t="shared" si="2"/>
        <v>2100/110Repairs and maintenance</v>
      </c>
      <c r="N64" s="79"/>
      <c r="P64" s="80"/>
      <c r="Q64" s="60"/>
      <c r="R64" s="34"/>
    </row>
    <row r="65" spans="1:18" x14ac:dyDescent="0.2">
      <c r="A65" s="394"/>
      <c r="B65" s="63" t="s">
        <v>83</v>
      </c>
      <c r="C65" s="395" t="s">
        <v>84</v>
      </c>
      <c r="D65" s="436"/>
      <c r="E65" s="435"/>
      <c r="F65" s="88"/>
      <c r="G65" s="56">
        <f>SUMIF(JournalsA!D$14:D$920,TrialBalanceA!M65,JournalsA!J$14:J$920)+SUMIF(JournalsA!E$14:E$920,TrialBalanceA!M65,JournalsA!J$14:J$920)</f>
        <v>0</v>
      </c>
      <c r="H65" s="443"/>
      <c r="I65" s="411">
        <f t="shared" si="9"/>
        <v>0</v>
      </c>
      <c r="J65" s="84"/>
      <c r="K65" s="57">
        <f t="shared" si="1"/>
        <v>0</v>
      </c>
      <c r="M65" s="197" t="str">
        <f t="shared" si="2"/>
        <v>2100/120Salaries</v>
      </c>
      <c r="N65" s="79"/>
      <c r="P65" s="80"/>
      <c r="Q65" s="60"/>
      <c r="R65" s="34"/>
    </row>
    <row r="66" spans="1:18" x14ac:dyDescent="0.2">
      <c r="A66" s="394"/>
      <c r="B66" s="63" t="s">
        <v>85</v>
      </c>
      <c r="C66" s="395" t="s">
        <v>86</v>
      </c>
      <c r="D66" s="436"/>
      <c r="E66" s="435"/>
      <c r="F66" s="88"/>
      <c r="G66" s="56">
        <f>SUMIF(JournalsA!D$14:D$920,TrialBalanceA!M66,JournalsA!J$14:J$920)+SUMIF(JournalsA!E$14:E$920,TrialBalanceA!M66,JournalsA!J$14:J$920)</f>
        <v>0</v>
      </c>
      <c r="H66" s="443"/>
      <c r="I66" s="411">
        <f t="shared" si="9"/>
        <v>0</v>
      </c>
      <c r="J66" s="84"/>
      <c r="K66" s="57">
        <f t="shared" si="1"/>
        <v>0</v>
      </c>
      <c r="M66" s="197" t="str">
        <f t="shared" si="2"/>
        <v>2100/121UIF - Employer</v>
      </c>
      <c r="N66" s="79"/>
      <c r="P66" s="80"/>
      <c r="Q66" s="60"/>
      <c r="R66" s="34"/>
    </row>
    <row r="67" spans="1:18" x14ac:dyDescent="0.2">
      <c r="A67" s="394"/>
      <c r="B67" s="63" t="s">
        <v>87</v>
      </c>
      <c r="C67" s="395" t="s">
        <v>88</v>
      </c>
      <c r="D67" s="436"/>
      <c r="E67" s="435"/>
      <c r="F67" s="88"/>
      <c r="G67" s="56">
        <f>SUMIF(JournalsA!D$14:D$920,TrialBalanceA!M67,JournalsA!J$14:J$920)+SUMIF(JournalsA!E$14:E$920,TrialBalanceA!M67,JournalsA!J$14:J$920)</f>
        <v>0</v>
      </c>
      <c r="H67" s="443"/>
      <c r="I67" s="411">
        <f t="shared" si="9"/>
        <v>0</v>
      </c>
      <c r="J67" s="84"/>
      <c r="K67" s="57">
        <f t="shared" si="1"/>
        <v>0</v>
      </c>
      <c r="M67" s="197" t="str">
        <f t="shared" si="2"/>
        <v>2100/122Casual wages</v>
      </c>
      <c r="N67" s="79"/>
      <c r="P67" s="80"/>
      <c r="Q67" s="60"/>
      <c r="R67" s="34"/>
    </row>
    <row r="68" spans="1:18" x14ac:dyDescent="0.2">
      <c r="A68" s="394"/>
      <c r="B68" s="63" t="s">
        <v>89</v>
      </c>
      <c r="C68" s="395" t="s">
        <v>90</v>
      </c>
      <c r="D68" s="436"/>
      <c r="E68" s="435"/>
      <c r="F68" s="88"/>
      <c r="G68" s="56">
        <f>SUMIF(JournalsA!D$14:D$920,TrialBalanceA!M68,JournalsA!J$14:J$920)+SUMIF(JournalsA!E$14:E$920,TrialBalanceA!M68,JournalsA!J$14:J$920)</f>
        <v>0</v>
      </c>
      <c r="H68" s="443"/>
      <c r="I68" s="411">
        <f t="shared" si="9"/>
        <v>0</v>
      </c>
      <c r="J68" s="84"/>
      <c r="K68" s="57">
        <f t="shared" si="1"/>
        <v>0</v>
      </c>
      <c r="M68" s="197" t="str">
        <f t="shared" si="2"/>
        <v>2100/130Telephone</v>
      </c>
      <c r="N68" s="79"/>
      <c r="P68" s="80"/>
      <c r="Q68" s="60"/>
      <c r="R68" s="34"/>
    </row>
    <row r="69" spans="1:18" x14ac:dyDescent="0.2">
      <c r="A69" s="394"/>
      <c r="B69" s="63" t="s">
        <v>91</v>
      </c>
      <c r="C69" s="395" t="s">
        <v>557</v>
      </c>
      <c r="D69" s="436"/>
      <c r="E69" s="435"/>
      <c r="F69" s="88"/>
      <c r="G69" s="56">
        <f>SUMIF(JournalsA!D$14:D$920,TrialBalanceA!M69,JournalsA!J$14:J$920)+SUMIF(JournalsA!E$14:E$920,TrialBalanceA!M69,JournalsA!J$14:J$920)</f>
        <v>0</v>
      </c>
      <c r="H69" s="443"/>
      <c r="I69" s="411">
        <f t="shared" si="9"/>
        <v>0</v>
      </c>
      <c r="J69" s="84"/>
      <c r="K69" s="57">
        <f t="shared" si="1"/>
        <v>0</v>
      </c>
      <c r="M69" s="197" t="str">
        <f t="shared" si="2"/>
        <v>2100/135Postage and courier</v>
      </c>
      <c r="N69" s="79"/>
      <c r="P69" s="80"/>
      <c r="Q69" s="60"/>
      <c r="R69" s="34"/>
    </row>
    <row r="70" spans="1:18" x14ac:dyDescent="0.2">
      <c r="A70" s="394"/>
      <c r="B70" s="63" t="s">
        <v>92</v>
      </c>
      <c r="C70" s="395" t="s">
        <v>310</v>
      </c>
      <c r="D70" s="436"/>
      <c r="E70" s="435"/>
      <c r="F70" s="88"/>
      <c r="G70" s="56">
        <f>SUMIF(JournalsA!D$14:D$920,TrialBalanceA!M70,JournalsA!J$14:J$920)+SUMIF(JournalsA!E$14:E$920,TrialBalanceA!M70,JournalsA!J$14:J$920)</f>
        <v>0</v>
      </c>
      <c r="H70" s="443"/>
      <c r="I70" s="411">
        <f t="shared" si="9"/>
        <v>0</v>
      </c>
      <c r="J70" s="84"/>
      <c r="K70" s="57">
        <f t="shared" si="1"/>
        <v>0</v>
      </c>
      <c r="M70" s="197" t="str">
        <f t="shared" si="2"/>
        <v>2100/140Training</v>
      </c>
      <c r="N70" s="79"/>
      <c r="P70" s="80"/>
      <c r="Q70" s="60"/>
      <c r="R70" s="34"/>
    </row>
    <row r="71" spans="1:18" x14ac:dyDescent="0.2">
      <c r="A71" s="394"/>
      <c r="B71" s="63" t="s">
        <v>93</v>
      </c>
      <c r="C71" s="396" t="s">
        <v>1039</v>
      </c>
      <c r="D71" s="428"/>
      <c r="E71" s="435"/>
      <c r="F71" s="88"/>
      <c r="G71" s="56">
        <f>SUMIF(JournalsA!D$14:D$920,TrialBalanceA!M71,JournalsA!J$14:J$920)+SUMIF(JournalsA!E$14:E$920,TrialBalanceA!M71,JournalsA!J$14:J$920)</f>
        <v>0</v>
      </c>
      <c r="H71" s="443"/>
      <c r="I71" s="411">
        <f t="shared" si="9"/>
        <v>0</v>
      </c>
      <c r="J71" s="84"/>
      <c r="K71" s="57">
        <f t="shared" si="1"/>
        <v>0</v>
      </c>
      <c r="M71" s="197" t="str">
        <f t="shared" si="2"/>
        <v>2100/150Traveling and accommodation</v>
      </c>
      <c r="N71" s="79"/>
      <c r="P71" s="80"/>
      <c r="Q71" s="60"/>
      <c r="R71" s="34"/>
    </row>
    <row r="72" spans="1:18" x14ac:dyDescent="0.2">
      <c r="A72" s="394"/>
      <c r="B72" s="114" t="s">
        <v>728</v>
      </c>
      <c r="C72" s="430"/>
      <c r="D72" s="435"/>
      <c r="E72" s="435"/>
      <c r="F72" s="88"/>
      <c r="G72" s="56">
        <f>SUMIF(JournalsA!D$14:D$920,TrialBalanceA!M72,JournalsA!J$14:J$920)+SUMIF(JournalsA!E$14:E$920,TrialBalanceA!M72,JournalsA!J$14:J$920)</f>
        <v>0</v>
      </c>
      <c r="H72" s="443"/>
      <c r="I72" s="411">
        <f t="shared" si="9"/>
        <v>0</v>
      </c>
      <c r="J72" s="84"/>
      <c r="K72" s="57">
        <f t="shared" si="1"/>
        <v>0</v>
      </c>
      <c r="M72" s="197" t="str">
        <f t="shared" si="2"/>
        <v>2150/001</v>
      </c>
      <c r="N72" s="79"/>
      <c r="P72" s="80"/>
      <c r="Q72" s="60"/>
      <c r="R72" s="34"/>
    </row>
    <row r="73" spans="1:18" x14ac:dyDescent="0.2">
      <c r="A73" s="394"/>
      <c r="B73" s="114" t="s">
        <v>729</v>
      </c>
      <c r="C73" s="430"/>
      <c r="D73" s="435"/>
      <c r="E73" s="435"/>
      <c r="F73" s="88"/>
      <c r="G73" s="56">
        <f>SUMIF(JournalsA!D$14:D$920,TrialBalanceA!M73,JournalsA!J$14:J$920)+SUMIF(JournalsA!E$14:E$920,TrialBalanceA!M73,JournalsA!J$14:J$920)</f>
        <v>0</v>
      </c>
      <c r="H73" s="443"/>
      <c r="I73" s="411">
        <f t="shared" ref="I73:I101" si="10">ROUND(D73-E73+G73+F73,0)</f>
        <v>0</v>
      </c>
      <c r="J73" s="84"/>
      <c r="K73" s="57">
        <f t="shared" ref="K73:K136" si="11">ROUND(SUM(A73),0)</f>
        <v>0</v>
      </c>
      <c r="M73" s="197" t="str">
        <f t="shared" ref="M73:M136" si="12">CONCATENATE(B73,C73)</f>
        <v>2150/002</v>
      </c>
      <c r="N73" s="79"/>
      <c r="P73" s="80"/>
      <c r="Q73" s="60"/>
      <c r="R73" s="34"/>
    </row>
    <row r="74" spans="1:18" x14ac:dyDescent="0.2">
      <c r="A74" s="394"/>
      <c r="B74" s="114" t="s">
        <v>730</v>
      </c>
      <c r="C74" s="430"/>
      <c r="D74" s="435"/>
      <c r="E74" s="435"/>
      <c r="F74" s="88"/>
      <c r="G74" s="56">
        <f>SUMIF(JournalsA!D$14:D$920,TrialBalanceA!M74,JournalsA!J$14:J$920)+SUMIF(JournalsA!E$14:E$920,TrialBalanceA!M74,JournalsA!J$14:J$920)</f>
        <v>0</v>
      </c>
      <c r="H74" s="443"/>
      <c r="I74" s="411">
        <f t="shared" si="10"/>
        <v>0</v>
      </c>
      <c r="J74" s="84"/>
      <c r="K74" s="57">
        <f t="shared" si="11"/>
        <v>0</v>
      </c>
      <c r="M74" s="197" t="str">
        <f t="shared" si="12"/>
        <v>2150/003</v>
      </c>
      <c r="N74" s="79"/>
      <c r="P74" s="80"/>
      <c r="Q74" s="60"/>
      <c r="R74" s="34"/>
    </row>
    <row r="75" spans="1:18" x14ac:dyDescent="0.2">
      <c r="A75" s="394"/>
      <c r="B75" s="114" t="s">
        <v>731</v>
      </c>
      <c r="C75" s="430"/>
      <c r="D75" s="435"/>
      <c r="E75" s="435"/>
      <c r="F75" s="88"/>
      <c r="G75" s="56">
        <f>SUMIF(JournalsA!D$14:D$920,TrialBalanceA!M75,JournalsA!J$14:J$920)+SUMIF(JournalsA!E$14:E$920,TrialBalanceA!M75,JournalsA!J$14:J$920)</f>
        <v>0</v>
      </c>
      <c r="H75" s="443"/>
      <c r="I75" s="411">
        <f t="shared" si="10"/>
        <v>0</v>
      </c>
      <c r="J75" s="84"/>
      <c r="K75" s="57">
        <f t="shared" si="11"/>
        <v>0</v>
      </c>
      <c r="M75" s="197" t="str">
        <f t="shared" si="12"/>
        <v>2150/004</v>
      </c>
      <c r="N75" s="79"/>
      <c r="P75" s="80"/>
      <c r="Q75" s="60"/>
      <c r="R75" s="34"/>
    </row>
    <row r="76" spans="1:18" x14ac:dyDescent="0.2">
      <c r="A76" s="394"/>
      <c r="B76" s="114" t="s">
        <v>732</v>
      </c>
      <c r="C76" s="430"/>
      <c r="D76" s="435"/>
      <c r="E76" s="435"/>
      <c r="F76" s="88"/>
      <c r="G76" s="56">
        <f>SUMIF(JournalsA!D$14:D$920,TrialBalanceA!M76,JournalsA!J$14:J$920)+SUMIF(JournalsA!E$14:E$920,TrialBalanceA!M76,JournalsA!J$14:J$920)</f>
        <v>0</v>
      </c>
      <c r="H76" s="443"/>
      <c r="I76" s="411">
        <f t="shared" si="10"/>
        <v>0</v>
      </c>
      <c r="J76" s="84"/>
      <c r="K76" s="57">
        <f t="shared" si="11"/>
        <v>0</v>
      </c>
      <c r="M76" s="197" t="str">
        <f t="shared" si="12"/>
        <v>2150/005</v>
      </c>
      <c r="N76" s="79"/>
      <c r="P76" s="80"/>
      <c r="Q76" s="60"/>
      <c r="R76" s="34"/>
    </row>
    <row r="77" spans="1:18" x14ac:dyDescent="0.2">
      <c r="A77" s="394"/>
      <c r="B77" s="114" t="s">
        <v>733</v>
      </c>
      <c r="C77" s="432"/>
      <c r="D77" s="440"/>
      <c r="E77" s="435"/>
      <c r="F77" s="88"/>
      <c r="G77" s="56">
        <f>SUMIF(JournalsA!D$14:D$920,TrialBalanceA!M77,JournalsA!J$14:J$920)+SUMIF(JournalsA!E$14:E$920,TrialBalanceA!M77,JournalsA!J$14:J$920)</f>
        <v>0</v>
      </c>
      <c r="H77" s="443"/>
      <c r="I77" s="411">
        <f t="shared" si="10"/>
        <v>0</v>
      </c>
      <c r="J77" s="84"/>
      <c r="K77" s="57">
        <f t="shared" si="11"/>
        <v>0</v>
      </c>
      <c r="M77" s="197" t="str">
        <f t="shared" si="12"/>
        <v>2150/006</v>
      </c>
      <c r="N77" s="79"/>
      <c r="P77" s="80"/>
      <c r="Q77" s="60"/>
      <c r="R77" s="34"/>
    </row>
    <row r="78" spans="1:18" x14ac:dyDescent="0.2">
      <c r="A78" s="394"/>
      <c r="B78" s="114" t="s">
        <v>734</v>
      </c>
      <c r="C78" s="432"/>
      <c r="D78" s="440"/>
      <c r="E78" s="435"/>
      <c r="F78" s="88"/>
      <c r="G78" s="56">
        <f>SUMIF(JournalsA!D$14:D$920,TrialBalanceA!M78,JournalsA!J$14:J$920)+SUMIF(JournalsA!E$14:E$920,TrialBalanceA!M78,JournalsA!J$14:J$920)</f>
        <v>0</v>
      </c>
      <c r="H78" s="443"/>
      <c r="I78" s="411">
        <f t="shared" si="10"/>
        <v>0</v>
      </c>
      <c r="J78" s="84"/>
      <c r="K78" s="57">
        <f t="shared" si="11"/>
        <v>0</v>
      </c>
      <c r="M78" s="197" t="str">
        <f t="shared" si="12"/>
        <v>2150/007</v>
      </c>
      <c r="N78" s="79"/>
      <c r="P78" s="80"/>
      <c r="Q78" s="60"/>
      <c r="R78" s="34"/>
    </row>
    <row r="79" spans="1:18" x14ac:dyDescent="0.2">
      <c r="A79" s="394"/>
      <c r="B79" s="114" t="s">
        <v>735</v>
      </c>
      <c r="C79" s="430"/>
      <c r="D79" s="440"/>
      <c r="E79" s="435"/>
      <c r="F79" s="88"/>
      <c r="G79" s="56">
        <f>SUMIF(JournalsA!D$14:D$920,TrialBalanceA!M79,JournalsA!J$14:J$920)+SUMIF(JournalsA!E$14:E$920,TrialBalanceA!M79,JournalsA!J$14:J$920)</f>
        <v>0</v>
      </c>
      <c r="H79" s="443"/>
      <c r="I79" s="411">
        <f t="shared" si="10"/>
        <v>0</v>
      </c>
      <c r="J79" s="84"/>
      <c r="K79" s="57">
        <f t="shared" si="11"/>
        <v>0</v>
      </c>
      <c r="M79" s="197" t="str">
        <f t="shared" si="12"/>
        <v>2150/008</v>
      </c>
      <c r="N79" s="79"/>
      <c r="P79" s="80"/>
      <c r="Q79" s="60"/>
      <c r="R79" s="34"/>
    </row>
    <row r="80" spans="1:18" x14ac:dyDescent="0.2">
      <c r="A80" s="394"/>
      <c r="B80" s="114" t="s">
        <v>736</v>
      </c>
      <c r="C80" s="430"/>
      <c r="D80" s="440"/>
      <c r="E80" s="435"/>
      <c r="F80" s="88"/>
      <c r="G80" s="56">
        <f>SUMIF(JournalsA!D$14:D$920,TrialBalanceA!M80,JournalsA!J$14:J$920)+SUMIF(JournalsA!E$14:E$920,TrialBalanceA!M80,JournalsA!J$14:J$920)</f>
        <v>0</v>
      </c>
      <c r="H80" s="443"/>
      <c r="I80" s="411">
        <f t="shared" si="10"/>
        <v>0</v>
      </c>
      <c r="J80" s="84"/>
      <c r="K80" s="57">
        <f t="shared" si="11"/>
        <v>0</v>
      </c>
      <c r="M80" s="197" t="str">
        <f t="shared" si="12"/>
        <v>2150/009</v>
      </c>
      <c r="N80" s="79"/>
      <c r="P80" s="80"/>
      <c r="Q80" s="60"/>
      <c r="R80" s="34"/>
    </row>
    <row r="81" spans="1:18" x14ac:dyDescent="0.2">
      <c r="A81" s="394"/>
      <c r="B81" s="114" t="s">
        <v>737</v>
      </c>
      <c r="C81" s="430"/>
      <c r="D81" s="428"/>
      <c r="E81" s="435"/>
      <c r="F81" s="88"/>
      <c r="G81" s="56">
        <f>SUMIF(JournalsA!D$14:D$920,TrialBalanceA!M81,JournalsA!J$14:J$920)+SUMIF(JournalsA!E$14:E$920,TrialBalanceA!M81,JournalsA!J$14:J$920)</f>
        <v>0</v>
      </c>
      <c r="H81" s="443"/>
      <c r="I81" s="411">
        <f t="shared" si="10"/>
        <v>0</v>
      </c>
      <c r="J81" s="84"/>
      <c r="K81" s="57">
        <f t="shared" si="11"/>
        <v>0</v>
      </c>
      <c r="M81" s="197" t="str">
        <f t="shared" si="12"/>
        <v>2150/010</v>
      </c>
      <c r="N81" s="79"/>
      <c r="P81" s="80"/>
      <c r="Q81" s="60"/>
      <c r="R81" s="34"/>
    </row>
    <row r="82" spans="1:18" x14ac:dyDescent="0.2">
      <c r="A82" s="394"/>
      <c r="B82" s="63" t="s">
        <v>22</v>
      </c>
      <c r="C82" s="397" t="s">
        <v>139</v>
      </c>
      <c r="D82" s="437"/>
      <c r="E82" s="435"/>
      <c r="F82" s="88"/>
      <c r="G82" s="56">
        <f>SUMIF(JournalsA!D$14:D$920,TrialBalanceA!M82,JournalsA!J$14:J$920)+SUMIF(JournalsA!E$14:E$920,TrialBalanceA!M82,JournalsA!J$14:J$920)</f>
        <v>0</v>
      </c>
      <c r="H82" s="443"/>
      <c r="I82" s="411">
        <f t="shared" si="10"/>
        <v>0</v>
      </c>
      <c r="J82" s="84"/>
      <c r="K82" s="57">
        <f t="shared" si="11"/>
        <v>0</v>
      </c>
      <c r="M82" s="197" t="str">
        <f t="shared" si="12"/>
        <v>2500/000OTHER INCOME</v>
      </c>
      <c r="N82" s="79"/>
      <c r="P82" s="80"/>
      <c r="Q82" s="60"/>
      <c r="R82" s="34"/>
    </row>
    <row r="83" spans="1:18" x14ac:dyDescent="0.2">
      <c r="A83" s="394"/>
      <c r="B83" s="63" t="s">
        <v>432</v>
      </c>
      <c r="C83" s="396" t="s">
        <v>992</v>
      </c>
      <c r="D83" s="428"/>
      <c r="E83" s="435"/>
      <c r="F83" s="88"/>
      <c r="G83" s="56">
        <f>SUMIF(JournalsA!D$14:D$920,TrialBalanceA!M83,JournalsA!J$14:J$920)+SUMIF(JournalsA!E$14:E$920,TrialBalanceA!M83,JournalsA!J$14:J$920)</f>
        <v>0</v>
      </c>
      <c r="H83" s="443"/>
      <c r="I83" s="411">
        <f t="shared" si="10"/>
        <v>0</v>
      </c>
      <c r="J83" s="84"/>
      <c r="K83" s="57">
        <f t="shared" si="11"/>
        <v>0</v>
      </c>
      <c r="M83" s="197" t="str">
        <f t="shared" si="12"/>
        <v>2710/000Rent received (not main income)</v>
      </c>
      <c r="N83" s="79"/>
      <c r="P83" s="80"/>
      <c r="Q83" s="60"/>
      <c r="R83" s="34"/>
    </row>
    <row r="84" spans="1:18" x14ac:dyDescent="0.2">
      <c r="A84" s="394"/>
      <c r="B84" s="63" t="s">
        <v>94</v>
      </c>
      <c r="C84" s="397" t="s">
        <v>998</v>
      </c>
      <c r="D84" s="437"/>
      <c r="E84" s="435"/>
      <c r="F84" s="88"/>
      <c r="G84" s="56">
        <f>SUMIF(JournalsA!D$14:D$920,TrialBalanceA!M84,JournalsA!J$14:J$920)+SUMIF(JournalsA!E$14:E$920,TrialBalanceA!M84,JournalsA!J$14:J$920)</f>
        <v>0</v>
      </c>
      <c r="H84" s="443"/>
      <c r="I84" s="411">
        <f t="shared" si="10"/>
        <v>0</v>
      </c>
      <c r="J84" s="84"/>
      <c r="K84" s="57">
        <f t="shared" si="11"/>
        <v>0</v>
      </c>
      <c r="M84" s="197" t="str">
        <f t="shared" si="12"/>
        <v>2750/000Interest received-----------------------</v>
      </c>
      <c r="N84" s="79"/>
      <c r="P84" s="80"/>
      <c r="Q84" s="60"/>
      <c r="R84" s="34"/>
    </row>
    <row r="85" spans="1:18" x14ac:dyDescent="0.2">
      <c r="A85" s="394"/>
      <c r="B85" s="63" t="s">
        <v>95</v>
      </c>
      <c r="C85" s="430"/>
      <c r="D85" s="440"/>
      <c r="E85" s="435"/>
      <c r="F85" s="88"/>
      <c r="G85" s="56">
        <f>SUMIF(JournalsA!D$14:D$920,TrialBalanceA!M85,JournalsA!J$14:J$920)+SUMIF(JournalsA!E$14:E$920,TrialBalanceA!M85,JournalsA!J$14:J$920)</f>
        <v>0</v>
      </c>
      <c r="H85" s="443"/>
      <c r="I85" s="411">
        <f t="shared" si="10"/>
        <v>0</v>
      </c>
      <c r="J85" s="84"/>
      <c r="K85" s="57">
        <f t="shared" si="11"/>
        <v>0</v>
      </c>
      <c r="M85" s="197" t="str">
        <f t="shared" si="12"/>
        <v>2750/001</v>
      </c>
      <c r="N85" s="79"/>
      <c r="P85" s="80"/>
      <c r="Q85" s="60"/>
      <c r="R85" s="34"/>
    </row>
    <row r="86" spans="1:18" x14ac:dyDescent="0.2">
      <c r="A86" s="394"/>
      <c r="B86" s="63" t="s">
        <v>96</v>
      </c>
      <c r="C86" s="432"/>
      <c r="D86" s="440"/>
      <c r="E86" s="435"/>
      <c r="F86" s="88"/>
      <c r="G86" s="56">
        <f>SUMIF(JournalsA!D$14:D$920,TrialBalanceA!M86,JournalsA!J$14:J$920)+SUMIF(JournalsA!E$14:E$920,TrialBalanceA!M86,JournalsA!J$14:J$920)</f>
        <v>0</v>
      </c>
      <c r="H86" s="443"/>
      <c r="I86" s="411">
        <f t="shared" si="10"/>
        <v>0</v>
      </c>
      <c r="J86" s="84"/>
      <c r="K86" s="57">
        <f t="shared" si="11"/>
        <v>0</v>
      </c>
      <c r="M86" s="197" t="str">
        <f t="shared" si="12"/>
        <v>2750/002</v>
      </c>
      <c r="N86" s="79"/>
      <c r="P86" s="80"/>
      <c r="Q86" s="60"/>
      <c r="R86" s="34"/>
    </row>
    <row r="87" spans="1:18" x14ac:dyDescent="0.2">
      <c r="A87" s="394"/>
      <c r="B87" s="63" t="s">
        <v>97</v>
      </c>
      <c r="C87" s="433"/>
      <c r="D87" s="436"/>
      <c r="E87" s="435"/>
      <c r="F87" s="88"/>
      <c r="G87" s="56">
        <f>SUMIF(JournalsA!D$14:D$920,TrialBalanceA!M87,JournalsA!J$14:J$920)+SUMIF(JournalsA!E$14:E$920,TrialBalanceA!M87,JournalsA!J$14:J$920)</f>
        <v>0</v>
      </c>
      <c r="H87" s="443"/>
      <c r="I87" s="411">
        <f t="shared" si="10"/>
        <v>0</v>
      </c>
      <c r="J87" s="84"/>
      <c r="K87" s="57">
        <f t="shared" si="11"/>
        <v>0</v>
      </c>
      <c r="M87" s="197" t="str">
        <f t="shared" si="12"/>
        <v>2750/003</v>
      </c>
      <c r="N87" s="79"/>
      <c r="P87" s="80"/>
      <c r="Q87" s="60"/>
      <c r="R87" s="34"/>
    </row>
    <row r="88" spans="1:18" x14ac:dyDescent="0.2">
      <c r="A88" s="394"/>
      <c r="B88" s="63" t="s">
        <v>98</v>
      </c>
      <c r="C88" s="433"/>
      <c r="D88" s="436"/>
      <c r="E88" s="435"/>
      <c r="F88" s="88"/>
      <c r="G88" s="56">
        <f>SUMIF(JournalsA!D$14:D$920,TrialBalanceA!M88,JournalsA!J$14:J$920)+SUMIF(JournalsA!E$14:E$920,TrialBalanceA!M88,JournalsA!J$14:J$920)</f>
        <v>0</v>
      </c>
      <c r="H88" s="443"/>
      <c r="I88" s="411">
        <f t="shared" si="10"/>
        <v>0</v>
      </c>
      <c r="J88" s="84"/>
      <c r="K88" s="57">
        <f t="shared" si="11"/>
        <v>0</v>
      </c>
      <c r="M88" s="197" t="str">
        <f t="shared" si="12"/>
        <v>2750/004</v>
      </c>
      <c r="N88" s="79"/>
      <c r="P88" s="80"/>
      <c r="Q88" s="60"/>
      <c r="R88" s="34"/>
    </row>
    <row r="89" spans="1:18" x14ac:dyDescent="0.2">
      <c r="A89" s="394"/>
      <c r="B89" s="63" t="s">
        <v>230</v>
      </c>
      <c r="C89" s="397" t="s">
        <v>361</v>
      </c>
      <c r="D89" s="437"/>
      <c r="E89" s="435"/>
      <c r="F89" s="88"/>
      <c r="G89" s="56">
        <f>SUMIF(JournalsA!D$14:D$920,TrialBalanceA!M89,JournalsA!J$14:J$920)+SUMIF(JournalsA!E$14:E$920,TrialBalanceA!M89,JournalsA!J$14:J$920)</f>
        <v>0</v>
      </c>
      <c r="H89" s="443"/>
      <c r="I89" s="411">
        <f t="shared" si="10"/>
        <v>0</v>
      </c>
      <c r="J89" s="84"/>
      <c r="K89" s="57">
        <f t="shared" si="11"/>
        <v>0</v>
      </c>
      <c r="M89" s="197" t="str">
        <f t="shared" si="12"/>
        <v>2800/000Dividends received----------------------</v>
      </c>
      <c r="N89" s="79"/>
      <c r="P89" s="80"/>
      <c r="Q89" s="60"/>
      <c r="R89" s="34"/>
    </row>
    <row r="90" spans="1:18" x14ac:dyDescent="0.2">
      <c r="A90" s="394"/>
      <c r="B90" s="63" t="s">
        <v>362</v>
      </c>
      <c r="C90" s="398" t="s">
        <v>915</v>
      </c>
      <c r="D90" s="436"/>
      <c r="E90" s="435"/>
      <c r="F90" s="88"/>
      <c r="G90" s="56">
        <f>SUMIF(JournalsA!D$14:D$920,TrialBalanceA!M90,JournalsA!J$14:J$920)+SUMIF(JournalsA!E$14:E$920,TrialBalanceA!M90,JournalsA!J$14:J$920)</f>
        <v>0</v>
      </c>
      <c r="H90" s="443"/>
      <c r="I90" s="411">
        <f t="shared" si="10"/>
        <v>0</v>
      </c>
      <c r="J90" s="84"/>
      <c r="K90" s="57">
        <f t="shared" si="11"/>
        <v>0</v>
      </c>
      <c r="M90" s="197" t="str">
        <f t="shared" si="12"/>
        <v>2800/001Div.'s received - SA sources</v>
      </c>
      <c r="N90" s="79"/>
      <c r="P90" s="80"/>
      <c r="Q90" s="60"/>
      <c r="R90" s="34"/>
    </row>
    <row r="91" spans="1:18" x14ac:dyDescent="0.2">
      <c r="A91" s="394"/>
      <c r="B91" s="63" t="s">
        <v>240</v>
      </c>
      <c r="C91" s="398" t="s">
        <v>1320</v>
      </c>
      <c r="D91" s="436"/>
      <c r="E91" s="435"/>
      <c r="F91" s="88"/>
      <c r="G91" s="56">
        <f>SUMIF(JournalsA!D$14:D$920,TrialBalanceA!M91,JournalsA!J$14:J$920)+SUMIF(JournalsA!E$14:E$920,TrialBalanceA!M91,JournalsA!J$14:J$920)</f>
        <v>0</v>
      </c>
      <c r="H91" s="443"/>
      <c r="I91" s="411">
        <f t="shared" ref="I91" si="13">ROUND(D91-E91+G91+F91,0)</f>
        <v>0</v>
      </c>
      <c r="J91" s="84"/>
      <c r="K91" s="57">
        <f t="shared" ref="K91" si="14">ROUND(SUM(A91),0)</f>
        <v>0</v>
      </c>
      <c r="M91" s="197" t="str">
        <f t="shared" ref="M91" si="15">CONCATENATE(B91,C91)</f>
        <v>2800/002Div.'s received - Associates</v>
      </c>
      <c r="N91" s="79"/>
      <c r="P91" s="80"/>
      <c r="Q91" s="60"/>
      <c r="R91" s="34"/>
    </row>
    <row r="92" spans="1:18" x14ac:dyDescent="0.2">
      <c r="A92" s="394"/>
      <c r="B92" s="114" t="s">
        <v>1319</v>
      </c>
      <c r="C92" s="398" t="s">
        <v>916</v>
      </c>
      <c r="D92" s="436"/>
      <c r="E92" s="435"/>
      <c r="F92" s="88"/>
      <c r="G92" s="56">
        <f>SUMIF(JournalsA!D$14:D$920,TrialBalanceA!M92,JournalsA!J$14:J$920)+SUMIF(JournalsA!E$14:E$920,TrialBalanceA!M92,JournalsA!J$14:J$920)</f>
        <v>0</v>
      </c>
      <c r="H92" s="443"/>
      <c r="I92" s="411">
        <f t="shared" si="10"/>
        <v>0</v>
      </c>
      <c r="J92" s="84"/>
      <c r="K92" s="57">
        <f t="shared" si="11"/>
        <v>0</v>
      </c>
      <c r="M92" s="197" t="str">
        <f t="shared" si="12"/>
        <v>2800/003Div.'s received - Foreign div.'s</v>
      </c>
      <c r="N92" s="79"/>
      <c r="P92" s="80"/>
      <c r="Q92" s="60"/>
      <c r="R92" s="34"/>
    </row>
    <row r="93" spans="1:18" x14ac:dyDescent="0.2">
      <c r="A93" s="394"/>
      <c r="B93" s="63" t="s">
        <v>241</v>
      </c>
      <c r="C93" s="398" t="s">
        <v>776</v>
      </c>
      <c r="D93" s="438"/>
      <c r="E93" s="435"/>
      <c r="F93" s="88"/>
      <c r="G93" s="56">
        <f>SUMIF(JournalsA!D$14:D$920,TrialBalanceA!M93,JournalsA!J$14:J$920)+SUMIF(JournalsA!E$14:E$920,TrialBalanceA!M93,JournalsA!J$14:J$920)</f>
        <v>0</v>
      </c>
      <c r="H93" s="443"/>
      <c r="I93" s="411">
        <f t="shared" si="10"/>
        <v>0</v>
      </c>
      <c r="J93" s="84"/>
      <c r="K93" s="57">
        <f t="shared" si="11"/>
        <v>0</v>
      </c>
      <c r="M93" s="197" t="str">
        <f t="shared" si="12"/>
        <v>2810/000(Profit)/Loss on sale of fixed assets</v>
      </c>
      <c r="N93" s="79"/>
      <c r="P93" s="80"/>
      <c r="Q93" s="60"/>
      <c r="R93" s="34"/>
    </row>
    <row r="94" spans="1:18" x14ac:dyDescent="0.2">
      <c r="A94" s="394"/>
      <c r="B94" s="63" t="s">
        <v>242</v>
      </c>
      <c r="C94" s="395" t="s">
        <v>243</v>
      </c>
      <c r="D94" s="436"/>
      <c r="E94" s="435"/>
      <c r="F94" s="88"/>
      <c r="G94" s="56">
        <f>SUMIF(JournalsA!D$14:D$920,TrialBalanceA!M94,JournalsA!J$14:J$920)+SUMIF(JournalsA!E$14:E$920,TrialBalanceA!M94,JournalsA!J$14:J$920)</f>
        <v>0</v>
      </c>
      <c r="H94" s="443"/>
      <c r="I94" s="411">
        <f t="shared" si="10"/>
        <v>0</v>
      </c>
      <c r="J94" s="84"/>
      <c r="K94" s="57">
        <f t="shared" si="11"/>
        <v>0</v>
      </c>
      <c r="M94" s="197" t="str">
        <f t="shared" si="12"/>
        <v>2820/000Bad debts recovered</v>
      </c>
      <c r="N94" s="79"/>
      <c r="P94" s="80"/>
      <c r="Q94" s="60"/>
      <c r="R94" s="34"/>
    </row>
    <row r="95" spans="1:18" x14ac:dyDescent="0.2">
      <c r="A95" s="394"/>
      <c r="B95" s="63" t="s">
        <v>244</v>
      </c>
      <c r="C95" s="395" t="s">
        <v>245</v>
      </c>
      <c r="D95" s="436"/>
      <c r="E95" s="435"/>
      <c r="F95" s="88"/>
      <c r="G95" s="56">
        <f>SUMIF(JournalsA!D$14:D$920,TrialBalanceA!M95,JournalsA!J$14:J$920)+SUMIF(JournalsA!E$14:E$920,TrialBalanceA!M95,JournalsA!J$14:J$920)</f>
        <v>0</v>
      </c>
      <c r="H95" s="443"/>
      <c r="I95" s="411">
        <f t="shared" si="10"/>
        <v>0</v>
      </c>
      <c r="J95" s="84"/>
      <c r="K95" s="57">
        <f t="shared" si="11"/>
        <v>0</v>
      </c>
      <c r="M95" s="197" t="str">
        <f t="shared" si="12"/>
        <v>2830/000Other income</v>
      </c>
      <c r="N95" s="79"/>
      <c r="P95" s="60"/>
      <c r="Q95" s="60"/>
      <c r="R95" s="34"/>
    </row>
    <row r="96" spans="1:18" x14ac:dyDescent="0.2">
      <c r="A96" s="394"/>
      <c r="B96" s="114" t="s">
        <v>1546</v>
      </c>
      <c r="C96" s="398" t="s">
        <v>1547</v>
      </c>
      <c r="D96" s="436"/>
      <c r="E96" s="435"/>
      <c r="F96" s="88"/>
      <c r="G96" s="56">
        <f>SUMIF(JournalsA!D$14:D$920,TrialBalanceA!M96,JournalsA!J$14:J$920)+SUMIF(JournalsA!E$14:E$920,TrialBalanceA!M96,JournalsA!J$14:J$920)</f>
        <v>0</v>
      </c>
      <c r="H96" s="443"/>
      <c r="I96" s="411">
        <f t="shared" ref="I96" si="16">ROUND(D96-E96+G96+F96,0)</f>
        <v>0</v>
      </c>
      <c r="J96" s="84"/>
      <c r="K96" s="57">
        <f t="shared" ref="K96" si="17">ROUND(SUM(A96),0)</f>
        <v>0</v>
      </c>
      <c r="M96" s="197" t="str">
        <f t="shared" ref="M96" si="18">CONCATENATE(B96,C96)</f>
        <v>2840/000Revaluation of investment property</v>
      </c>
      <c r="N96" s="79"/>
      <c r="P96" s="60"/>
      <c r="Q96" s="60"/>
      <c r="R96" s="34"/>
    </row>
    <row r="97" spans="1:18" x14ac:dyDescent="0.2">
      <c r="A97" s="394"/>
      <c r="B97" s="63" t="s">
        <v>246</v>
      </c>
      <c r="C97" s="397" t="s">
        <v>1304</v>
      </c>
      <c r="D97" s="437"/>
      <c r="E97" s="435"/>
      <c r="F97" s="88"/>
      <c r="G97" s="56">
        <f>SUMIF(JournalsA!D$14:D$920,TrialBalanceA!M97,JournalsA!J$14:J$920)+SUMIF(JournalsA!E$14:E$920,TrialBalanceA!M97,JournalsA!J$14:J$920)</f>
        <v>0</v>
      </c>
      <c r="H97" s="443"/>
      <c r="I97" s="411">
        <f t="shared" si="10"/>
        <v>0</v>
      </c>
      <c r="J97" s="84"/>
      <c r="K97" s="57">
        <f t="shared" si="11"/>
        <v>0</v>
      </c>
      <c r="M97" s="197" t="str">
        <f t="shared" si="12"/>
        <v>3000/000ADMINISTRATIVE EXPENSES</v>
      </c>
      <c r="N97" s="79"/>
      <c r="P97" s="80"/>
      <c r="Q97" s="60"/>
      <c r="R97" s="34"/>
    </row>
    <row r="98" spans="1:18" x14ac:dyDescent="0.2">
      <c r="A98" s="394"/>
      <c r="B98" s="63" t="s">
        <v>247</v>
      </c>
      <c r="C98" s="395" t="s">
        <v>248</v>
      </c>
      <c r="D98" s="436"/>
      <c r="E98" s="435"/>
      <c r="F98" s="88"/>
      <c r="G98" s="56">
        <f>SUMIF(JournalsA!D$14:D$920,TrialBalanceA!M98,JournalsA!J$14:J$920)+SUMIF(JournalsA!E$14:E$920,TrialBalanceA!M98,JournalsA!J$14:J$920)</f>
        <v>0</v>
      </c>
      <c r="H98" s="443"/>
      <c r="I98" s="411">
        <f t="shared" si="10"/>
        <v>0</v>
      </c>
      <c r="J98" s="84"/>
      <c r="K98" s="57">
        <f t="shared" si="11"/>
        <v>0</v>
      </c>
      <c r="M98" s="197" t="str">
        <f t="shared" si="12"/>
        <v>3000/011Audit fees for current year</v>
      </c>
      <c r="N98" s="79"/>
      <c r="P98" s="60"/>
      <c r="Q98" s="60"/>
      <c r="R98" s="34"/>
    </row>
    <row r="99" spans="1:18" x14ac:dyDescent="0.2">
      <c r="A99" s="394"/>
      <c r="B99" s="63" t="s">
        <v>249</v>
      </c>
      <c r="C99" s="402" t="s">
        <v>421</v>
      </c>
      <c r="D99" s="428"/>
      <c r="E99" s="435"/>
      <c r="F99" s="88"/>
      <c r="G99" s="56">
        <f>SUMIF(JournalsA!D$14:D$920,TrialBalanceA!M99,JournalsA!J$14:J$920)+SUMIF(JournalsA!E$14:E$920,TrialBalanceA!M99,JournalsA!J$14:J$920)</f>
        <v>0</v>
      </c>
      <c r="H99" s="443"/>
      <c r="I99" s="411">
        <f t="shared" si="10"/>
        <v>0</v>
      </c>
      <c r="J99" s="84"/>
      <c r="K99" s="57">
        <f t="shared" si="11"/>
        <v>0</v>
      </c>
      <c r="M99" s="197" t="str">
        <f t="shared" si="12"/>
        <v>3000/012Under provision previous year</v>
      </c>
      <c r="N99" s="79"/>
      <c r="P99" s="80"/>
      <c r="Q99" s="60"/>
      <c r="R99" s="34"/>
    </row>
    <row r="100" spans="1:18" x14ac:dyDescent="0.2">
      <c r="A100" s="394"/>
      <c r="B100" s="63" t="s">
        <v>250</v>
      </c>
      <c r="C100" s="395" t="s">
        <v>251</v>
      </c>
      <c r="D100" s="436"/>
      <c r="E100" s="435"/>
      <c r="F100" s="88"/>
      <c r="G100" s="56">
        <f>SUMIF(JournalsA!D$14:D$920,TrialBalanceA!M100,JournalsA!J$14:J$920)+SUMIF(JournalsA!E$14:E$920,TrialBalanceA!M100,JournalsA!J$14:J$920)</f>
        <v>0</v>
      </c>
      <c r="H100" s="443"/>
      <c r="I100" s="411">
        <f t="shared" si="10"/>
        <v>0</v>
      </c>
      <c r="J100" s="84"/>
      <c r="K100" s="57">
        <f t="shared" si="11"/>
        <v>0</v>
      </c>
      <c r="M100" s="197" t="str">
        <f t="shared" si="12"/>
        <v>3000/013Overprovision previous year</v>
      </c>
      <c r="N100" s="79"/>
      <c r="P100" s="80"/>
      <c r="Q100" s="60"/>
      <c r="R100" s="34"/>
    </row>
    <row r="101" spans="1:18" x14ac:dyDescent="0.2">
      <c r="A101" s="394"/>
      <c r="B101" s="63" t="s">
        <v>252</v>
      </c>
      <c r="C101" s="395" t="s">
        <v>253</v>
      </c>
      <c r="D101" s="436"/>
      <c r="E101" s="435"/>
      <c r="F101" s="88"/>
      <c r="G101" s="56">
        <f>SUMIF(JournalsA!D$14:D$920,TrialBalanceA!M101,JournalsA!J$14:J$920)+SUMIF(JournalsA!E$14:E$920,TrialBalanceA!M101,JournalsA!J$14:J$920)</f>
        <v>0</v>
      </c>
      <c r="H101" s="443"/>
      <c r="I101" s="411">
        <f t="shared" si="10"/>
        <v>0</v>
      </c>
      <c r="J101" s="84"/>
      <c r="K101" s="57">
        <f t="shared" si="11"/>
        <v>0</v>
      </c>
      <c r="M101" s="197" t="str">
        <f t="shared" si="12"/>
        <v>3000/014Accounting fees</v>
      </c>
      <c r="N101" s="79"/>
      <c r="P101" s="80"/>
      <c r="Q101" s="60"/>
      <c r="R101" s="34"/>
    </row>
    <row r="102" spans="1:18" x14ac:dyDescent="0.2">
      <c r="A102" s="394"/>
      <c r="B102" s="63" t="s">
        <v>254</v>
      </c>
      <c r="C102" s="395" t="s">
        <v>255</v>
      </c>
      <c r="D102" s="436"/>
      <c r="E102" s="435"/>
      <c r="F102" s="88"/>
      <c r="G102" s="56">
        <f>SUMIF(JournalsA!D$14:D$920,TrialBalanceA!M102,JournalsA!J$14:J$920)+SUMIF(JournalsA!E$14:E$920,TrialBalanceA!M102,JournalsA!J$14:J$920)</f>
        <v>0</v>
      </c>
      <c r="H102" s="443"/>
      <c r="I102" s="411">
        <f>ROUND(D102-E102+G102+F102,0)</f>
        <v>0</v>
      </c>
      <c r="J102" s="84"/>
      <c r="K102" s="57">
        <f t="shared" si="11"/>
        <v>0</v>
      </c>
      <c r="M102" s="197" t="str">
        <f t="shared" si="12"/>
        <v>3000/020Bank charges</v>
      </c>
      <c r="N102" s="79"/>
      <c r="P102" s="80"/>
      <c r="Q102" s="60"/>
      <c r="R102" s="34"/>
    </row>
    <row r="103" spans="1:18" x14ac:dyDescent="0.2">
      <c r="A103" s="394"/>
      <c r="B103" s="63" t="s">
        <v>256</v>
      </c>
      <c r="C103" s="395" t="s">
        <v>257</v>
      </c>
      <c r="D103" s="436"/>
      <c r="E103" s="435"/>
      <c r="F103" s="88"/>
      <c r="G103" s="56">
        <f>SUMIF(JournalsA!D$14:D$920,TrialBalanceA!M103,JournalsA!J$14:J$920)+SUMIF(JournalsA!E$14:E$920,TrialBalanceA!M103,JournalsA!J$14:J$920)</f>
        <v>0</v>
      </c>
      <c r="H103" s="443"/>
      <c r="I103" s="411">
        <f t="shared" ref="I103:I134" si="19">ROUND(D103-E103+G103+F103,0)</f>
        <v>0</v>
      </c>
      <c r="J103" s="84"/>
      <c r="K103" s="57">
        <f t="shared" si="11"/>
        <v>0</v>
      </c>
      <c r="M103" s="197" t="str">
        <f t="shared" si="12"/>
        <v>3000/030Bad debts</v>
      </c>
      <c r="N103" s="79"/>
      <c r="P103" s="80"/>
      <c r="Q103" s="60"/>
      <c r="R103" s="34"/>
    </row>
    <row r="104" spans="1:18" x14ac:dyDescent="0.2">
      <c r="A104" s="394"/>
      <c r="B104" s="63" t="s">
        <v>258</v>
      </c>
      <c r="C104" s="395" t="s">
        <v>314</v>
      </c>
      <c r="D104" s="436"/>
      <c r="E104" s="435"/>
      <c r="F104" s="88"/>
      <c r="G104" s="56">
        <f>SUMIF(JournalsA!D$14:D$920,TrialBalanceA!M104,JournalsA!J$14:J$920)+SUMIF(JournalsA!E$14:E$920,TrialBalanceA!M104,JournalsA!J$14:J$920)</f>
        <v>0</v>
      </c>
      <c r="H104" s="443"/>
      <c r="I104" s="411">
        <f t="shared" si="19"/>
        <v>0</v>
      </c>
      <c r="J104" s="84"/>
      <c r="K104" s="57">
        <f t="shared" si="11"/>
        <v>0</v>
      </c>
      <c r="M104" s="197" t="str">
        <f t="shared" si="12"/>
        <v>3000/040Cleaning</v>
      </c>
      <c r="N104" s="79"/>
      <c r="P104" s="80"/>
      <c r="Q104" s="60"/>
      <c r="R104" s="34"/>
    </row>
    <row r="105" spans="1:18" x14ac:dyDescent="0.2">
      <c r="A105" s="394"/>
      <c r="B105" s="63" t="s">
        <v>259</v>
      </c>
      <c r="C105" s="395" t="s">
        <v>260</v>
      </c>
      <c r="D105" s="436"/>
      <c r="E105" s="435"/>
      <c r="F105" s="88"/>
      <c r="G105" s="56">
        <f>SUMIF(JournalsA!D$14:D$920,TrialBalanceA!M105,JournalsA!J$14:J$920)+SUMIF(JournalsA!E$14:E$920,TrialBalanceA!M105,JournalsA!J$14:J$920)</f>
        <v>0</v>
      </c>
      <c r="H105" s="443"/>
      <c r="I105" s="411">
        <f t="shared" si="19"/>
        <v>0</v>
      </c>
      <c r="J105" s="84"/>
      <c r="K105" s="57">
        <f t="shared" si="11"/>
        <v>0</v>
      </c>
      <c r="M105" s="197" t="str">
        <f t="shared" si="12"/>
        <v>3000/050Computer expenses</v>
      </c>
      <c r="N105" s="79"/>
      <c r="P105" s="80"/>
      <c r="Q105" s="60"/>
      <c r="R105" s="34"/>
    </row>
    <row r="106" spans="1:18" x14ac:dyDescent="0.2">
      <c r="A106" s="394"/>
      <c r="B106" s="114" t="s">
        <v>837</v>
      </c>
      <c r="C106" s="398" t="s">
        <v>935</v>
      </c>
      <c r="D106" s="436"/>
      <c r="E106" s="435"/>
      <c r="F106" s="88"/>
      <c r="G106" s="56">
        <f>SUMIF(JournalsA!D$14:D$920,TrialBalanceA!M106,JournalsA!J$14:J$920)+SUMIF(JournalsA!E$14:E$920,TrialBalanceA!M106,JournalsA!J$14:J$920)</f>
        <v>0</v>
      </c>
      <c r="H106" s="443"/>
      <c r="I106" s="411">
        <f t="shared" ref="I106" si="20">ROUND(D106-E106+G106+F106,0)</f>
        <v>0</v>
      </c>
      <c r="J106" s="84"/>
      <c r="K106" s="57">
        <f t="shared" ref="K106" si="21">ROUND(SUM(A106),0)</f>
        <v>0</v>
      </c>
      <c r="M106" s="197" t="str">
        <f t="shared" ref="M106" si="22">CONCATENATE(B106,C106)</f>
        <v>3000/055Consulting and professional fees</v>
      </c>
      <c r="N106" s="79"/>
      <c r="P106" s="80"/>
      <c r="Q106" s="60"/>
      <c r="R106" s="34"/>
    </row>
    <row r="107" spans="1:18" x14ac:dyDescent="0.2">
      <c r="A107" s="394"/>
      <c r="B107" s="63" t="s">
        <v>261</v>
      </c>
      <c r="C107" s="397" t="s">
        <v>487</v>
      </c>
      <c r="D107" s="437"/>
      <c r="E107" s="435"/>
      <c r="F107" s="88"/>
      <c r="G107" s="56">
        <f>SUMIF(JournalsA!D$14:D$920,TrialBalanceA!M107,JournalsA!J$14:J$920)+SUMIF(JournalsA!E$14:E$920,TrialBalanceA!M107,JournalsA!J$14:J$920)</f>
        <v>0</v>
      </c>
      <c r="H107" s="443"/>
      <c r="I107" s="411">
        <f t="shared" si="19"/>
        <v>0</v>
      </c>
      <c r="J107" s="84"/>
      <c r="K107" s="57">
        <f t="shared" si="11"/>
        <v>0</v>
      </c>
      <c r="M107" s="197" t="str">
        <f t="shared" si="12"/>
        <v>3000/060Depreciation----------------------------</v>
      </c>
      <c r="N107" s="79"/>
      <c r="P107" s="80"/>
      <c r="Q107" s="60"/>
      <c r="R107" s="34"/>
    </row>
    <row r="108" spans="1:18" x14ac:dyDescent="0.2">
      <c r="A108" s="394"/>
      <c r="B108" s="114" t="s">
        <v>262</v>
      </c>
      <c r="C108" s="396" t="s">
        <v>65</v>
      </c>
      <c r="D108" s="435"/>
      <c r="E108" s="435"/>
      <c r="F108" s="88"/>
      <c r="G108" s="56">
        <f>SUMIF(JournalsA!D$14:D$920,TrialBalanceA!M108,JournalsA!J$14:J$920)+SUMIF(JournalsA!E$14:E$920,TrialBalanceA!M108,JournalsA!J$14:J$920)</f>
        <v>0</v>
      </c>
      <c r="H108" s="443"/>
      <c r="I108" s="411">
        <f t="shared" si="19"/>
        <v>0</v>
      </c>
      <c r="J108" s="84"/>
      <c r="K108" s="57">
        <f t="shared" si="11"/>
        <v>0</v>
      </c>
      <c r="M108" s="197" t="str">
        <f t="shared" si="12"/>
        <v>3000/061Depr - Electronic equipment</v>
      </c>
      <c r="N108" s="79"/>
      <c r="P108" s="80"/>
      <c r="Q108" s="60"/>
      <c r="R108" s="34"/>
    </row>
    <row r="109" spans="1:18" x14ac:dyDescent="0.2">
      <c r="A109" s="394"/>
      <c r="B109" s="114" t="s">
        <v>434</v>
      </c>
      <c r="C109" s="398" t="s">
        <v>997</v>
      </c>
      <c r="D109" s="436"/>
      <c r="E109" s="435"/>
      <c r="F109" s="88"/>
      <c r="G109" s="56">
        <f>SUMIF(JournalsA!D$14:D$920,TrialBalanceA!M109,JournalsA!J$14:J$920)+SUMIF(JournalsA!E$14:E$920,TrialBalanceA!M109,JournalsA!J$14:J$920)</f>
        <v>0</v>
      </c>
      <c r="H109" s="443"/>
      <c r="I109" s="411">
        <f t="shared" si="19"/>
        <v>0</v>
      </c>
      <c r="J109" s="84"/>
      <c r="K109" s="57">
        <f t="shared" si="11"/>
        <v>0</v>
      </c>
      <c r="M109" s="197" t="str">
        <f t="shared" si="12"/>
        <v>3000/063Depr - Furniture and fittings</v>
      </c>
      <c r="N109" s="79"/>
      <c r="P109" s="80"/>
      <c r="Q109" s="60"/>
      <c r="R109" s="34"/>
    </row>
    <row r="110" spans="1:18" x14ac:dyDescent="0.2">
      <c r="A110" s="394"/>
      <c r="B110" s="63" t="s">
        <v>435</v>
      </c>
      <c r="C110" s="397" t="s">
        <v>722</v>
      </c>
      <c r="D110" s="437"/>
      <c r="E110" s="435"/>
      <c r="F110" s="88"/>
      <c r="G110" s="56">
        <f>SUMIF(JournalsA!D$14:D$920,TrialBalanceA!M110,JournalsA!J$14:J$920)+SUMIF(JournalsA!E$14:E$920,TrialBalanceA!M110,JournalsA!J$14:J$920)</f>
        <v>0</v>
      </c>
      <c r="H110" s="443"/>
      <c r="I110" s="411">
        <f t="shared" si="19"/>
        <v>0</v>
      </c>
      <c r="J110" s="84"/>
      <c r="K110" s="57">
        <f t="shared" si="11"/>
        <v>0</v>
      </c>
      <c r="M110" s="197" t="str">
        <f t="shared" si="12"/>
        <v>3000/070Directors' remuneration-----------------</v>
      </c>
      <c r="N110" s="79"/>
      <c r="P110" s="80"/>
      <c r="Q110" s="60"/>
      <c r="R110" s="34"/>
    </row>
    <row r="111" spans="1:18" x14ac:dyDescent="0.2">
      <c r="A111" s="394"/>
      <c r="B111" s="63" t="s">
        <v>436</v>
      </c>
      <c r="C111" s="430" t="str">
        <f>Criteria!E41</f>
        <v>A Director</v>
      </c>
      <c r="D111" s="435"/>
      <c r="E111" s="435"/>
      <c r="F111" s="88"/>
      <c r="G111" s="56">
        <f>SUMIF(JournalsA!D$14:D$920,TrialBalanceA!M111,JournalsA!J$14:J$920)+SUMIF(JournalsA!E$14:E$920,TrialBalanceA!M111,JournalsA!J$14:J$920)</f>
        <v>0</v>
      </c>
      <c r="H111" s="443"/>
      <c r="I111" s="411">
        <f t="shared" si="19"/>
        <v>0</v>
      </c>
      <c r="J111" s="84"/>
      <c r="K111" s="57">
        <f t="shared" si="11"/>
        <v>0</v>
      </c>
      <c r="M111" s="197" t="str">
        <f t="shared" si="12"/>
        <v>3000/071A Director</v>
      </c>
      <c r="N111" s="79"/>
      <c r="P111" s="80"/>
      <c r="Q111" s="60"/>
      <c r="R111" s="34"/>
    </row>
    <row r="112" spans="1:18" x14ac:dyDescent="0.2">
      <c r="A112" s="394"/>
      <c r="B112" s="63" t="s">
        <v>437</v>
      </c>
      <c r="C112" s="430" t="str">
        <f>Criteria!E42</f>
        <v>C Director</v>
      </c>
      <c r="D112" s="435"/>
      <c r="E112" s="435"/>
      <c r="F112" s="88"/>
      <c r="G112" s="56">
        <f>SUMIF(JournalsA!D$14:D$920,TrialBalanceA!M112,JournalsA!J$14:J$920)+SUMIF(JournalsA!E$14:E$920,TrialBalanceA!M112,JournalsA!J$14:J$920)</f>
        <v>0</v>
      </c>
      <c r="H112" s="443"/>
      <c r="I112" s="411">
        <f t="shared" si="19"/>
        <v>0</v>
      </c>
      <c r="J112" s="84"/>
      <c r="K112" s="57">
        <f t="shared" si="11"/>
        <v>0</v>
      </c>
      <c r="M112" s="197" t="str">
        <f t="shared" si="12"/>
        <v>3000/072C Director</v>
      </c>
      <c r="N112" s="79"/>
      <c r="P112" s="80"/>
      <c r="Q112" s="60"/>
      <c r="R112" s="34"/>
    </row>
    <row r="113" spans="1:18" x14ac:dyDescent="0.2">
      <c r="A113" s="394"/>
      <c r="B113" s="63" t="s">
        <v>438</v>
      </c>
      <c r="C113" s="430">
        <f>Criteria!E43</f>
        <v>0</v>
      </c>
      <c r="D113" s="435"/>
      <c r="E113" s="435"/>
      <c r="F113" s="88"/>
      <c r="G113" s="56">
        <f>SUMIF(JournalsA!D$14:D$920,TrialBalanceA!M113,JournalsA!J$14:J$920)+SUMIF(JournalsA!E$14:E$920,TrialBalanceA!M113,JournalsA!J$14:J$920)</f>
        <v>0</v>
      </c>
      <c r="H113" s="443"/>
      <c r="I113" s="411">
        <f t="shared" si="19"/>
        <v>0</v>
      </c>
      <c r="J113" s="84"/>
      <c r="K113" s="57">
        <f t="shared" si="11"/>
        <v>0</v>
      </c>
      <c r="M113" s="197" t="str">
        <f t="shared" si="12"/>
        <v>3000/0730</v>
      </c>
      <c r="N113" s="79"/>
      <c r="P113" s="80"/>
      <c r="Q113" s="60"/>
      <c r="R113" s="34"/>
    </row>
    <row r="114" spans="1:18" x14ac:dyDescent="0.2">
      <c r="A114" s="394"/>
      <c r="B114" s="63" t="s">
        <v>439</v>
      </c>
      <c r="C114" s="430">
        <f>Criteria!E44</f>
        <v>0</v>
      </c>
      <c r="D114" s="435"/>
      <c r="E114" s="435"/>
      <c r="F114" s="88"/>
      <c r="G114" s="56">
        <f>SUMIF(JournalsA!D$14:D$920,TrialBalanceA!M114,JournalsA!J$14:J$920)+SUMIF(JournalsA!E$14:E$920,TrialBalanceA!M114,JournalsA!J$14:J$920)</f>
        <v>0</v>
      </c>
      <c r="H114" s="443"/>
      <c r="I114" s="411">
        <f t="shared" si="19"/>
        <v>0</v>
      </c>
      <c r="J114" s="84"/>
      <c r="K114" s="57">
        <f t="shared" si="11"/>
        <v>0</v>
      </c>
      <c r="M114" s="197" t="str">
        <f t="shared" si="12"/>
        <v>3000/0740</v>
      </c>
      <c r="N114" s="79"/>
      <c r="P114" s="80"/>
      <c r="Q114" s="60"/>
      <c r="R114" s="34"/>
    </row>
    <row r="115" spans="1:18" x14ac:dyDescent="0.2">
      <c r="A115" s="394"/>
      <c r="B115" s="63" t="s">
        <v>440</v>
      </c>
      <c r="C115" s="430">
        <f>Criteria!E45</f>
        <v>0</v>
      </c>
      <c r="D115" s="436"/>
      <c r="E115" s="435"/>
      <c r="F115" s="88"/>
      <c r="G115" s="56">
        <f>SUMIF(JournalsA!D$14:D$920,TrialBalanceA!M115,JournalsA!J$14:J$920)+SUMIF(JournalsA!E$14:E$920,TrialBalanceA!M115,JournalsA!J$14:J$920)</f>
        <v>0</v>
      </c>
      <c r="H115" s="443"/>
      <c r="I115" s="411">
        <f t="shared" si="19"/>
        <v>0</v>
      </c>
      <c r="J115" s="84"/>
      <c r="K115" s="57">
        <f t="shared" si="11"/>
        <v>0</v>
      </c>
      <c r="M115" s="197" t="str">
        <f t="shared" si="12"/>
        <v>3000/0750</v>
      </c>
      <c r="N115" s="79"/>
      <c r="P115" s="80"/>
      <c r="Q115" s="60"/>
      <c r="R115" s="34"/>
    </row>
    <row r="116" spans="1:18" x14ac:dyDescent="0.2">
      <c r="A116" s="394"/>
      <c r="B116" s="63" t="s">
        <v>441</v>
      </c>
      <c r="C116" s="395" t="s">
        <v>315</v>
      </c>
      <c r="D116" s="436"/>
      <c r="E116" s="435"/>
      <c r="F116" s="88"/>
      <c r="G116" s="56">
        <f>SUMIF(JournalsA!D$14:D$920,TrialBalanceA!M116,JournalsA!J$14:J$920)+SUMIF(JournalsA!E$14:E$920,TrialBalanceA!M116,JournalsA!J$14:J$920)</f>
        <v>0</v>
      </c>
      <c r="H116" s="443"/>
      <c r="I116" s="411">
        <f t="shared" si="19"/>
        <v>0</v>
      </c>
      <c r="J116" s="84"/>
      <c r="K116" s="57">
        <f t="shared" si="11"/>
        <v>0</v>
      </c>
      <c r="M116" s="197" t="str">
        <f t="shared" si="12"/>
        <v>3000/080Donations</v>
      </c>
      <c r="N116" s="79"/>
      <c r="P116" s="80"/>
      <c r="Q116" s="60"/>
      <c r="R116" s="34"/>
    </row>
    <row r="117" spans="1:18" x14ac:dyDescent="0.2">
      <c r="A117" s="394"/>
      <c r="B117" s="63" t="s">
        <v>442</v>
      </c>
      <c r="C117" s="395" t="s">
        <v>443</v>
      </c>
      <c r="D117" s="436"/>
      <c r="E117" s="435"/>
      <c r="F117" s="88"/>
      <c r="G117" s="56">
        <f>SUMIF(JournalsA!D$14:D$920,TrialBalanceA!M117,JournalsA!J$14:J$920)+SUMIF(JournalsA!E$14:E$920,TrialBalanceA!M117,JournalsA!J$14:J$920)</f>
        <v>0</v>
      </c>
      <c r="H117" s="443"/>
      <c r="I117" s="411">
        <f t="shared" si="19"/>
        <v>0</v>
      </c>
      <c r="J117" s="84"/>
      <c r="K117" s="57">
        <f t="shared" si="11"/>
        <v>0</v>
      </c>
      <c r="M117" s="197" t="str">
        <f t="shared" si="12"/>
        <v>3000/090Entertainment expenses</v>
      </c>
      <c r="N117" s="79"/>
      <c r="P117" s="80"/>
      <c r="Q117" s="60"/>
      <c r="R117" s="34"/>
    </row>
    <row r="118" spans="1:18" x14ac:dyDescent="0.2">
      <c r="A118" s="394"/>
      <c r="B118" s="65" t="s">
        <v>76</v>
      </c>
      <c r="C118" s="402" t="s">
        <v>392</v>
      </c>
      <c r="D118" s="428"/>
      <c r="E118" s="435"/>
      <c r="F118" s="88"/>
      <c r="G118" s="56">
        <f>SUMIF(JournalsA!D$14:D$920,TrialBalanceA!M118,JournalsA!J$14:J$920)+SUMIF(JournalsA!E$14:E$920,TrialBalanceA!M118,JournalsA!J$14:J$920)</f>
        <v>0</v>
      </c>
      <c r="H118" s="443"/>
      <c r="I118" s="411">
        <f t="shared" si="19"/>
        <v>0</v>
      </c>
      <c r="J118" s="84"/>
      <c r="K118" s="57">
        <f t="shared" si="11"/>
        <v>0</v>
      </c>
      <c r="M118" s="197" t="str">
        <f t="shared" si="12"/>
        <v>3000/095Fines</v>
      </c>
      <c r="N118" s="79"/>
      <c r="P118" s="80"/>
      <c r="Q118" s="60"/>
      <c r="R118" s="34"/>
    </row>
    <row r="119" spans="1:18" x14ac:dyDescent="0.2">
      <c r="A119" s="394"/>
      <c r="B119" s="63" t="s">
        <v>444</v>
      </c>
      <c r="C119" s="395" t="s">
        <v>445</v>
      </c>
      <c r="D119" s="436"/>
      <c r="E119" s="435"/>
      <c r="F119" s="88"/>
      <c r="G119" s="56">
        <f>SUMIF(JournalsA!D$14:D$920,TrialBalanceA!M119,JournalsA!J$14:J$920)+SUMIF(JournalsA!E$14:E$920,TrialBalanceA!M119,JournalsA!J$14:J$920)</f>
        <v>0</v>
      </c>
      <c r="H119" s="443"/>
      <c r="I119" s="411">
        <f t="shared" si="19"/>
        <v>0</v>
      </c>
      <c r="J119" s="84"/>
      <c r="K119" s="57">
        <f t="shared" si="11"/>
        <v>0</v>
      </c>
      <c r="M119" s="197" t="str">
        <f t="shared" si="12"/>
        <v>3000/100General expenses</v>
      </c>
      <c r="N119" s="79"/>
      <c r="P119" s="80"/>
      <c r="Q119" s="60"/>
      <c r="R119" s="34"/>
    </row>
    <row r="120" spans="1:18" x14ac:dyDescent="0.2">
      <c r="A120" s="394"/>
      <c r="B120" s="63" t="s">
        <v>363</v>
      </c>
      <c r="C120" s="396" t="s">
        <v>994</v>
      </c>
      <c r="D120" s="428"/>
      <c r="E120" s="435"/>
      <c r="F120" s="88"/>
      <c r="G120" s="56">
        <f>SUMIF(JournalsA!D$14:D$920,TrialBalanceA!M120,JournalsA!J$14:J$920)+SUMIF(JournalsA!E$14:E$920,TrialBalanceA!M120,JournalsA!J$14:J$920)</f>
        <v>0</v>
      </c>
      <c r="H120" s="443"/>
      <c r="I120" s="411">
        <f t="shared" si="19"/>
        <v>0</v>
      </c>
      <c r="J120" s="84"/>
      <c r="K120" s="57">
        <f t="shared" si="11"/>
        <v>0</v>
      </c>
      <c r="M120" s="197" t="str">
        <f t="shared" si="12"/>
        <v>3000/110Legal expenses - tax deductible</v>
      </c>
      <c r="N120" s="79"/>
      <c r="P120" s="80"/>
      <c r="Q120" s="60"/>
      <c r="R120" s="34"/>
    </row>
    <row r="121" spans="1:18" x14ac:dyDescent="0.2">
      <c r="A121" s="394"/>
      <c r="B121" s="63" t="s">
        <v>523</v>
      </c>
      <c r="C121" s="396" t="s">
        <v>995</v>
      </c>
      <c r="D121" s="428"/>
      <c r="E121" s="435"/>
      <c r="F121" s="88"/>
      <c r="G121" s="56">
        <f>SUMIF(JournalsA!D$14:D$920,TrialBalanceA!M121,JournalsA!J$14:J$920)+SUMIF(JournalsA!E$14:E$920,TrialBalanceA!M121,JournalsA!J$14:J$920)</f>
        <v>0</v>
      </c>
      <c r="H121" s="443"/>
      <c r="I121" s="411">
        <f t="shared" si="19"/>
        <v>0</v>
      </c>
      <c r="J121" s="84"/>
      <c r="K121" s="57">
        <f t="shared" si="11"/>
        <v>0</v>
      </c>
      <c r="M121" s="197" t="str">
        <f t="shared" si="12"/>
        <v>3000/111Legal expenses - non deductible</v>
      </c>
      <c r="N121" s="79"/>
      <c r="P121" s="80"/>
      <c r="Q121" s="60"/>
      <c r="R121" s="34"/>
    </row>
    <row r="122" spans="1:18" x14ac:dyDescent="0.2">
      <c r="A122" s="394"/>
      <c r="B122" s="63" t="s">
        <v>364</v>
      </c>
      <c r="C122" s="395" t="s">
        <v>365</v>
      </c>
      <c r="D122" s="436"/>
      <c r="E122" s="435"/>
      <c r="F122" s="88"/>
      <c r="G122" s="56">
        <f>SUMIF(JournalsA!D$14:D$920,TrialBalanceA!M122,JournalsA!J$14:J$920)+SUMIF(JournalsA!E$14:E$920,TrialBalanceA!M122,JournalsA!J$14:J$920)</f>
        <v>0</v>
      </c>
      <c r="H122" s="443"/>
      <c r="I122" s="411">
        <f t="shared" si="19"/>
        <v>0</v>
      </c>
      <c r="J122" s="84"/>
      <c r="K122" s="57">
        <f t="shared" si="11"/>
        <v>0</v>
      </c>
      <c r="M122" s="197" t="str">
        <f t="shared" si="12"/>
        <v>3000/120Printing and stationary</v>
      </c>
      <c r="N122" s="79"/>
      <c r="P122" s="80"/>
      <c r="Q122" s="60"/>
      <c r="R122" s="34"/>
    </row>
    <row r="123" spans="1:18" x14ac:dyDescent="0.2">
      <c r="A123" s="394"/>
      <c r="B123" s="63" t="s">
        <v>366</v>
      </c>
      <c r="C123" s="395" t="s">
        <v>316</v>
      </c>
      <c r="D123" s="436"/>
      <c r="E123" s="435"/>
      <c r="F123" s="88"/>
      <c r="G123" s="56">
        <f>SUMIF(JournalsA!D$14:D$920,TrialBalanceA!M123,JournalsA!J$14:J$920)+SUMIF(JournalsA!E$14:E$920,TrialBalanceA!M123,JournalsA!J$14:J$920)</f>
        <v>0</v>
      </c>
      <c r="H123" s="443"/>
      <c r="I123" s="411">
        <f t="shared" si="19"/>
        <v>0</v>
      </c>
      <c r="J123" s="84"/>
      <c r="K123" s="57">
        <f t="shared" si="11"/>
        <v>0</v>
      </c>
      <c r="M123" s="197" t="str">
        <f t="shared" si="12"/>
        <v>3000/130Refreshments</v>
      </c>
      <c r="N123" s="79"/>
      <c r="P123" s="80"/>
      <c r="Q123" s="60"/>
      <c r="R123" s="34"/>
    </row>
    <row r="124" spans="1:18" x14ac:dyDescent="0.2">
      <c r="A124" s="394"/>
      <c r="B124" s="63" t="s">
        <v>367</v>
      </c>
      <c r="C124" s="395" t="s">
        <v>84</v>
      </c>
      <c r="D124" s="436"/>
      <c r="E124" s="435"/>
      <c r="F124" s="88"/>
      <c r="G124" s="56">
        <f>SUMIF(JournalsA!D$14:D$920,TrialBalanceA!M124,JournalsA!J$14:J$920)+SUMIF(JournalsA!E$14:E$920,TrialBalanceA!M124,JournalsA!J$14:J$920)</f>
        <v>0</v>
      </c>
      <c r="H124" s="443"/>
      <c r="I124" s="411">
        <f t="shared" si="19"/>
        <v>0</v>
      </c>
      <c r="J124" s="84"/>
      <c r="K124" s="57">
        <f t="shared" si="11"/>
        <v>0</v>
      </c>
      <c r="M124" s="197" t="str">
        <f t="shared" si="12"/>
        <v>3000/140Salaries</v>
      </c>
      <c r="N124" s="79"/>
      <c r="P124" s="80"/>
      <c r="Q124" s="60"/>
      <c r="R124" s="34"/>
    </row>
    <row r="125" spans="1:18" x14ac:dyDescent="0.2">
      <c r="A125" s="394"/>
      <c r="B125" s="114" t="s">
        <v>368</v>
      </c>
      <c r="C125" s="395" t="s">
        <v>88</v>
      </c>
      <c r="D125" s="436"/>
      <c r="E125" s="435"/>
      <c r="F125" s="88"/>
      <c r="G125" s="56">
        <f>SUMIF(JournalsA!D$14:D$920,TrialBalanceA!M125,JournalsA!J$14:J$920)+SUMIF(JournalsA!E$14:E$920,TrialBalanceA!M125,JournalsA!J$14:J$920)</f>
        <v>0</v>
      </c>
      <c r="H125" s="443"/>
      <c r="I125" s="411">
        <f t="shared" si="19"/>
        <v>0</v>
      </c>
      <c r="J125" s="84"/>
      <c r="K125" s="57">
        <f t="shared" si="11"/>
        <v>0</v>
      </c>
      <c r="M125" s="197" t="str">
        <f t="shared" si="12"/>
        <v>3000/141Casual wages</v>
      </c>
      <c r="N125" s="79"/>
      <c r="P125" s="80"/>
      <c r="Q125" s="60"/>
      <c r="R125" s="34"/>
    </row>
    <row r="126" spans="1:18" x14ac:dyDescent="0.2">
      <c r="A126" s="394"/>
      <c r="B126" s="63" t="s">
        <v>369</v>
      </c>
      <c r="C126" s="395" t="s">
        <v>317</v>
      </c>
      <c r="D126" s="436"/>
      <c r="E126" s="435"/>
      <c r="F126" s="88"/>
      <c r="G126" s="56">
        <f>SUMIF(JournalsA!D$14:D$920,TrialBalanceA!M126,JournalsA!J$14:J$920)+SUMIF(JournalsA!E$14:E$920,TrialBalanceA!M126,JournalsA!J$14:J$920)</f>
        <v>0</v>
      </c>
      <c r="H126" s="443"/>
      <c r="I126" s="411">
        <f t="shared" si="19"/>
        <v>0</v>
      </c>
      <c r="J126" s="84"/>
      <c r="K126" s="57">
        <f t="shared" si="11"/>
        <v>0</v>
      </c>
      <c r="M126" s="197" t="str">
        <f t="shared" si="12"/>
        <v>3000/150Security</v>
      </c>
      <c r="N126" s="79"/>
      <c r="P126" s="80"/>
      <c r="Q126" s="60"/>
      <c r="R126" s="34"/>
    </row>
    <row r="127" spans="1:18" x14ac:dyDescent="0.2">
      <c r="A127" s="394"/>
      <c r="B127" s="63" t="s">
        <v>370</v>
      </c>
      <c r="C127" s="398" t="s">
        <v>937</v>
      </c>
      <c r="D127" s="438"/>
      <c r="E127" s="435"/>
      <c r="F127" s="88"/>
      <c r="G127" s="56">
        <f>SUMIF(JournalsA!D$14:D$920,TrialBalanceA!M127,JournalsA!J$14:J$920)+SUMIF(JournalsA!E$14:E$920,TrialBalanceA!M127,JournalsA!J$14:J$920)</f>
        <v>0</v>
      </c>
      <c r="H127" s="443"/>
      <c r="I127" s="411">
        <f t="shared" si="19"/>
        <v>0</v>
      </c>
      <c r="J127" s="84"/>
      <c r="K127" s="57">
        <f t="shared" si="11"/>
        <v>0</v>
      </c>
      <c r="M127" s="197" t="str">
        <f t="shared" si="12"/>
        <v>3000/160Subscriptions and membership fees</v>
      </c>
      <c r="N127" s="79"/>
      <c r="P127" s="80"/>
      <c r="Q127" s="60"/>
      <c r="R127" s="34"/>
    </row>
    <row r="128" spans="1:18" x14ac:dyDescent="0.2">
      <c r="A128" s="394"/>
      <c r="B128" s="63" t="s">
        <v>397</v>
      </c>
      <c r="C128" s="398" t="s">
        <v>996</v>
      </c>
      <c r="D128" s="436"/>
      <c r="E128" s="435"/>
      <c r="F128" s="88"/>
      <c r="G128" s="56">
        <f>SUMIF(JournalsA!D$14:D$920,TrialBalanceA!M128,JournalsA!J$14:J$920)+SUMIF(JournalsA!E$14:E$920,TrialBalanceA!M128,JournalsA!J$14:J$920)</f>
        <v>0</v>
      </c>
      <c r="H128" s="443"/>
      <c r="I128" s="411">
        <f t="shared" si="19"/>
        <v>0</v>
      </c>
      <c r="J128" s="84"/>
      <c r="K128" s="57">
        <f t="shared" si="11"/>
        <v>0</v>
      </c>
      <c r="M128" s="197" t="str">
        <f t="shared" si="12"/>
        <v>3000/170Penalties and interest - SARS</v>
      </c>
      <c r="N128" s="79"/>
      <c r="P128" s="80"/>
      <c r="Q128" s="60"/>
      <c r="R128" s="34"/>
    </row>
    <row r="129" spans="1:18" x14ac:dyDescent="0.2">
      <c r="A129" s="394"/>
      <c r="B129" s="63" t="s">
        <v>339</v>
      </c>
      <c r="C129" s="430"/>
      <c r="D129" s="435"/>
      <c r="E129" s="435"/>
      <c r="F129" s="88"/>
      <c r="G129" s="56">
        <f>SUMIF(JournalsA!D$14:D$920,TrialBalanceA!M129,JournalsA!J$14:J$920)+SUMIF(JournalsA!E$14:E$920,TrialBalanceA!M129,JournalsA!J$14:J$920)</f>
        <v>0</v>
      </c>
      <c r="H129" s="443"/>
      <c r="I129" s="411">
        <f t="shared" si="19"/>
        <v>0</v>
      </c>
      <c r="J129" s="84"/>
      <c r="K129" s="57">
        <f t="shared" si="11"/>
        <v>0</v>
      </c>
      <c r="M129" s="197" t="str">
        <f t="shared" si="12"/>
        <v>3000/180</v>
      </c>
      <c r="N129" s="79"/>
      <c r="P129" s="80"/>
      <c r="Q129" s="60"/>
      <c r="R129" s="34"/>
    </row>
    <row r="130" spans="1:18" x14ac:dyDescent="0.2">
      <c r="A130" s="394"/>
      <c r="B130" s="63" t="s">
        <v>340</v>
      </c>
      <c r="C130" s="430"/>
      <c r="D130" s="435"/>
      <c r="E130" s="435"/>
      <c r="F130" s="88"/>
      <c r="G130" s="56">
        <f>SUMIF(JournalsA!D$14:D$920,TrialBalanceA!M130,JournalsA!J$14:J$920)+SUMIF(JournalsA!E$14:E$920,TrialBalanceA!M130,JournalsA!J$14:J$920)</f>
        <v>0</v>
      </c>
      <c r="H130" s="443"/>
      <c r="I130" s="411">
        <f t="shared" si="19"/>
        <v>0</v>
      </c>
      <c r="J130" s="84"/>
      <c r="K130" s="57">
        <f t="shared" si="11"/>
        <v>0</v>
      </c>
      <c r="M130" s="197" t="str">
        <f t="shared" si="12"/>
        <v>3000/190</v>
      </c>
      <c r="N130" s="79"/>
      <c r="P130" s="80"/>
      <c r="Q130" s="60"/>
      <c r="R130" s="34"/>
    </row>
    <row r="131" spans="1:18" x14ac:dyDescent="0.2">
      <c r="A131" s="394"/>
      <c r="B131" s="63" t="s">
        <v>341</v>
      </c>
      <c r="C131" s="430"/>
      <c r="D131" s="428"/>
      <c r="E131" s="435"/>
      <c r="F131" s="88"/>
      <c r="G131" s="56">
        <f>SUMIF(JournalsA!D$14:D$920,TrialBalanceA!M131,JournalsA!J$14:J$920)+SUMIF(JournalsA!E$14:E$920,TrialBalanceA!M131,JournalsA!J$14:J$920)</f>
        <v>0</v>
      </c>
      <c r="H131" s="443"/>
      <c r="I131" s="411">
        <f t="shared" si="19"/>
        <v>0</v>
      </c>
      <c r="J131" s="84"/>
      <c r="K131" s="57">
        <f t="shared" si="11"/>
        <v>0</v>
      </c>
      <c r="M131" s="197" t="str">
        <f t="shared" si="12"/>
        <v>3000/200</v>
      </c>
      <c r="N131" s="79"/>
      <c r="P131" s="80"/>
      <c r="Q131" s="60"/>
      <c r="R131" s="34"/>
    </row>
    <row r="132" spans="1:18" x14ac:dyDescent="0.2">
      <c r="A132" s="394"/>
      <c r="B132" s="63" t="s">
        <v>342</v>
      </c>
      <c r="C132" s="431"/>
      <c r="D132" s="428"/>
      <c r="E132" s="435"/>
      <c r="F132" s="88"/>
      <c r="G132" s="56">
        <f>SUMIF(JournalsA!D$14:D$920,TrialBalanceA!M132,JournalsA!J$14:J$920)+SUMIF(JournalsA!E$14:E$920,TrialBalanceA!M132,JournalsA!J$14:J$920)</f>
        <v>0</v>
      </c>
      <c r="H132" s="443"/>
      <c r="I132" s="411">
        <f t="shared" si="19"/>
        <v>0</v>
      </c>
      <c r="J132" s="84"/>
      <c r="K132" s="57">
        <f t="shared" si="11"/>
        <v>0</v>
      </c>
      <c r="M132" s="197" t="str">
        <f t="shared" si="12"/>
        <v>3000/210</v>
      </c>
      <c r="N132" s="79"/>
      <c r="P132" s="80"/>
      <c r="Q132" s="60"/>
      <c r="R132" s="34"/>
    </row>
    <row r="133" spans="1:18" x14ac:dyDescent="0.2">
      <c r="A133" s="394"/>
      <c r="B133" s="63" t="s">
        <v>343</v>
      </c>
      <c r="C133" s="430"/>
      <c r="D133" s="428"/>
      <c r="E133" s="435"/>
      <c r="F133" s="88"/>
      <c r="G133" s="56">
        <f>SUMIF(JournalsA!D$14:D$920,TrialBalanceA!M133,JournalsA!J$14:J$920)+SUMIF(JournalsA!E$14:E$920,TrialBalanceA!M133,JournalsA!J$14:J$920)</f>
        <v>0</v>
      </c>
      <c r="H133" s="443"/>
      <c r="I133" s="411">
        <f t="shared" si="19"/>
        <v>0</v>
      </c>
      <c r="J133" s="84"/>
      <c r="K133" s="57">
        <f t="shared" si="11"/>
        <v>0</v>
      </c>
      <c r="M133" s="197" t="str">
        <f t="shared" si="12"/>
        <v>3000/220</v>
      </c>
      <c r="N133" s="79"/>
      <c r="P133" s="80"/>
      <c r="Q133" s="60"/>
      <c r="R133" s="34"/>
    </row>
    <row r="134" spans="1:18" x14ac:dyDescent="0.2">
      <c r="A134" s="394"/>
      <c r="B134" s="114" t="s">
        <v>618</v>
      </c>
      <c r="C134" s="431"/>
      <c r="D134" s="428"/>
      <c r="E134" s="435"/>
      <c r="F134" s="88"/>
      <c r="G134" s="56">
        <f>SUMIF(JournalsA!D$14:D$920,TrialBalanceA!M134,JournalsA!J$14:J$920)+SUMIF(JournalsA!E$14:E$920,TrialBalanceA!M134,JournalsA!J$14:J$920)</f>
        <v>0</v>
      </c>
      <c r="H134" s="443"/>
      <c r="I134" s="411">
        <f t="shared" si="19"/>
        <v>0</v>
      </c>
      <c r="J134" s="84"/>
      <c r="K134" s="57">
        <f t="shared" si="11"/>
        <v>0</v>
      </c>
      <c r="M134" s="197" t="str">
        <f t="shared" si="12"/>
        <v>3000/230</v>
      </c>
      <c r="N134" s="79"/>
      <c r="P134" s="80"/>
      <c r="Q134" s="60"/>
      <c r="R134" s="34"/>
    </row>
    <row r="135" spans="1:18" x14ac:dyDescent="0.2">
      <c r="A135" s="394"/>
      <c r="B135" s="114" t="s">
        <v>619</v>
      </c>
      <c r="C135" s="431"/>
      <c r="D135" s="428"/>
      <c r="E135" s="435"/>
      <c r="F135" s="88"/>
      <c r="G135" s="56">
        <f>SUMIF(JournalsA!D$14:D$920,TrialBalanceA!M135,JournalsA!J$14:J$920)+SUMIF(JournalsA!E$14:E$920,TrialBalanceA!M135,JournalsA!J$14:J$920)</f>
        <v>0</v>
      </c>
      <c r="H135" s="443"/>
      <c r="I135" s="411">
        <f t="shared" ref="I135:I170" si="23">ROUND(D135-E135+G135+F135,0)</f>
        <v>0</v>
      </c>
      <c r="J135" s="84"/>
      <c r="K135" s="57">
        <f t="shared" si="11"/>
        <v>0</v>
      </c>
      <c r="M135" s="197" t="str">
        <f t="shared" si="12"/>
        <v>3000/240</v>
      </c>
      <c r="N135" s="79"/>
      <c r="P135" s="80"/>
      <c r="Q135" s="60"/>
      <c r="R135" s="34"/>
    </row>
    <row r="136" spans="1:18" x14ac:dyDescent="0.2">
      <c r="A136" s="394"/>
      <c r="B136" s="114" t="s">
        <v>620</v>
      </c>
      <c r="C136" s="431"/>
      <c r="D136" s="428"/>
      <c r="E136" s="435"/>
      <c r="F136" s="88"/>
      <c r="G136" s="56">
        <f>SUMIF(JournalsA!D$14:D$920,TrialBalanceA!M136,JournalsA!J$14:J$920)+SUMIF(JournalsA!E$14:E$920,TrialBalanceA!M136,JournalsA!J$14:J$920)</f>
        <v>0</v>
      </c>
      <c r="H136" s="443"/>
      <c r="I136" s="411">
        <f t="shared" si="23"/>
        <v>0</v>
      </c>
      <c r="J136" s="84"/>
      <c r="K136" s="57">
        <f t="shared" si="11"/>
        <v>0</v>
      </c>
      <c r="M136" s="197" t="str">
        <f t="shared" si="12"/>
        <v>3000/250</v>
      </c>
      <c r="N136" s="79"/>
      <c r="P136" s="80"/>
      <c r="Q136" s="60"/>
      <c r="R136" s="34"/>
    </row>
    <row r="137" spans="1:18" x14ac:dyDescent="0.2">
      <c r="A137" s="394"/>
      <c r="B137" s="114" t="s">
        <v>621</v>
      </c>
      <c r="C137" s="431"/>
      <c r="D137" s="428"/>
      <c r="E137" s="435"/>
      <c r="F137" s="88"/>
      <c r="G137" s="56">
        <f>SUMIF(JournalsA!D$14:D$920,TrialBalanceA!M137,JournalsA!J$14:J$920)+SUMIF(JournalsA!E$14:E$920,TrialBalanceA!M137,JournalsA!J$14:J$920)</f>
        <v>0</v>
      </c>
      <c r="H137" s="443"/>
      <c r="I137" s="411">
        <f t="shared" si="23"/>
        <v>0</v>
      </c>
      <c r="J137" s="84"/>
      <c r="K137" s="57">
        <f t="shared" ref="K137:K206" si="24">ROUND(SUM(A137),0)</f>
        <v>0</v>
      </c>
      <c r="M137" s="197" t="str">
        <f t="shared" ref="M137:M206" si="25">CONCATENATE(B137,C137)</f>
        <v>3000/260</v>
      </c>
      <c r="N137" s="79"/>
      <c r="P137" s="80"/>
      <c r="Q137" s="60"/>
      <c r="R137" s="34"/>
    </row>
    <row r="138" spans="1:18" x14ac:dyDescent="0.2">
      <c r="A138" s="394"/>
      <c r="B138" s="114" t="s">
        <v>622</v>
      </c>
      <c r="C138" s="396" t="s">
        <v>1484</v>
      </c>
      <c r="D138" s="435"/>
      <c r="E138" s="435"/>
      <c r="F138" s="88"/>
      <c r="G138" s="56">
        <f>SUMIF(JournalsA!D$14:D$920,TrialBalanceA!M138,JournalsA!J$14:J$920)+SUMIF(JournalsA!E$14:E$920,TrialBalanceA!M138,JournalsA!J$14:J$920)</f>
        <v>0</v>
      </c>
      <c r="H138" s="443"/>
      <c r="I138" s="411">
        <f t="shared" si="23"/>
        <v>0</v>
      </c>
      <c r="J138" s="84"/>
      <c r="K138" s="57">
        <f t="shared" si="24"/>
        <v>0</v>
      </c>
      <c r="M138" s="197" t="str">
        <f t="shared" si="25"/>
        <v>3000/270Amortisation of prepaid lease agreement</v>
      </c>
      <c r="N138" s="79"/>
      <c r="P138" s="80"/>
      <c r="Q138" s="60"/>
      <c r="R138" s="34"/>
    </row>
    <row r="139" spans="1:18" x14ac:dyDescent="0.2">
      <c r="A139" s="394"/>
      <c r="B139" s="114" t="s">
        <v>1487</v>
      </c>
      <c r="C139" s="398" t="s">
        <v>1488</v>
      </c>
      <c r="D139" s="435"/>
      <c r="E139" s="435"/>
      <c r="F139" s="88"/>
      <c r="G139" s="56">
        <f>SUMIF(JournalsA!D$14:D$920,TrialBalanceA!M139,JournalsA!J$14:J$920)+SUMIF(JournalsA!E$14:E$920,TrialBalanceA!M139,JournalsA!J$14:J$920)</f>
        <v>0</v>
      </c>
      <c r="H139" s="443"/>
      <c r="I139" s="411">
        <f t="shared" ref="I139" si="26">ROUND(D139-E139+G139+F139,0)</f>
        <v>0</v>
      </c>
      <c r="J139" s="84"/>
      <c r="K139" s="57">
        <f t="shared" ref="K139" si="27">ROUND(SUM(A139),0)</f>
        <v>0</v>
      </c>
      <c r="M139" s="197" t="str">
        <f t="shared" ref="M139" si="28">CONCATENATE(B139,C139)</f>
        <v>3000/280Amortisation of goodwill</v>
      </c>
      <c r="N139" s="79"/>
      <c r="P139" s="80"/>
      <c r="Q139" s="60"/>
      <c r="R139" s="34"/>
    </row>
    <row r="140" spans="1:18" x14ac:dyDescent="0.2">
      <c r="A140" s="394"/>
      <c r="B140" s="63" t="s">
        <v>371</v>
      </c>
      <c r="C140" s="397" t="s">
        <v>140</v>
      </c>
      <c r="D140" s="437"/>
      <c r="E140" s="435"/>
      <c r="F140" s="88"/>
      <c r="G140" s="56">
        <f>SUMIF(JournalsA!D$14:D$920,TrialBalanceA!M140,JournalsA!J$14:J$920)+SUMIF(JournalsA!E$14:E$920,TrialBalanceA!M140,JournalsA!J$14:J$920)</f>
        <v>0</v>
      </c>
      <c r="H140" s="443"/>
      <c r="I140" s="411">
        <f t="shared" si="23"/>
        <v>0</v>
      </c>
      <c r="J140" s="84"/>
      <c r="K140" s="57">
        <f t="shared" si="24"/>
        <v>0</v>
      </c>
      <c r="M140" s="197" t="str">
        <f t="shared" si="25"/>
        <v>4700/000FINANCE COSTS</v>
      </c>
      <c r="N140" s="79"/>
      <c r="P140" s="80"/>
      <c r="Q140" s="60"/>
      <c r="R140" s="34"/>
    </row>
    <row r="141" spans="1:18" x14ac:dyDescent="0.2">
      <c r="A141" s="394"/>
      <c r="B141" s="63" t="s">
        <v>372</v>
      </c>
      <c r="C141" s="397" t="s">
        <v>373</v>
      </c>
      <c r="D141" s="437"/>
      <c r="E141" s="435"/>
      <c r="F141" s="88"/>
      <c r="G141" s="56">
        <f>SUMIF(JournalsA!D$14:D$920,TrialBalanceA!M141,JournalsA!J$14:J$920)+SUMIF(JournalsA!E$14:E$920,TrialBalanceA!M141,JournalsA!J$14:J$920)</f>
        <v>0</v>
      </c>
      <c r="H141" s="443"/>
      <c r="I141" s="411">
        <f t="shared" si="23"/>
        <v>0</v>
      </c>
      <c r="J141" s="84"/>
      <c r="K141" s="57">
        <f t="shared" si="24"/>
        <v>0</v>
      </c>
      <c r="M141" s="197" t="str">
        <f t="shared" si="25"/>
        <v>4700/010Interest paid---------------------------</v>
      </c>
      <c r="N141" s="79"/>
      <c r="P141" s="80"/>
      <c r="Q141" s="60"/>
      <c r="R141" s="34"/>
    </row>
    <row r="142" spans="1:18" x14ac:dyDescent="0.2">
      <c r="A142" s="394"/>
      <c r="B142" s="63" t="s">
        <v>374</v>
      </c>
      <c r="C142" s="430"/>
      <c r="D142" s="435"/>
      <c r="E142" s="435"/>
      <c r="F142" s="88"/>
      <c r="G142" s="56">
        <f>SUMIF(JournalsA!D$14:D$920,TrialBalanceA!M142,JournalsA!J$14:J$920)+SUMIF(JournalsA!E$14:E$920,TrialBalanceA!M142,JournalsA!J$14:J$920)</f>
        <v>0</v>
      </c>
      <c r="H142" s="443"/>
      <c r="I142" s="411">
        <f t="shared" si="23"/>
        <v>0</v>
      </c>
      <c r="J142" s="84"/>
      <c r="K142" s="57">
        <f t="shared" si="24"/>
        <v>0</v>
      </c>
      <c r="M142" s="197" t="str">
        <f t="shared" si="25"/>
        <v>4700/011</v>
      </c>
      <c r="N142" s="79"/>
      <c r="P142" s="80"/>
      <c r="Q142" s="60"/>
      <c r="R142" s="34"/>
    </row>
    <row r="143" spans="1:18" x14ac:dyDescent="0.2">
      <c r="A143" s="394"/>
      <c r="B143" s="63" t="s">
        <v>375</v>
      </c>
      <c r="C143" s="431"/>
      <c r="D143" s="435"/>
      <c r="E143" s="435"/>
      <c r="F143" s="88"/>
      <c r="G143" s="56">
        <f>SUMIF(JournalsA!D$14:D$920,TrialBalanceA!M143,JournalsA!J$14:J$920)+SUMIF(JournalsA!E$14:E$920,TrialBalanceA!M143,JournalsA!J$14:J$920)</f>
        <v>0</v>
      </c>
      <c r="H143" s="443"/>
      <c r="I143" s="411">
        <f t="shared" si="23"/>
        <v>0</v>
      </c>
      <c r="J143" s="84"/>
      <c r="K143" s="57">
        <f t="shared" si="24"/>
        <v>0</v>
      </c>
      <c r="M143" s="197" t="str">
        <f t="shared" si="25"/>
        <v>4700/012</v>
      </c>
      <c r="N143" s="79"/>
      <c r="P143" s="80"/>
      <c r="Q143" s="60"/>
      <c r="R143" s="34"/>
    </row>
    <row r="144" spans="1:18" x14ac:dyDescent="0.2">
      <c r="A144" s="394"/>
      <c r="B144" s="63" t="s">
        <v>376</v>
      </c>
      <c r="C144" s="431"/>
      <c r="D144" s="435"/>
      <c r="E144" s="435"/>
      <c r="F144" s="88"/>
      <c r="G144" s="56">
        <f>SUMIF(JournalsA!D$14:D$920,TrialBalanceA!M144,JournalsA!J$14:J$920)+SUMIF(JournalsA!E$14:E$920,TrialBalanceA!M144,JournalsA!J$14:J$920)</f>
        <v>0</v>
      </c>
      <c r="H144" s="443"/>
      <c r="I144" s="411">
        <f t="shared" si="23"/>
        <v>0</v>
      </c>
      <c r="J144" s="84"/>
      <c r="K144" s="57">
        <f t="shared" si="24"/>
        <v>0</v>
      </c>
      <c r="M144" s="197" t="str">
        <f t="shared" si="25"/>
        <v>4700/013</v>
      </c>
      <c r="N144" s="79"/>
      <c r="P144" s="80"/>
      <c r="Q144" s="60"/>
      <c r="R144" s="34"/>
    </row>
    <row r="145" spans="1:18" x14ac:dyDescent="0.2">
      <c r="A145" s="394"/>
      <c r="B145" s="63" t="s">
        <v>377</v>
      </c>
      <c r="C145" s="431"/>
      <c r="D145" s="435"/>
      <c r="E145" s="435"/>
      <c r="F145" s="88"/>
      <c r="G145" s="56">
        <f>SUMIF(JournalsA!D$14:D$920,TrialBalanceA!M145,JournalsA!J$14:J$920)+SUMIF(JournalsA!E$14:E$920,TrialBalanceA!M145,JournalsA!J$14:J$920)</f>
        <v>0</v>
      </c>
      <c r="H145" s="443"/>
      <c r="I145" s="411">
        <f t="shared" si="23"/>
        <v>0</v>
      </c>
      <c r="J145" s="84"/>
      <c r="K145" s="57">
        <f t="shared" si="24"/>
        <v>0</v>
      </c>
      <c r="M145" s="197" t="str">
        <f t="shared" si="25"/>
        <v>4700/014</v>
      </c>
      <c r="N145" s="79"/>
      <c r="P145" s="80"/>
      <c r="Q145" s="60"/>
      <c r="R145" s="34"/>
    </row>
    <row r="146" spans="1:18" x14ac:dyDescent="0.2">
      <c r="A146" s="394"/>
      <c r="B146" s="63" t="s">
        <v>592</v>
      </c>
      <c r="C146" s="431"/>
      <c r="D146" s="435"/>
      <c r="E146" s="435"/>
      <c r="F146" s="88"/>
      <c r="G146" s="56">
        <f>SUMIF(JournalsA!D$14:D$920,TrialBalanceA!M146,JournalsA!J$14:J$920)+SUMIF(JournalsA!E$14:E$920,TrialBalanceA!M146,JournalsA!J$14:J$920)</f>
        <v>0</v>
      </c>
      <c r="H146" s="443"/>
      <c r="I146" s="411">
        <f t="shared" si="23"/>
        <v>0</v>
      </c>
      <c r="J146" s="84"/>
      <c r="K146" s="57">
        <f t="shared" si="24"/>
        <v>0</v>
      </c>
      <c r="M146" s="197" t="str">
        <f t="shared" si="25"/>
        <v>4700/015</v>
      </c>
      <c r="N146" s="79"/>
      <c r="P146" s="80"/>
      <c r="Q146" s="60"/>
      <c r="R146" s="34"/>
    </row>
    <row r="147" spans="1:18" x14ac:dyDescent="0.2">
      <c r="A147" s="394"/>
      <c r="B147" s="63" t="s">
        <v>603</v>
      </c>
      <c r="C147" s="431"/>
      <c r="D147" s="435"/>
      <c r="E147" s="435"/>
      <c r="F147" s="88"/>
      <c r="G147" s="56">
        <f>SUMIF(JournalsA!D$14:D$920,TrialBalanceA!M147,JournalsA!J$14:J$920)+SUMIF(JournalsA!E$14:E$920,TrialBalanceA!M147,JournalsA!J$14:J$920)</f>
        <v>0</v>
      </c>
      <c r="H147" s="443"/>
      <c r="I147" s="411">
        <f t="shared" si="23"/>
        <v>0</v>
      </c>
      <c r="J147" s="84"/>
      <c r="K147" s="57">
        <f t="shared" si="24"/>
        <v>0</v>
      </c>
      <c r="M147" s="197" t="str">
        <f t="shared" si="25"/>
        <v>4700/016</v>
      </c>
      <c r="N147" s="79"/>
      <c r="P147" s="80"/>
      <c r="Q147" s="60"/>
      <c r="R147" s="34"/>
    </row>
    <row r="148" spans="1:18" x14ac:dyDescent="0.2">
      <c r="A148" s="394"/>
      <c r="B148" s="114" t="s">
        <v>675</v>
      </c>
      <c r="C148" s="431"/>
      <c r="D148" s="435"/>
      <c r="E148" s="435"/>
      <c r="F148" s="88"/>
      <c r="G148" s="56">
        <f>SUMIF(JournalsA!D$14:D$920,TrialBalanceA!M148,JournalsA!J$14:J$920)+SUMIF(JournalsA!E$14:E$920,TrialBalanceA!M148,JournalsA!J$14:J$920)</f>
        <v>0</v>
      </c>
      <c r="H148" s="443"/>
      <c r="I148" s="411">
        <f t="shared" ref="I148:I150" si="29">ROUND(D148-E148+G148+F148,0)</f>
        <v>0</v>
      </c>
      <c r="J148" s="84"/>
      <c r="K148" s="57">
        <f t="shared" ref="K148:K150" si="30">ROUND(SUM(A148),0)</f>
        <v>0</v>
      </c>
      <c r="M148" s="197" t="str">
        <f t="shared" ref="M148:M150" si="31">CONCATENATE(B148,C148)</f>
        <v>4700/017</v>
      </c>
      <c r="N148" s="79"/>
      <c r="P148" s="80"/>
      <c r="Q148" s="60"/>
      <c r="R148" s="34"/>
    </row>
    <row r="149" spans="1:18" x14ac:dyDescent="0.2">
      <c r="A149" s="394"/>
      <c r="B149" s="114" t="s">
        <v>767</v>
      </c>
      <c r="C149" s="431"/>
      <c r="D149" s="435"/>
      <c r="E149" s="435"/>
      <c r="F149" s="88"/>
      <c r="G149" s="56">
        <f>SUMIF(JournalsA!D$14:D$920,TrialBalanceA!M149,JournalsA!J$14:J$920)+SUMIF(JournalsA!E$14:E$920,TrialBalanceA!M149,JournalsA!J$14:J$920)</f>
        <v>0</v>
      </c>
      <c r="H149" s="443"/>
      <c r="I149" s="411">
        <f t="shared" si="29"/>
        <v>0</v>
      </c>
      <c r="J149" s="84"/>
      <c r="K149" s="57">
        <f t="shared" si="30"/>
        <v>0</v>
      </c>
      <c r="M149" s="197" t="str">
        <f t="shared" si="31"/>
        <v>4700/018</v>
      </c>
      <c r="N149" s="79"/>
      <c r="P149" s="80"/>
      <c r="Q149" s="60"/>
      <c r="R149" s="34"/>
    </row>
    <row r="150" spans="1:18" x14ac:dyDescent="0.2">
      <c r="A150" s="394"/>
      <c r="B150" s="114" t="s">
        <v>768</v>
      </c>
      <c r="C150" s="431"/>
      <c r="D150" s="435"/>
      <c r="E150" s="435"/>
      <c r="F150" s="88"/>
      <c r="G150" s="56">
        <f>SUMIF(JournalsA!D$14:D$920,TrialBalanceA!M150,JournalsA!J$14:J$920)+SUMIF(JournalsA!E$14:E$920,TrialBalanceA!M150,JournalsA!J$14:J$920)</f>
        <v>0</v>
      </c>
      <c r="H150" s="443"/>
      <c r="I150" s="411">
        <f t="shared" si="29"/>
        <v>0</v>
      </c>
      <c r="J150" s="84"/>
      <c r="K150" s="57">
        <f t="shared" si="30"/>
        <v>0</v>
      </c>
      <c r="M150" s="197" t="str">
        <f t="shared" si="31"/>
        <v>4700/019</v>
      </c>
      <c r="N150" s="79"/>
      <c r="P150" s="80"/>
      <c r="Q150" s="60"/>
      <c r="R150" s="34"/>
    </row>
    <row r="151" spans="1:18" x14ac:dyDescent="0.2">
      <c r="A151" s="394"/>
      <c r="B151" s="114" t="s">
        <v>378</v>
      </c>
      <c r="C151" s="431"/>
      <c r="D151" s="435"/>
      <c r="E151" s="435"/>
      <c r="F151" s="88"/>
      <c r="G151" s="56">
        <f>SUMIF(JournalsA!D$14:D$920,TrialBalanceA!M151,JournalsA!J$14:J$920)+SUMIF(JournalsA!E$14:E$920,TrialBalanceA!M151,JournalsA!J$14:J$920)</f>
        <v>0</v>
      </c>
      <c r="H151" s="443"/>
      <c r="I151" s="411">
        <f t="shared" si="23"/>
        <v>0</v>
      </c>
      <c r="J151" s="84"/>
      <c r="K151" s="57">
        <f t="shared" si="24"/>
        <v>0</v>
      </c>
      <c r="M151" s="197" t="str">
        <f t="shared" si="25"/>
        <v>4700/020</v>
      </c>
      <c r="N151" s="79"/>
      <c r="P151" s="80"/>
      <c r="Q151" s="60"/>
      <c r="R151" s="34"/>
    </row>
    <row r="152" spans="1:18" x14ac:dyDescent="0.2">
      <c r="A152" s="394"/>
      <c r="B152" s="114" t="s">
        <v>769</v>
      </c>
      <c r="C152" s="395" t="str">
        <f>CONCATENATE("Interest on finance leases - ",Criteria!H14)</f>
        <v>Interest on finance leases - Seafront Restaurant</v>
      </c>
      <c r="D152" s="436"/>
      <c r="E152" s="435"/>
      <c r="F152" s="88"/>
      <c r="G152" s="56">
        <f>SUMIF(JournalsA!D$14:D$920,TrialBalanceA!M152,JournalsA!J$14:J$920)+SUMIF(JournalsA!E$14:E$920,TrialBalanceA!M152,JournalsA!J$14:J$920)</f>
        <v>0</v>
      </c>
      <c r="H152" s="443"/>
      <c r="I152" s="411">
        <f t="shared" si="23"/>
        <v>0</v>
      </c>
      <c r="J152" s="84"/>
      <c r="K152" s="57">
        <f t="shared" si="24"/>
        <v>0</v>
      </c>
      <c r="M152" s="197" t="str">
        <f t="shared" si="25"/>
        <v>4700/021Interest on finance leases - Seafront Restaurant</v>
      </c>
      <c r="N152" s="79"/>
      <c r="P152" s="80"/>
      <c r="Q152" s="60"/>
      <c r="R152" s="34"/>
    </row>
    <row r="153" spans="1:18" x14ac:dyDescent="0.2">
      <c r="A153" s="394"/>
      <c r="B153" s="63" t="s">
        <v>524</v>
      </c>
      <c r="C153" s="397" t="s">
        <v>416</v>
      </c>
      <c r="D153" s="437"/>
      <c r="E153" s="435"/>
      <c r="F153" s="88"/>
      <c r="G153" s="56">
        <f>SUMIF(JournalsA!D$14:D$920,TrialBalanceA!M153,JournalsA!J$14:J$920)+SUMIF(JournalsA!E$14:E$920,TrialBalanceA!M153,JournalsA!J$14:J$920)</f>
        <v>0</v>
      </c>
      <c r="H153" s="443"/>
      <c r="I153" s="411">
        <f t="shared" si="23"/>
        <v>0</v>
      </c>
      <c r="J153" s="84"/>
      <c r="K153" s="57">
        <f t="shared" si="24"/>
        <v>0</v>
      </c>
      <c r="M153" s="197" t="str">
        <f t="shared" si="25"/>
        <v>4750/000OTHER</v>
      </c>
      <c r="N153" s="79"/>
      <c r="P153" s="80"/>
      <c r="Q153" s="60"/>
      <c r="R153" s="34"/>
    </row>
    <row r="154" spans="1:18" x14ac:dyDescent="0.2">
      <c r="A154" s="394"/>
      <c r="B154" s="63" t="s">
        <v>525</v>
      </c>
      <c r="C154" s="396" t="s">
        <v>1486</v>
      </c>
      <c r="D154" s="435"/>
      <c r="E154" s="435"/>
      <c r="F154" s="88"/>
      <c r="G154" s="56">
        <f>SUMIF(JournalsA!D$14:D$920,TrialBalanceA!M154,JournalsA!J$14:J$920)+SUMIF(JournalsA!E$14:E$920,TrialBalanceA!M154,JournalsA!J$14:J$920)</f>
        <v>0</v>
      </c>
      <c r="H154" s="443"/>
      <c r="I154" s="411">
        <f t="shared" si="23"/>
        <v>0</v>
      </c>
      <c r="J154" s="84"/>
      <c r="K154" s="57">
        <f t="shared" si="24"/>
        <v>0</v>
      </c>
      <c r="M154" s="197" t="str">
        <f t="shared" si="25"/>
        <v>4750/010Impairment losses</v>
      </c>
      <c r="N154" s="79"/>
      <c r="P154" s="80"/>
      <c r="Q154" s="60"/>
      <c r="R154" s="34"/>
    </row>
    <row r="155" spans="1:18" x14ac:dyDescent="0.2">
      <c r="A155" s="394"/>
      <c r="B155" s="114" t="s">
        <v>1553</v>
      </c>
      <c r="C155" s="396" t="s">
        <v>1554</v>
      </c>
      <c r="D155" s="435"/>
      <c r="E155" s="435"/>
      <c r="F155" s="88"/>
      <c r="G155" s="56">
        <f>SUMIF(JournalsA!D$14:D$920,TrialBalanceA!M155,JournalsA!J$14:J$920)+SUMIF(JournalsA!E$14:E$920,TrialBalanceA!M155,JournalsA!J$14:J$920)</f>
        <v>0</v>
      </c>
      <c r="H155" s="443"/>
      <c r="I155" s="411">
        <f t="shared" ref="I155" si="32">ROUND(D155-E155+G155+F155,0)</f>
        <v>0</v>
      </c>
      <c r="J155" s="84"/>
      <c r="K155" s="57">
        <f t="shared" ref="K155" si="33">ROUND(SUM(A155),0)</f>
        <v>0</v>
      </c>
      <c r="M155" s="197" t="str">
        <f t="shared" ref="M155" si="34">CONCATENATE(B155,C155)</f>
        <v>4750/020Reversal - revaluation of investment property</v>
      </c>
      <c r="N155" s="79"/>
      <c r="P155" s="80"/>
      <c r="Q155" s="60"/>
      <c r="R155" s="34"/>
    </row>
    <row r="156" spans="1:18" x14ac:dyDescent="0.2">
      <c r="A156" s="394"/>
      <c r="B156" s="63" t="s">
        <v>379</v>
      </c>
      <c r="C156" s="397" t="s">
        <v>380</v>
      </c>
      <c r="D156" s="437"/>
      <c r="E156" s="435"/>
      <c r="F156" s="88"/>
      <c r="G156" s="56">
        <f>SUMIF(JournalsA!D$14:D$920,TrialBalanceA!M156,JournalsA!J$14:J$920)+SUMIF(JournalsA!E$14:E$920,TrialBalanceA!M156,JournalsA!J$14:J$920)</f>
        <v>0</v>
      </c>
      <c r="H156" s="443"/>
      <c r="I156" s="411">
        <f t="shared" si="23"/>
        <v>0</v>
      </c>
      <c r="J156" s="84"/>
      <c r="K156" s="57">
        <f t="shared" si="24"/>
        <v>0</v>
      </c>
      <c r="M156" s="197" t="str">
        <f t="shared" si="25"/>
        <v>4800/000NORMAL TAXATION</v>
      </c>
      <c r="N156" s="79"/>
      <c r="P156" s="80"/>
      <c r="Q156" s="60"/>
      <c r="R156" s="34"/>
    </row>
    <row r="157" spans="1:18" x14ac:dyDescent="0.2">
      <c r="A157" s="394"/>
      <c r="B157" s="63" t="s">
        <v>381</v>
      </c>
      <c r="C157" s="395" t="s">
        <v>382</v>
      </c>
      <c r="D157" s="436"/>
      <c r="E157" s="435"/>
      <c r="F157" s="88"/>
      <c r="G157" s="56">
        <f>SUMIF(JournalsA!D$14:D$920,TrialBalanceA!M157,JournalsA!J$14:J$920)+SUMIF(JournalsA!E$14:E$920,TrialBalanceA!M157,JournalsA!J$14:J$920)</f>
        <v>0</v>
      </c>
      <c r="H157" s="443"/>
      <c r="I157" s="411">
        <f t="shared" si="23"/>
        <v>0</v>
      </c>
      <c r="J157" s="84"/>
      <c r="K157" s="57">
        <f t="shared" si="24"/>
        <v>0</v>
      </c>
      <c r="M157" s="197" t="str">
        <f t="shared" si="25"/>
        <v>4800/001Tax provided this year</v>
      </c>
      <c r="N157" s="79"/>
      <c r="P157" s="80"/>
      <c r="Q157" s="60"/>
      <c r="R157" s="34"/>
    </row>
    <row r="158" spans="1:18" x14ac:dyDescent="0.2">
      <c r="A158" s="394"/>
      <c r="B158" s="63" t="s">
        <v>383</v>
      </c>
      <c r="C158" s="395" t="s">
        <v>384</v>
      </c>
      <c r="D158" s="436"/>
      <c r="E158" s="435"/>
      <c r="F158" s="88"/>
      <c r="G158" s="56">
        <f>SUMIF(JournalsA!D$14:D$920,TrialBalanceA!M158,JournalsA!J$14:J$920)+SUMIF(JournalsA!E$14:E$920,TrialBalanceA!M158,JournalsA!J$14:J$920)</f>
        <v>0</v>
      </c>
      <c r="H158" s="443"/>
      <c r="I158" s="411">
        <f t="shared" si="23"/>
        <v>0</v>
      </c>
      <c r="J158" s="84"/>
      <c r="K158" s="57">
        <f t="shared" si="24"/>
        <v>0</v>
      </c>
      <c r="M158" s="197" t="str">
        <f t="shared" si="25"/>
        <v>4800/002Tax adjustment previous year</v>
      </c>
      <c r="N158" s="79"/>
      <c r="P158" s="80"/>
      <c r="Q158" s="60"/>
      <c r="R158" s="34"/>
    </row>
    <row r="159" spans="1:18" x14ac:dyDescent="0.2">
      <c r="A159" s="394"/>
      <c r="B159" s="63" t="s">
        <v>231</v>
      </c>
      <c r="C159" s="397" t="s">
        <v>232</v>
      </c>
      <c r="D159" s="437"/>
      <c r="E159" s="435"/>
      <c r="F159" s="88"/>
      <c r="G159" s="56">
        <f>SUMIF(JournalsA!D$14:D$920,TrialBalanceA!M159,JournalsA!J$14:J$920)+SUMIF(JournalsA!E$14:E$920,TrialBalanceA!M159,JournalsA!J$14:J$920)</f>
        <v>0</v>
      </c>
      <c r="H159" s="443"/>
      <c r="I159" s="411">
        <f t="shared" si="23"/>
        <v>0</v>
      </c>
      <c r="J159" s="84"/>
      <c r="K159" s="57">
        <f t="shared" si="24"/>
        <v>0</v>
      </c>
      <c r="M159" s="197" t="str">
        <f t="shared" si="25"/>
        <v>4820/000DEFERRED TAX</v>
      </c>
      <c r="N159" s="79"/>
      <c r="P159" s="80"/>
      <c r="Q159" s="60"/>
      <c r="R159" s="34"/>
    </row>
    <row r="160" spans="1:18" x14ac:dyDescent="0.2">
      <c r="A160" s="394"/>
      <c r="B160" s="63" t="s">
        <v>233</v>
      </c>
      <c r="C160" s="395" t="s">
        <v>234</v>
      </c>
      <c r="D160" s="436"/>
      <c r="E160" s="435"/>
      <c r="F160" s="88"/>
      <c r="G160" s="56">
        <f>SUMIF(JournalsA!D$14:D$920,TrialBalanceA!M160,JournalsA!J$14:J$920)+SUMIF(JournalsA!E$14:E$920,TrialBalanceA!M160,JournalsA!J$14:J$920)</f>
        <v>0</v>
      </c>
      <c r="H160" s="443"/>
      <c r="I160" s="411">
        <f t="shared" si="23"/>
        <v>0</v>
      </c>
      <c r="J160" s="84"/>
      <c r="K160" s="57">
        <f t="shared" si="24"/>
        <v>0</v>
      </c>
      <c r="M160" s="197" t="str">
        <f t="shared" si="25"/>
        <v>4820/001Deferred tax this year</v>
      </c>
      <c r="N160" s="79"/>
      <c r="P160" s="80"/>
      <c r="Q160" s="60"/>
      <c r="R160" s="34"/>
    </row>
    <row r="161" spans="1:18" x14ac:dyDescent="0.2">
      <c r="A161" s="394"/>
      <c r="B161" s="114" t="s">
        <v>235</v>
      </c>
      <c r="C161" s="398" t="s">
        <v>1591</v>
      </c>
      <c r="D161" s="436"/>
      <c r="E161" s="435"/>
      <c r="F161" s="88"/>
      <c r="G161" s="56">
        <f>SUMIF(JournalsA!D$14:D$920,TrialBalanceA!M161,JournalsA!J$14:J$920)+SUMIF(JournalsA!E$14:E$920,TrialBalanceA!M161,JournalsA!J$14:J$920)</f>
        <v>0</v>
      </c>
      <c r="H161" s="443"/>
      <c r="I161" s="411">
        <f t="shared" ref="I161" si="35">ROUND(D161-E161+G161+F161,0)</f>
        <v>0</v>
      </c>
      <c r="J161" s="84"/>
      <c r="K161" s="57">
        <f t="shared" ref="K161" si="36">ROUND(SUM(A161),0)</f>
        <v>0</v>
      </c>
      <c r="M161" s="197" t="str">
        <f t="shared" ref="M161" si="37">CONCATENATE(B161,C161)</f>
        <v>4820/002Deferred tax adjustment on income tax rate change</v>
      </c>
      <c r="N161" s="79"/>
      <c r="P161" s="80"/>
      <c r="Q161" s="60"/>
      <c r="R161" s="34"/>
    </row>
    <row r="162" spans="1:18" x14ac:dyDescent="0.2">
      <c r="A162" s="394"/>
      <c r="B162" s="114" t="s">
        <v>1592</v>
      </c>
      <c r="C162" s="395" t="s">
        <v>236</v>
      </c>
      <c r="D162" s="436"/>
      <c r="E162" s="435"/>
      <c r="F162" s="88"/>
      <c r="G162" s="56">
        <f>SUMIF(JournalsA!D$14:D$920,TrialBalanceA!M162,JournalsA!J$14:J$920)+SUMIF(JournalsA!E$14:E$920,TrialBalanceA!M162,JournalsA!J$14:J$920)</f>
        <v>0</v>
      </c>
      <c r="H162" s="443"/>
      <c r="I162" s="411">
        <f t="shared" si="23"/>
        <v>0</v>
      </c>
      <c r="J162" s="84"/>
      <c r="K162" s="57">
        <f t="shared" si="24"/>
        <v>0</v>
      </c>
      <c r="M162" s="197" t="str">
        <f t="shared" si="25"/>
        <v>4820/003Deferred tax adjustment previous year</v>
      </c>
      <c r="N162" s="79"/>
      <c r="P162" s="80"/>
      <c r="Q162" s="60"/>
      <c r="R162" s="34"/>
    </row>
    <row r="163" spans="1:18" x14ac:dyDescent="0.2">
      <c r="A163" s="394"/>
      <c r="B163" s="63" t="s">
        <v>237</v>
      </c>
      <c r="C163" s="398" t="s">
        <v>565</v>
      </c>
      <c r="D163" s="436"/>
      <c r="E163" s="435"/>
      <c r="F163" s="88"/>
      <c r="G163" s="56">
        <f>SUMIF(JournalsA!D$14:D$920,TrialBalanceA!M163,JournalsA!J$14:J$920)+SUMIF(JournalsA!E$14:E$920,TrialBalanceA!M163,JournalsA!J$14:J$920)</f>
        <v>0</v>
      </c>
      <c r="H163" s="443"/>
      <c r="I163" s="411">
        <f t="shared" si="23"/>
        <v>0</v>
      </c>
      <c r="J163" s="84"/>
      <c r="K163" s="57">
        <f t="shared" si="24"/>
        <v>0</v>
      </c>
      <c r="M163" s="197" t="str">
        <f t="shared" si="25"/>
        <v>4850/000Dividends declared</v>
      </c>
      <c r="N163" s="79"/>
      <c r="P163" s="80"/>
      <c r="Q163" s="60"/>
      <c r="R163" s="34"/>
    </row>
    <row r="164" spans="1:18" x14ac:dyDescent="0.2">
      <c r="A164" s="394"/>
      <c r="B164" s="63" t="s">
        <v>238</v>
      </c>
      <c r="C164" s="395" t="s">
        <v>264</v>
      </c>
      <c r="D164" s="436"/>
      <c r="E164" s="435"/>
      <c r="F164" s="88"/>
      <c r="G164" s="56">
        <f>SUMIF(JournalsA!D$14:D$920,TrialBalanceA!M164,JournalsA!J$14:J$920)+SUMIF(JournalsA!E$14:E$920,TrialBalanceA!M164,JournalsA!J$14:J$920)</f>
        <v>0</v>
      </c>
      <c r="H164" s="443"/>
      <c r="I164" s="411">
        <f t="shared" si="23"/>
        <v>0</v>
      </c>
      <c r="J164" s="84"/>
      <c r="K164" s="57">
        <f t="shared" si="24"/>
        <v>0</v>
      </c>
      <c r="M164" s="197" t="str">
        <f t="shared" si="25"/>
        <v>4860/000Dividends paid</v>
      </c>
      <c r="N164" s="79"/>
      <c r="P164" s="80"/>
      <c r="Q164" s="60"/>
      <c r="R164" s="34"/>
    </row>
    <row r="165" spans="1:18" x14ac:dyDescent="0.2">
      <c r="A165" s="394"/>
      <c r="B165" s="63" t="s">
        <v>284</v>
      </c>
      <c r="C165" s="395"/>
      <c r="D165" s="436"/>
      <c r="E165" s="428"/>
      <c r="F165" s="88"/>
      <c r="G165" s="56"/>
      <c r="H165" s="443"/>
      <c r="I165" s="411">
        <f t="shared" si="23"/>
        <v>0</v>
      </c>
      <c r="J165" s="84"/>
      <c r="K165" s="57">
        <f t="shared" si="24"/>
        <v>0</v>
      </c>
      <c r="M165" s="197">
        <v>0</v>
      </c>
      <c r="N165" s="79"/>
      <c r="P165" s="80"/>
      <c r="Q165" s="60"/>
      <c r="R165" s="34"/>
    </row>
    <row r="166" spans="1:18" x14ac:dyDescent="0.2">
      <c r="A166" s="394"/>
      <c r="B166" s="63" t="s">
        <v>284</v>
      </c>
      <c r="C166" s="395" t="s">
        <v>284</v>
      </c>
      <c r="D166" s="436"/>
      <c r="E166" s="428"/>
      <c r="F166" s="88"/>
      <c r="G166" s="56"/>
      <c r="H166" s="443"/>
      <c r="I166" s="411">
        <f t="shared" si="23"/>
        <v>0</v>
      </c>
      <c r="J166" s="84"/>
      <c r="K166" s="57">
        <f t="shared" si="24"/>
        <v>0</v>
      </c>
      <c r="M166" s="197">
        <v>0</v>
      </c>
      <c r="N166" s="79"/>
      <c r="P166" s="80"/>
      <c r="Q166" s="60"/>
      <c r="R166" s="34"/>
    </row>
    <row r="167" spans="1:18" x14ac:dyDescent="0.2">
      <c r="A167" s="394"/>
      <c r="B167" s="63" t="s">
        <v>284</v>
      </c>
      <c r="C167" s="395"/>
      <c r="D167" s="436"/>
      <c r="E167" s="428"/>
      <c r="F167" s="88"/>
      <c r="G167" s="56"/>
      <c r="H167" s="443"/>
      <c r="I167" s="411">
        <f t="shared" si="23"/>
        <v>0</v>
      </c>
      <c r="J167" s="84"/>
      <c r="K167" s="57">
        <f t="shared" si="24"/>
        <v>0</v>
      </c>
      <c r="M167" s="197">
        <v>0</v>
      </c>
      <c r="N167" s="79"/>
      <c r="P167" s="80"/>
      <c r="Q167" s="60"/>
      <c r="R167" s="34"/>
    </row>
    <row r="168" spans="1:18" x14ac:dyDescent="0.2">
      <c r="A168" s="394"/>
      <c r="B168" s="63" t="s">
        <v>582</v>
      </c>
      <c r="C168" s="397" t="s">
        <v>571</v>
      </c>
      <c r="D168" s="437"/>
      <c r="E168" s="428"/>
      <c r="F168" s="88"/>
      <c r="G168" s="56">
        <f>SUMIF(JournalsA!D$14:D$920,TrialBalanceA!M168,JournalsA!J$14:J$920)+SUMIF(JournalsA!E$14:E$920,TrialBalanceA!M168,JournalsA!J$14:J$920)</f>
        <v>0</v>
      </c>
      <c r="H168" s="443"/>
      <c r="I168" s="411">
        <f t="shared" si="23"/>
        <v>0</v>
      </c>
      <c r="J168" s="84"/>
      <c r="K168" s="57">
        <f t="shared" si="24"/>
        <v>0</v>
      </c>
      <c r="M168" s="197" t="str">
        <f t="shared" si="25"/>
        <v>5100/000SHARE CAPITAL</v>
      </c>
      <c r="N168" s="79"/>
      <c r="P168" s="80"/>
      <c r="Q168" s="60"/>
      <c r="R168" s="34"/>
    </row>
    <row r="169" spans="1:18" x14ac:dyDescent="0.2">
      <c r="A169" s="394"/>
      <c r="B169" s="63" t="s">
        <v>583</v>
      </c>
      <c r="C169" s="398" t="s">
        <v>999</v>
      </c>
      <c r="D169" s="436"/>
      <c r="E169" s="428"/>
      <c r="F169" s="88">
        <f>SUM(K169:K170)</f>
        <v>0</v>
      </c>
      <c r="G169" s="56">
        <f>SUMIF(JournalsA!D$14:D$920,TrialBalanceA!M169,JournalsA!J$14:J$920)+SUMIF(JournalsA!E$14:E$920,TrialBalanceA!M169,JournalsA!J$14:J$920)</f>
        <v>0</v>
      </c>
      <c r="H169" s="443"/>
      <c r="I169" s="411">
        <f t="shared" si="23"/>
        <v>0</v>
      </c>
      <c r="J169" s="84"/>
      <c r="K169" s="57">
        <f t="shared" si="24"/>
        <v>0</v>
      </c>
      <c r="M169" s="197" t="str">
        <f t="shared" si="25"/>
        <v>5100/001Share capital - balance b/fwd</v>
      </c>
      <c r="N169" s="79"/>
      <c r="P169" s="80"/>
      <c r="Q169" s="60"/>
      <c r="R169" s="34"/>
    </row>
    <row r="170" spans="1:18" x14ac:dyDescent="0.2">
      <c r="A170" s="394"/>
      <c r="B170" s="63" t="s">
        <v>584</v>
      </c>
      <c r="C170" s="398" t="s">
        <v>1000</v>
      </c>
      <c r="D170" s="436"/>
      <c r="E170" s="428"/>
      <c r="F170" s="88"/>
      <c r="G170" s="56">
        <f>SUMIF(JournalsA!D$14:D$920,TrialBalanceA!M170,JournalsA!J$14:J$920)+SUMIF(JournalsA!E$14:E$920,TrialBalanceA!M170,JournalsA!J$14:J$920)</f>
        <v>0</v>
      </c>
      <c r="H170" s="443"/>
      <c r="I170" s="411">
        <f t="shared" si="23"/>
        <v>0</v>
      </c>
      <c r="J170" s="84"/>
      <c r="K170" s="57">
        <f t="shared" si="24"/>
        <v>0</v>
      </c>
      <c r="M170" s="197" t="str">
        <f t="shared" si="25"/>
        <v>5100/002Share capital - additions</v>
      </c>
      <c r="N170" s="79"/>
      <c r="P170" s="80"/>
      <c r="Q170" s="60"/>
      <c r="R170" s="34"/>
    </row>
    <row r="171" spans="1:18" x14ac:dyDescent="0.2">
      <c r="A171" s="394"/>
      <c r="B171" s="105" t="s">
        <v>585</v>
      </c>
      <c r="C171" s="434" t="s">
        <v>577</v>
      </c>
      <c r="D171" s="438"/>
      <c r="E171" s="428"/>
      <c r="F171" s="88"/>
      <c r="G171" s="56">
        <f>SUMIF(JournalsA!D$14:D$920,TrialBalanceA!M171,JournalsA!J$14:J$920)+SUMIF(JournalsA!E$14:E$920,TrialBalanceA!M171,JournalsA!J$14:J$920)</f>
        <v>0</v>
      </c>
      <c r="H171" s="443"/>
      <c r="I171" s="411">
        <f t="shared" ref="I171:I204" si="38">ROUND(D171-E171+G171+F171,0)</f>
        <v>0</v>
      </c>
      <c r="J171" s="84"/>
      <c r="K171" s="57">
        <f t="shared" si="24"/>
        <v>0</v>
      </c>
      <c r="M171" s="197" t="str">
        <f t="shared" si="25"/>
        <v>5110/000SHARE PREMIUM</v>
      </c>
      <c r="N171" s="79"/>
      <c r="P171" s="80"/>
      <c r="Q171" s="60"/>
      <c r="R171" s="34"/>
    </row>
    <row r="172" spans="1:18" x14ac:dyDescent="0.2">
      <c r="A172" s="394"/>
      <c r="B172" s="105" t="s">
        <v>586</v>
      </c>
      <c r="C172" s="398" t="s">
        <v>1001</v>
      </c>
      <c r="D172" s="441"/>
      <c r="E172" s="428"/>
      <c r="F172" s="88">
        <f>SUM(K172:K174)</f>
        <v>0</v>
      </c>
      <c r="G172" s="56">
        <f>SUMIF(JournalsA!D$14:D$920,TrialBalanceA!M172,JournalsA!J$14:J$920)+SUMIF(JournalsA!E$14:E$920,TrialBalanceA!M172,JournalsA!J$14:J$920)</f>
        <v>0</v>
      </c>
      <c r="H172" s="443"/>
      <c r="I172" s="411">
        <f t="shared" si="38"/>
        <v>0</v>
      </c>
      <c r="J172" s="84"/>
      <c r="K172" s="57">
        <f t="shared" si="24"/>
        <v>0</v>
      </c>
      <c r="M172" s="197" t="str">
        <f t="shared" si="25"/>
        <v>5110/001Share premium - balance b/fwd</v>
      </c>
      <c r="N172" s="79"/>
      <c r="P172" s="80"/>
      <c r="Q172" s="60"/>
      <c r="R172" s="34"/>
    </row>
    <row r="173" spans="1:18" x14ac:dyDescent="0.2">
      <c r="A173" s="394"/>
      <c r="B173" s="105" t="s">
        <v>587</v>
      </c>
      <c r="C173" s="398" t="s">
        <v>1002</v>
      </c>
      <c r="D173" s="441"/>
      <c r="E173" s="428"/>
      <c r="F173" s="88"/>
      <c r="G173" s="56">
        <f>SUMIF(JournalsA!D$14:D$920,TrialBalanceA!M173,JournalsA!J$14:J$920)+SUMIF(JournalsA!E$14:E$920,TrialBalanceA!M173,JournalsA!J$14:J$920)</f>
        <v>0</v>
      </c>
      <c r="H173" s="443"/>
      <c r="I173" s="411">
        <f t="shared" si="38"/>
        <v>0</v>
      </c>
      <c r="J173" s="84"/>
      <c r="K173" s="57">
        <f t="shared" si="24"/>
        <v>0</v>
      </c>
      <c r="M173" s="197" t="str">
        <f t="shared" si="25"/>
        <v>5110/002Share premium - additions</v>
      </c>
      <c r="N173" s="79"/>
      <c r="P173" s="80"/>
      <c r="Q173" s="60"/>
      <c r="R173" s="34"/>
    </row>
    <row r="174" spans="1:18" x14ac:dyDescent="0.2">
      <c r="A174" s="394"/>
      <c r="B174" s="105" t="s">
        <v>588</v>
      </c>
      <c r="C174" s="404" t="s">
        <v>589</v>
      </c>
      <c r="D174" s="441"/>
      <c r="E174" s="428"/>
      <c r="F174" s="88"/>
      <c r="G174" s="56">
        <f>SUMIF(JournalsA!D$14:D$920,TrialBalanceA!M174,JournalsA!J$14:J$920)+SUMIF(JournalsA!E$14:E$920,TrialBalanceA!M174,JournalsA!J$14:J$920)</f>
        <v>0</v>
      </c>
      <c r="H174" s="443"/>
      <c r="I174" s="411">
        <f t="shared" si="38"/>
        <v>0</v>
      </c>
      <c r="J174" s="84"/>
      <c r="K174" s="57">
        <f t="shared" si="24"/>
        <v>0</v>
      </c>
      <c r="M174" s="197" t="str">
        <f t="shared" si="25"/>
        <v>5110/003Share premium - transfer</v>
      </c>
      <c r="N174" s="79"/>
      <c r="P174" s="80"/>
      <c r="Q174" s="60"/>
      <c r="R174" s="34"/>
    </row>
    <row r="175" spans="1:18" x14ac:dyDescent="0.2">
      <c r="A175" s="394"/>
      <c r="B175" s="63" t="s">
        <v>534</v>
      </c>
      <c r="C175" s="397" t="s">
        <v>1329</v>
      </c>
      <c r="D175" s="438"/>
      <c r="E175" s="428"/>
      <c r="F175" s="88"/>
      <c r="G175" s="56">
        <f>SUMIF(JournalsA!D$14:D$920,TrialBalanceA!M175,JournalsA!J$14:J$920)+SUMIF(JournalsA!E$14:E$920,TrialBalanceA!M175,JournalsA!J$14:J$920)</f>
        <v>0</v>
      </c>
      <c r="H175" s="443"/>
      <c r="I175" s="411">
        <f t="shared" si="38"/>
        <v>0</v>
      </c>
      <c r="J175" s="84"/>
      <c r="K175" s="57">
        <f t="shared" si="24"/>
        <v>0</v>
      </c>
      <c r="M175" s="197" t="str">
        <f t="shared" si="25"/>
        <v>5120/000REVALUATION RESERVE</v>
      </c>
      <c r="N175" s="79"/>
      <c r="P175" s="80"/>
      <c r="Q175" s="60"/>
      <c r="R175" s="34"/>
    </row>
    <row r="176" spans="1:18" x14ac:dyDescent="0.2">
      <c r="A176" s="394"/>
      <c r="B176" s="63" t="s">
        <v>535</v>
      </c>
      <c r="C176" s="398" t="s">
        <v>1330</v>
      </c>
      <c r="D176" s="436"/>
      <c r="E176" s="428"/>
      <c r="F176" s="88">
        <f>SUM(K176:K178)</f>
        <v>0</v>
      </c>
      <c r="G176" s="56">
        <f>SUMIF(JournalsA!D$14:D$920,TrialBalanceA!M176,JournalsA!J$14:J$920)+SUMIF(JournalsA!E$14:E$920,TrialBalanceA!M176,JournalsA!J$14:J$920)</f>
        <v>0</v>
      </c>
      <c r="H176" s="443"/>
      <c r="I176" s="411">
        <f t="shared" si="38"/>
        <v>0</v>
      </c>
      <c r="J176" s="84"/>
      <c r="K176" s="57">
        <f t="shared" si="24"/>
        <v>0</v>
      </c>
      <c r="M176" s="197" t="str">
        <f t="shared" si="25"/>
        <v>5120/001Revaluation reserve - balance b/fwd</v>
      </c>
      <c r="N176" s="79"/>
      <c r="P176" s="80"/>
      <c r="Q176" s="60"/>
      <c r="R176" s="34"/>
    </row>
    <row r="177" spans="1:18" x14ac:dyDescent="0.2">
      <c r="A177" s="394"/>
      <c r="B177" s="63" t="s">
        <v>536</v>
      </c>
      <c r="C177" s="398" t="s">
        <v>1331</v>
      </c>
      <c r="D177" s="436"/>
      <c r="E177" s="428"/>
      <c r="F177" s="88"/>
      <c r="G177" s="56">
        <f>SUMIF(JournalsA!D$14:D$920,TrialBalanceA!M177,JournalsA!J$14:J$920)+SUMIF(JournalsA!E$14:E$920,TrialBalanceA!M177,JournalsA!J$14:J$920)</f>
        <v>0</v>
      </c>
      <c r="H177" s="443"/>
      <c r="I177" s="411">
        <f t="shared" si="38"/>
        <v>0</v>
      </c>
      <c r="J177" s="84"/>
      <c r="K177" s="57">
        <f t="shared" si="24"/>
        <v>0</v>
      </c>
      <c r="M177" s="197" t="str">
        <f t="shared" si="25"/>
        <v>5120/002Revaluation reserve - additions</v>
      </c>
      <c r="N177" s="79"/>
      <c r="P177" s="80"/>
      <c r="Q177" s="60"/>
      <c r="R177" s="34"/>
    </row>
    <row r="178" spans="1:18" x14ac:dyDescent="0.2">
      <c r="A178" s="394"/>
      <c r="B178" s="63" t="s">
        <v>537</v>
      </c>
      <c r="C178" s="398" t="s">
        <v>1332</v>
      </c>
      <c r="D178" s="436"/>
      <c r="E178" s="428"/>
      <c r="F178" s="88"/>
      <c r="G178" s="56">
        <f>SUMIF(JournalsA!D$14:D$920,TrialBalanceA!M178,JournalsA!J$14:J$920)+SUMIF(JournalsA!E$14:E$920,TrialBalanceA!M178,JournalsA!J$14:J$920)</f>
        <v>0</v>
      </c>
      <c r="H178" s="443"/>
      <c r="I178" s="411">
        <f t="shared" si="38"/>
        <v>0</v>
      </c>
      <c r="J178" s="84"/>
      <c r="K178" s="57">
        <f t="shared" si="24"/>
        <v>0</v>
      </c>
      <c r="M178" s="197" t="str">
        <f t="shared" si="25"/>
        <v>5120/003Revaluation reserve - transfer</v>
      </c>
      <c r="N178" s="79"/>
      <c r="P178" s="80"/>
      <c r="Q178" s="60"/>
      <c r="R178" s="34"/>
    </row>
    <row r="179" spans="1:18" x14ac:dyDescent="0.2">
      <c r="A179" s="394"/>
      <c r="B179" s="63" t="s">
        <v>106</v>
      </c>
      <c r="C179" s="397" t="s">
        <v>304</v>
      </c>
      <c r="D179" s="438"/>
      <c r="E179" s="428"/>
      <c r="F179" s="88"/>
      <c r="G179" s="56">
        <f>SUMIF(JournalsA!D$14:D$920,TrialBalanceA!M179,JournalsA!J$14:J$920)+SUMIF(JournalsA!E$14:E$920,TrialBalanceA!M179,JournalsA!J$14:J$920)</f>
        <v>0</v>
      </c>
      <c r="H179" s="443"/>
      <c r="I179" s="411">
        <f t="shared" si="38"/>
        <v>0</v>
      </c>
      <c r="J179" s="84"/>
      <c r="K179" s="57">
        <f t="shared" si="24"/>
        <v>0</v>
      </c>
      <c r="M179" s="197" t="str">
        <f t="shared" si="25"/>
        <v>5130/000OTHER RESERVES</v>
      </c>
      <c r="N179" s="79"/>
      <c r="P179" s="80"/>
      <c r="Q179" s="60"/>
      <c r="R179" s="34"/>
    </row>
    <row r="180" spans="1:18" x14ac:dyDescent="0.2">
      <c r="A180" s="394"/>
      <c r="B180" s="63" t="s">
        <v>305</v>
      </c>
      <c r="C180" s="398" t="s">
        <v>1003</v>
      </c>
      <c r="D180" s="436"/>
      <c r="E180" s="428"/>
      <c r="F180" s="88">
        <f>SUM(K180:K182)</f>
        <v>0</v>
      </c>
      <c r="G180" s="56">
        <f>SUMIF(JournalsA!D$14:D$920,TrialBalanceA!M180,JournalsA!J$14:J$920)+SUMIF(JournalsA!E$14:E$920,TrialBalanceA!M180,JournalsA!J$14:J$920)</f>
        <v>0</v>
      </c>
      <c r="H180" s="443"/>
      <c r="I180" s="411">
        <f t="shared" si="38"/>
        <v>0</v>
      </c>
      <c r="J180" s="84"/>
      <c r="K180" s="57">
        <f t="shared" si="24"/>
        <v>0</v>
      </c>
      <c r="M180" s="197" t="str">
        <f t="shared" si="25"/>
        <v>5130/001Other reserves - balance b/fwd</v>
      </c>
      <c r="N180" s="79"/>
      <c r="P180" s="80"/>
      <c r="Q180" s="60"/>
      <c r="R180" s="34"/>
    </row>
    <row r="181" spans="1:18" x14ac:dyDescent="0.2">
      <c r="A181" s="394"/>
      <c r="B181" s="63" t="s">
        <v>306</v>
      </c>
      <c r="C181" s="398" t="s">
        <v>1004</v>
      </c>
      <c r="D181" s="436"/>
      <c r="E181" s="428"/>
      <c r="F181" s="88"/>
      <c r="G181" s="56">
        <f>SUMIF(JournalsA!D$14:D$920,TrialBalanceA!M181,JournalsA!J$14:J$920)+SUMIF(JournalsA!E$14:E$920,TrialBalanceA!M181,JournalsA!J$14:J$920)</f>
        <v>0</v>
      </c>
      <c r="H181" s="443"/>
      <c r="I181" s="411">
        <f t="shared" si="38"/>
        <v>0</v>
      </c>
      <c r="J181" s="84"/>
      <c r="K181" s="57">
        <f t="shared" si="24"/>
        <v>0</v>
      </c>
      <c r="M181" s="197" t="str">
        <f t="shared" si="25"/>
        <v>5130/002Other reserves - additions</v>
      </c>
      <c r="N181" s="79"/>
      <c r="P181" s="80"/>
      <c r="Q181" s="60"/>
      <c r="R181" s="34"/>
    </row>
    <row r="182" spans="1:18" x14ac:dyDescent="0.2">
      <c r="A182" s="394"/>
      <c r="B182" s="63" t="s">
        <v>393</v>
      </c>
      <c r="C182" s="395" t="s">
        <v>459</v>
      </c>
      <c r="D182" s="436"/>
      <c r="E182" s="428"/>
      <c r="F182" s="88"/>
      <c r="G182" s="56">
        <f>SUMIF(JournalsA!D$14:D$920,TrialBalanceA!M182,JournalsA!J$14:J$920)+SUMIF(JournalsA!E$14:E$920,TrialBalanceA!M182,JournalsA!J$14:J$920)</f>
        <v>0</v>
      </c>
      <c r="H182" s="443"/>
      <c r="I182" s="411">
        <f t="shared" si="38"/>
        <v>0</v>
      </c>
      <c r="J182" s="84"/>
      <c r="K182" s="57">
        <f t="shared" si="24"/>
        <v>0</v>
      </c>
      <c r="M182" s="197" t="str">
        <f t="shared" si="25"/>
        <v>5130/003Other reserves - transfer</v>
      </c>
      <c r="N182" s="79"/>
      <c r="P182" s="80"/>
      <c r="Q182" s="60"/>
      <c r="R182" s="34"/>
    </row>
    <row r="183" spans="1:18" x14ac:dyDescent="0.2">
      <c r="A183" s="394"/>
      <c r="B183" s="63" t="s">
        <v>460</v>
      </c>
      <c r="C183" s="397" t="s">
        <v>1005</v>
      </c>
      <c r="D183" s="437"/>
      <c r="E183" s="428"/>
      <c r="F183" s="88">
        <f>K183+SUM(K5:K164)</f>
        <v>0</v>
      </c>
      <c r="G183" s="56">
        <f>SUMIF(JournalsA!D$14:D$920,TrialBalanceA!M183,JournalsA!J$14:J$920)+SUMIF(JournalsA!E$14:E$920,TrialBalanceA!M183,JournalsA!J$14:J$920)</f>
        <v>0</v>
      </c>
      <c r="H183" s="443"/>
      <c r="I183" s="411">
        <f t="shared" si="38"/>
        <v>0</v>
      </c>
      <c r="J183" s="84"/>
      <c r="K183" s="57">
        <f t="shared" si="24"/>
        <v>0</v>
      </c>
      <c r="M183" s="197" t="str">
        <f t="shared" si="25"/>
        <v>5200/000(Retained income) / Accumulated loss</v>
      </c>
      <c r="N183" s="79"/>
      <c r="P183" s="80"/>
      <c r="Q183" s="60"/>
      <c r="R183" s="34"/>
    </row>
    <row r="184" spans="1:18" x14ac:dyDescent="0.2">
      <c r="A184" s="394"/>
      <c r="B184" s="63" t="s">
        <v>158</v>
      </c>
      <c r="C184" s="397" t="s">
        <v>159</v>
      </c>
      <c r="D184" s="437"/>
      <c r="E184" s="428"/>
      <c r="F184" s="88"/>
      <c r="G184" s="56">
        <f>SUMIF(JournalsA!D$14:D$920,TrialBalanceA!M184,JournalsA!J$14:J$920)+SUMIF(JournalsA!E$14:E$920,TrialBalanceA!M184,JournalsA!J$14:J$920)</f>
        <v>0</v>
      </c>
      <c r="H184" s="443"/>
      <c r="I184" s="411">
        <f t="shared" si="38"/>
        <v>0</v>
      </c>
      <c r="J184" s="84"/>
      <c r="K184" s="57">
        <f t="shared" si="24"/>
        <v>0</v>
      </c>
      <c r="M184" s="197" t="str">
        <f t="shared" si="25"/>
        <v>5500/000LONG TERM  INTEREST LIABILITIES</v>
      </c>
      <c r="N184" s="79"/>
      <c r="P184" s="80"/>
      <c r="Q184" s="60"/>
      <c r="R184" s="34"/>
    </row>
    <row r="185" spans="1:18" x14ac:dyDescent="0.2">
      <c r="A185" s="394"/>
      <c r="B185" s="63" t="s">
        <v>160</v>
      </c>
      <c r="C185" s="430">
        <f>TrialBalance!C185</f>
        <v>0</v>
      </c>
      <c r="D185" s="435"/>
      <c r="E185" s="428"/>
      <c r="F185" s="88">
        <f>K185</f>
        <v>0</v>
      </c>
      <c r="G185" s="56">
        <f>SUMIF(JournalsA!D$14:D$920,TrialBalanceA!M185,JournalsA!J$14:J$920)+SUMIF(JournalsA!E$14:E$920,TrialBalanceA!M185,JournalsA!J$14:J$920)</f>
        <v>0</v>
      </c>
      <c r="H185" s="443"/>
      <c r="I185" s="411">
        <f t="shared" si="38"/>
        <v>0</v>
      </c>
      <c r="J185" s="84"/>
      <c r="K185" s="57">
        <f t="shared" si="24"/>
        <v>0</v>
      </c>
      <c r="M185" s="197" t="str">
        <f t="shared" si="25"/>
        <v>5500/0010</v>
      </c>
      <c r="N185" s="79"/>
      <c r="P185" s="80"/>
      <c r="Q185" s="60"/>
      <c r="R185" s="34"/>
    </row>
    <row r="186" spans="1:18" x14ac:dyDescent="0.2">
      <c r="A186" s="394"/>
      <c r="B186" s="63" t="s">
        <v>161</v>
      </c>
      <c r="C186" s="430">
        <f>TrialBalance!C186</f>
        <v>0</v>
      </c>
      <c r="D186" s="436"/>
      <c r="E186" s="428"/>
      <c r="F186" s="88">
        <f>K186</f>
        <v>0</v>
      </c>
      <c r="G186" s="56">
        <f>SUMIF(JournalsA!D$14:D$920,TrialBalanceA!M186,JournalsA!J$14:J$920)+SUMIF(JournalsA!E$14:E$920,TrialBalanceA!M186,JournalsA!J$14:J$920)</f>
        <v>0</v>
      </c>
      <c r="H186" s="443"/>
      <c r="I186" s="411">
        <f t="shared" si="38"/>
        <v>0</v>
      </c>
      <c r="J186" s="84"/>
      <c r="K186" s="57">
        <f t="shared" si="24"/>
        <v>0</v>
      </c>
      <c r="M186" s="197" t="str">
        <f t="shared" si="25"/>
        <v>5500/0020</v>
      </c>
      <c r="N186" s="79"/>
      <c r="P186" s="80"/>
      <c r="Q186" s="60"/>
      <c r="R186" s="34"/>
    </row>
    <row r="187" spans="1:18" x14ac:dyDescent="0.2">
      <c r="A187" s="394"/>
      <c r="B187" s="63" t="s">
        <v>162</v>
      </c>
      <c r="C187" s="430">
        <f>TrialBalance!C187</f>
        <v>0</v>
      </c>
      <c r="D187" s="436"/>
      <c r="E187" s="428"/>
      <c r="F187" s="88">
        <f>K187</f>
        <v>0</v>
      </c>
      <c r="G187" s="56">
        <f>SUMIF(JournalsA!D$14:D$920,TrialBalanceA!M187,JournalsA!J$14:J$920)+SUMIF(JournalsA!E$14:E$920,TrialBalanceA!M187,JournalsA!J$14:J$920)</f>
        <v>0</v>
      </c>
      <c r="H187" s="443"/>
      <c r="I187" s="411">
        <f t="shared" si="38"/>
        <v>0</v>
      </c>
      <c r="J187" s="84"/>
      <c r="K187" s="57">
        <f t="shared" si="24"/>
        <v>0</v>
      </c>
      <c r="M187" s="197" t="str">
        <f t="shared" si="25"/>
        <v>5500/0030</v>
      </c>
      <c r="N187" s="79"/>
      <c r="P187" s="80"/>
      <c r="Q187" s="60"/>
      <c r="R187" s="34"/>
    </row>
    <row r="188" spans="1:18" x14ac:dyDescent="0.2">
      <c r="A188" s="394"/>
      <c r="B188" s="63" t="s">
        <v>163</v>
      </c>
      <c r="C188" s="430">
        <f>TrialBalance!C188</f>
        <v>0</v>
      </c>
      <c r="D188" s="436"/>
      <c r="E188" s="428"/>
      <c r="F188" s="88">
        <f>K188</f>
        <v>0</v>
      </c>
      <c r="G188" s="56">
        <f>SUMIF(JournalsA!D$14:D$920,TrialBalanceA!M188,JournalsA!J$14:J$920)+SUMIF(JournalsA!E$14:E$920,TrialBalanceA!M188,JournalsA!J$14:J$920)</f>
        <v>0</v>
      </c>
      <c r="H188" s="443"/>
      <c r="I188" s="411">
        <f t="shared" si="38"/>
        <v>0</v>
      </c>
      <c r="J188" s="84"/>
      <c r="K188" s="57">
        <f t="shared" si="24"/>
        <v>0</v>
      </c>
      <c r="M188" s="197" t="str">
        <f t="shared" si="25"/>
        <v>5500/0040</v>
      </c>
      <c r="N188" s="79"/>
      <c r="P188" s="80"/>
      <c r="Q188" s="60"/>
      <c r="R188" s="34"/>
    </row>
    <row r="189" spans="1:18" x14ac:dyDescent="0.2">
      <c r="A189" s="394"/>
      <c r="B189" s="63" t="s">
        <v>164</v>
      </c>
      <c r="C189" s="430">
        <f>TrialBalance!C189</f>
        <v>0</v>
      </c>
      <c r="D189" s="436"/>
      <c r="E189" s="428"/>
      <c r="F189" s="88">
        <f>K189</f>
        <v>0</v>
      </c>
      <c r="G189" s="56">
        <f>SUMIF(JournalsA!D$14:D$920,TrialBalanceA!M189,JournalsA!J$14:J$920)+SUMIF(JournalsA!E$14:E$920,TrialBalanceA!M189,JournalsA!J$14:J$920)</f>
        <v>0</v>
      </c>
      <c r="H189" s="443"/>
      <c r="I189" s="411">
        <f t="shared" si="38"/>
        <v>0</v>
      </c>
      <c r="J189" s="84"/>
      <c r="K189" s="57">
        <f t="shared" si="24"/>
        <v>0</v>
      </c>
      <c r="M189" s="197" t="str">
        <f t="shared" si="25"/>
        <v>5500/0050</v>
      </c>
      <c r="N189" s="79"/>
      <c r="P189" s="80"/>
      <c r="Q189" s="60"/>
      <c r="R189" s="34"/>
    </row>
    <row r="190" spans="1:18" x14ac:dyDescent="0.2">
      <c r="A190" s="394"/>
      <c r="B190" s="114" t="s">
        <v>708</v>
      </c>
      <c r="C190" s="430">
        <f>TrialBalance!C190</f>
        <v>0</v>
      </c>
      <c r="D190" s="436"/>
      <c r="E190" s="428"/>
      <c r="F190" s="88">
        <f t="shared" ref="F190:F215" si="39">K190</f>
        <v>0</v>
      </c>
      <c r="G190" s="56">
        <f>SUMIF(JournalsA!D$14:D$920,TrialBalanceA!M190,JournalsA!J$14:J$920)+SUMIF(JournalsA!E$14:E$920,TrialBalanceA!M190,JournalsA!J$14:J$920)</f>
        <v>0</v>
      </c>
      <c r="H190" s="443"/>
      <c r="I190" s="411">
        <f t="shared" si="38"/>
        <v>0</v>
      </c>
      <c r="J190" s="84"/>
      <c r="K190" s="57">
        <f t="shared" si="24"/>
        <v>0</v>
      </c>
      <c r="M190" s="197" t="str">
        <f t="shared" si="25"/>
        <v>5500/0060</v>
      </c>
      <c r="N190" s="79"/>
      <c r="P190" s="80"/>
      <c r="Q190" s="60"/>
      <c r="R190" s="34"/>
    </row>
    <row r="191" spans="1:18" x14ac:dyDescent="0.2">
      <c r="A191" s="394"/>
      <c r="B191" s="114" t="s">
        <v>709</v>
      </c>
      <c r="C191" s="430">
        <f>TrialBalance!C191</f>
        <v>0</v>
      </c>
      <c r="D191" s="436"/>
      <c r="E191" s="428"/>
      <c r="F191" s="88">
        <f t="shared" si="39"/>
        <v>0</v>
      </c>
      <c r="G191" s="56">
        <f>SUMIF(JournalsA!D$14:D$920,TrialBalanceA!M191,JournalsA!J$14:J$920)+SUMIF(JournalsA!E$14:E$920,TrialBalanceA!M191,JournalsA!J$14:J$920)</f>
        <v>0</v>
      </c>
      <c r="H191" s="443"/>
      <c r="I191" s="411">
        <f t="shared" si="38"/>
        <v>0</v>
      </c>
      <c r="J191" s="84"/>
      <c r="K191" s="57">
        <f t="shared" si="24"/>
        <v>0</v>
      </c>
      <c r="M191" s="197" t="str">
        <f t="shared" si="25"/>
        <v>5500/0070</v>
      </c>
      <c r="N191" s="79"/>
      <c r="P191" s="80"/>
      <c r="Q191" s="60"/>
      <c r="R191" s="34"/>
    </row>
    <row r="192" spans="1:18" x14ac:dyDescent="0.2">
      <c r="A192" s="394"/>
      <c r="B192" s="114" t="s">
        <v>710</v>
      </c>
      <c r="C192" s="430">
        <f>TrialBalance!C192</f>
        <v>0</v>
      </c>
      <c r="D192" s="436"/>
      <c r="E192" s="428"/>
      <c r="F192" s="88">
        <f t="shared" si="39"/>
        <v>0</v>
      </c>
      <c r="G192" s="56">
        <f>SUMIF(JournalsA!D$14:D$920,TrialBalanceA!M192,JournalsA!J$14:J$920)+SUMIF(JournalsA!E$14:E$920,TrialBalanceA!M192,JournalsA!J$14:J$920)</f>
        <v>0</v>
      </c>
      <c r="H192" s="443"/>
      <c r="I192" s="411">
        <f t="shared" si="38"/>
        <v>0</v>
      </c>
      <c r="J192" s="84"/>
      <c r="K192" s="57">
        <f t="shared" si="24"/>
        <v>0</v>
      </c>
      <c r="M192" s="197" t="str">
        <f t="shared" si="25"/>
        <v>5500/0080</v>
      </c>
      <c r="N192" s="79"/>
      <c r="P192" s="80"/>
      <c r="Q192" s="60"/>
      <c r="R192" s="34"/>
    </row>
    <row r="193" spans="1:18" x14ac:dyDescent="0.2">
      <c r="A193" s="394"/>
      <c r="B193" s="114" t="s">
        <v>711</v>
      </c>
      <c r="C193" s="430">
        <f>TrialBalance!C193</f>
        <v>0</v>
      </c>
      <c r="D193" s="438"/>
      <c r="E193" s="428"/>
      <c r="F193" s="88">
        <f t="shared" si="39"/>
        <v>0</v>
      </c>
      <c r="G193" s="56">
        <f>SUMIF(JournalsA!D$14:D$920,TrialBalanceA!M193,JournalsA!J$14:J$920)+SUMIF(JournalsA!E$14:E$920,TrialBalanceA!M193,JournalsA!J$14:J$920)</f>
        <v>0</v>
      </c>
      <c r="H193" s="443"/>
      <c r="I193" s="411">
        <f t="shared" si="38"/>
        <v>0</v>
      </c>
      <c r="J193" s="84"/>
      <c r="K193" s="57">
        <f t="shared" si="24"/>
        <v>0</v>
      </c>
      <c r="M193" s="197" t="str">
        <f t="shared" si="25"/>
        <v>5500/0090</v>
      </c>
      <c r="N193" s="79"/>
      <c r="P193" s="80"/>
      <c r="Q193" s="60"/>
      <c r="R193" s="34"/>
    </row>
    <row r="194" spans="1:18" x14ac:dyDescent="0.2">
      <c r="A194" s="394"/>
      <c r="B194" s="114" t="s">
        <v>712</v>
      </c>
      <c r="C194" s="430">
        <f>TrialBalance!C194</f>
        <v>0</v>
      </c>
      <c r="D194" s="438"/>
      <c r="E194" s="428"/>
      <c r="F194" s="88">
        <f t="shared" si="39"/>
        <v>0</v>
      </c>
      <c r="G194" s="56">
        <f>SUMIF(JournalsA!D$14:D$920,TrialBalanceA!M194,JournalsA!J$14:J$920)+SUMIF(JournalsA!E$14:E$920,TrialBalanceA!M194,JournalsA!J$14:J$920)</f>
        <v>0</v>
      </c>
      <c r="H194" s="443"/>
      <c r="I194" s="411">
        <f t="shared" si="38"/>
        <v>0</v>
      </c>
      <c r="J194" s="84"/>
      <c r="K194" s="57">
        <f t="shared" si="24"/>
        <v>0</v>
      </c>
      <c r="M194" s="197" t="str">
        <f t="shared" si="25"/>
        <v>5500/0100</v>
      </c>
      <c r="N194" s="79"/>
      <c r="P194" s="80"/>
      <c r="Q194" s="60"/>
      <c r="R194" s="34"/>
    </row>
    <row r="195" spans="1:18" x14ac:dyDescent="0.2">
      <c r="A195" s="394"/>
      <c r="B195" s="114" t="s">
        <v>713</v>
      </c>
      <c r="C195" s="430">
        <f>TrialBalance!C195</f>
        <v>0</v>
      </c>
      <c r="D195" s="436"/>
      <c r="E195" s="428"/>
      <c r="F195" s="88">
        <f t="shared" si="39"/>
        <v>0</v>
      </c>
      <c r="G195" s="56">
        <f>SUMIF(JournalsA!D$14:D$920,TrialBalanceA!M195,JournalsA!J$14:J$920)+SUMIF(JournalsA!E$14:E$920,TrialBalanceA!M195,JournalsA!J$14:J$920)</f>
        <v>0</v>
      </c>
      <c r="H195" s="443"/>
      <c r="I195" s="411">
        <f t="shared" si="38"/>
        <v>0</v>
      </c>
      <c r="J195" s="84"/>
      <c r="K195" s="57">
        <f t="shared" si="24"/>
        <v>0</v>
      </c>
      <c r="M195" s="197" t="str">
        <f t="shared" si="25"/>
        <v>5500/0110</v>
      </c>
      <c r="N195" s="79"/>
      <c r="P195" s="80"/>
      <c r="Q195" s="60"/>
      <c r="R195" s="34"/>
    </row>
    <row r="196" spans="1:18" x14ac:dyDescent="0.2">
      <c r="A196" s="394"/>
      <c r="B196" s="114" t="s">
        <v>714</v>
      </c>
      <c r="C196" s="430">
        <f>TrialBalance!C196</f>
        <v>0</v>
      </c>
      <c r="D196" s="436"/>
      <c r="E196" s="436"/>
      <c r="F196" s="88">
        <f t="shared" si="39"/>
        <v>0</v>
      </c>
      <c r="G196" s="56">
        <f>SUMIF(JournalsA!D$14:D$920,TrialBalanceA!M196,JournalsA!J$14:J$920)+SUMIF(JournalsA!E$14:E$920,TrialBalanceA!M196,JournalsA!J$14:J$920)</f>
        <v>0</v>
      </c>
      <c r="H196" s="443"/>
      <c r="I196" s="411">
        <f t="shared" si="38"/>
        <v>0</v>
      </c>
      <c r="J196" s="84"/>
      <c r="K196" s="57">
        <f t="shared" si="24"/>
        <v>0</v>
      </c>
      <c r="M196" s="197" t="str">
        <f t="shared" si="25"/>
        <v>5500/0120</v>
      </c>
      <c r="N196" s="79"/>
      <c r="P196" s="80"/>
      <c r="Q196" s="60"/>
      <c r="R196" s="34"/>
    </row>
    <row r="197" spans="1:18" x14ac:dyDescent="0.2">
      <c r="A197" s="394"/>
      <c r="B197" s="114" t="s">
        <v>715</v>
      </c>
      <c r="C197" s="430">
        <f>TrialBalance!C197</f>
        <v>0</v>
      </c>
      <c r="D197" s="436"/>
      <c r="E197" s="436"/>
      <c r="F197" s="88">
        <f t="shared" ref="F197:F198" si="40">K197</f>
        <v>0</v>
      </c>
      <c r="G197" s="56">
        <f>SUMIF(JournalsA!D$14:D$920,TrialBalanceA!M197,JournalsA!J$14:J$920)+SUMIF(JournalsA!E$14:E$920,TrialBalanceA!M197,JournalsA!J$14:J$920)</f>
        <v>0</v>
      </c>
      <c r="H197" s="443"/>
      <c r="I197" s="411">
        <f t="shared" ref="I197:I198" si="41">ROUND(D197-E197+G197+F197,0)</f>
        <v>0</v>
      </c>
      <c r="J197" s="84"/>
      <c r="K197" s="57">
        <f t="shared" ref="K197:K198" si="42">ROUND(SUM(A197),0)</f>
        <v>0</v>
      </c>
      <c r="M197" s="197" t="str">
        <f t="shared" ref="M197:M198" si="43">CONCATENATE(B197,C197)</f>
        <v>5500/0130</v>
      </c>
      <c r="N197" s="79"/>
      <c r="P197" s="80"/>
      <c r="Q197" s="60"/>
      <c r="R197" s="34"/>
    </row>
    <row r="198" spans="1:18" x14ac:dyDescent="0.2">
      <c r="A198" s="394"/>
      <c r="B198" s="114" t="s">
        <v>770</v>
      </c>
      <c r="C198" s="430">
        <f>TrialBalance!C198</f>
        <v>0</v>
      </c>
      <c r="D198" s="436"/>
      <c r="E198" s="436"/>
      <c r="F198" s="88">
        <f t="shared" si="40"/>
        <v>0</v>
      </c>
      <c r="G198" s="56">
        <f>SUMIF(JournalsA!D$14:D$920,TrialBalanceA!M198,JournalsA!J$14:J$920)+SUMIF(JournalsA!E$14:E$920,TrialBalanceA!M198,JournalsA!J$14:J$920)</f>
        <v>0</v>
      </c>
      <c r="H198" s="443"/>
      <c r="I198" s="411">
        <f t="shared" si="41"/>
        <v>0</v>
      </c>
      <c r="J198" s="84"/>
      <c r="K198" s="57">
        <f t="shared" si="42"/>
        <v>0</v>
      </c>
      <c r="M198" s="197" t="str">
        <f t="shared" si="43"/>
        <v>5500/0140</v>
      </c>
      <c r="N198" s="79"/>
      <c r="P198" s="80"/>
      <c r="Q198" s="60"/>
      <c r="R198" s="34"/>
    </row>
    <row r="199" spans="1:18" x14ac:dyDescent="0.2">
      <c r="A199" s="394"/>
      <c r="B199" s="114" t="s">
        <v>771</v>
      </c>
      <c r="C199" s="430">
        <f>TrialBalance!C199</f>
        <v>0</v>
      </c>
      <c r="D199" s="438"/>
      <c r="E199" s="428"/>
      <c r="F199" s="88">
        <f t="shared" si="39"/>
        <v>0</v>
      </c>
      <c r="G199" s="56">
        <f>SUMIF(JournalsA!D$14:D$920,TrialBalanceA!M199,JournalsA!J$14:J$920)+SUMIF(JournalsA!E$14:E$920,TrialBalanceA!M199,JournalsA!J$14:J$920)</f>
        <v>0</v>
      </c>
      <c r="H199" s="443"/>
      <c r="I199" s="411">
        <f t="shared" si="38"/>
        <v>0</v>
      </c>
      <c r="J199" s="84"/>
      <c r="K199" s="57">
        <f t="shared" si="24"/>
        <v>0</v>
      </c>
      <c r="M199" s="197" t="str">
        <f t="shared" si="25"/>
        <v>5500/0150</v>
      </c>
      <c r="N199" s="79"/>
      <c r="P199" s="80"/>
      <c r="Q199" s="60"/>
      <c r="R199" s="34"/>
    </row>
    <row r="200" spans="1:18" x14ac:dyDescent="0.2">
      <c r="A200" s="394"/>
      <c r="B200" s="63" t="s">
        <v>165</v>
      </c>
      <c r="C200" s="395" t="s">
        <v>311</v>
      </c>
      <c r="D200" s="436"/>
      <c r="E200" s="428"/>
      <c r="F200" s="88">
        <f t="shared" si="39"/>
        <v>0</v>
      </c>
      <c r="G200" s="56">
        <f>SUMIF(JournalsA!D$14:D$920,TrialBalanceA!M200,JournalsA!J$14:J$920)+SUMIF(JournalsA!E$14:E$920,TrialBalanceA!M200,JournalsA!J$14:J$920)</f>
        <v>0</v>
      </c>
      <c r="H200" s="443"/>
      <c r="I200" s="411">
        <f t="shared" si="38"/>
        <v>0</v>
      </c>
      <c r="J200" s="84"/>
      <c r="K200" s="57">
        <f t="shared" si="24"/>
        <v>0</v>
      </c>
      <c r="M200" s="197" t="str">
        <f t="shared" si="25"/>
        <v>5520/000Short term portion of long term loans</v>
      </c>
      <c r="N200" s="79"/>
      <c r="P200" s="80"/>
      <c r="Q200" s="60"/>
      <c r="R200" s="34"/>
    </row>
    <row r="201" spans="1:18" x14ac:dyDescent="0.2">
      <c r="A201" s="394"/>
      <c r="B201" s="63" t="s">
        <v>167</v>
      </c>
      <c r="C201" s="397" t="s">
        <v>168</v>
      </c>
      <c r="D201" s="437"/>
      <c r="E201" s="428"/>
      <c r="F201" s="88">
        <f t="shared" si="39"/>
        <v>0</v>
      </c>
      <c r="G201" s="56">
        <f>SUMIF(JournalsA!D$14:D$920,TrialBalanceA!M201,JournalsA!J$14:J$920)+SUMIF(JournalsA!E$14:E$920,TrialBalanceA!M201,JournalsA!J$14:J$920)</f>
        <v>0</v>
      </c>
      <c r="H201" s="443"/>
      <c r="I201" s="411">
        <f t="shared" si="38"/>
        <v>0</v>
      </c>
      <c r="J201" s="84"/>
      <c r="K201" s="57">
        <f t="shared" si="24"/>
        <v>0</v>
      </c>
      <c r="M201" s="197" t="str">
        <f t="shared" si="25"/>
        <v>5550/000LONG TERM INTEREST FREE LOANS</v>
      </c>
      <c r="N201" s="79"/>
      <c r="P201" s="80"/>
      <c r="Q201" s="60"/>
      <c r="R201" s="34"/>
    </row>
    <row r="202" spans="1:18" x14ac:dyDescent="0.2">
      <c r="A202" s="394"/>
      <c r="B202" s="63" t="s">
        <v>169</v>
      </c>
      <c r="C202" s="430">
        <f>TrialBalance!C202</f>
        <v>0</v>
      </c>
      <c r="D202" s="438"/>
      <c r="E202" s="438"/>
      <c r="F202" s="88">
        <f t="shared" si="39"/>
        <v>0</v>
      </c>
      <c r="G202" s="56">
        <f>SUMIF(JournalsA!D$14:D$920,TrialBalanceA!M202,JournalsA!J$14:J$920)+SUMIF(JournalsA!E$14:E$920,TrialBalanceA!M202,JournalsA!J$14:J$920)</f>
        <v>0</v>
      </c>
      <c r="H202" s="443"/>
      <c r="I202" s="411">
        <f t="shared" si="38"/>
        <v>0</v>
      </c>
      <c r="J202" s="115"/>
      <c r="K202" s="57">
        <f t="shared" si="24"/>
        <v>0</v>
      </c>
      <c r="M202" s="197" t="str">
        <f t="shared" si="25"/>
        <v>5550/0010</v>
      </c>
      <c r="N202" s="79"/>
      <c r="P202" s="80"/>
      <c r="Q202" s="60"/>
      <c r="R202" s="34"/>
    </row>
    <row r="203" spans="1:18" x14ac:dyDescent="0.2">
      <c r="A203" s="394"/>
      <c r="B203" s="63" t="s">
        <v>170</v>
      </c>
      <c r="C203" s="430">
        <f>TrialBalance!C203</f>
        <v>0</v>
      </c>
      <c r="D203" s="438"/>
      <c r="E203" s="436"/>
      <c r="F203" s="88">
        <f t="shared" si="39"/>
        <v>0</v>
      </c>
      <c r="G203" s="56">
        <f>SUMIF(JournalsA!D$14:D$920,TrialBalanceA!M203,JournalsA!J$14:J$920)+SUMIF(JournalsA!E$14:E$920,TrialBalanceA!M203,JournalsA!J$14:J$920)</f>
        <v>0</v>
      </c>
      <c r="H203" s="443"/>
      <c r="I203" s="411">
        <f t="shared" si="38"/>
        <v>0</v>
      </c>
      <c r="J203" s="84"/>
      <c r="K203" s="57">
        <f t="shared" si="24"/>
        <v>0</v>
      </c>
      <c r="M203" s="197" t="str">
        <f t="shared" si="25"/>
        <v>5550/0020</v>
      </c>
      <c r="N203" s="79"/>
      <c r="P203" s="80"/>
      <c r="Q203" s="60"/>
      <c r="R203" s="34"/>
    </row>
    <row r="204" spans="1:18" x14ac:dyDescent="0.2">
      <c r="A204" s="394"/>
      <c r="B204" s="63" t="s">
        <v>171</v>
      </c>
      <c r="C204" s="430">
        <f>TrialBalance!C204</f>
        <v>0</v>
      </c>
      <c r="D204" s="438"/>
      <c r="E204" s="438"/>
      <c r="F204" s="88">
        <f t="shared" si="39"/>
        <v>0</v>
      </c>
      <c r="G204" s="56">
        <f>SUMIF(JournalsA!D$14:D$920,TrialBalanceA!M204,JournalsA!J$14:J$920)+SUMIF(JournalsA!E$14:E$920,TrialBalanceA!M204,JournalsA!J$14:J$920)</f>
        <v>0</v>
      </c>
      <c r="H204" s="443"/>
      <c r="I204" s="411">
        <f t="shared" si="38"/>
        <v>0</v>
      </c>
      <c r="J204" s="115"/>
      <c r="K204" s="57">
        <f t="shared" si="24"/>
        <v>0</v>
      </c>
      <c r="M204" s="197" t="str">
        <f t="shared" si="25"/>
        <v>5550/0030</v>
      </c>
      <c r="N204" s="79"/>
      <c r="P204" s="80"/>
      <c r="Q204" s="60"/>
      <c r="R204" s="34"/>
    </row>
    <row r="205" spans="1:18" x14ac:dyDescent="0.2">
      <c r="A205" s="394"/>
      <c r="B205" s="63" t="s">
        <v>172</v>
      </c>
      <c r="C205" s="430">
        <f>TrialBalance!C205</f>
        <v>0</v>
      </c>
      <c r="D205" s="438"/>
      <c r="E205" s="438"/>
      <c r="F205" s="88">
        <f t="shared" si="39"/>
        <v>0</v>
      </c>
      <c r="G205" s="56">
        <f>SUMIF(JournalsA!D$14:D$920,TrialBalanceA!M205,JournalsA!J$14:J$920)+SUMIF(JournalsA!E$14:E$920,TrialBalanceA!M205,JournalsA!J$14:J$920)</f>
        <v>0</v>
      </c>
      <c r="H205" s="443"/>
      <c r="I205" s="411">
        <f t="shared" ref="I205:I252" si="44">ROUND(D205-E205+G205+F205,0)</f>
        <v>0</v>
      </c>
      <c r="J205" s="115"/>
      <c r="K205" s="57">
        <f t="shared" si="24"/>
        <v>0</v>
      </c>
      <c r="M205" s="197" t="str">
        <f t="shared" si="25"/>
        <v>5550/0040</v>
      </c>
      <c r="N205" s="79"/>
      <c r="P205" s="80"/>
      <c r="Q205" s="60"/>
      <c r="R205" s="34"/>
    </row>
    <row r="206" spans="1:18" x14ac:dyDescent="0.2">
      <c r="A206" s="394"/>
      <c r="B206" s="63" t="s">
        <v>173</v>
      </c>
      <c r="C206" s="430">
        <f>TrialBalance!C206</f>
        <v>0</v>
      </c>
      <c r="D206" s="436"/>
      <c r="E206" s="428"/>
      <c r="F206" s="88">
        <f t="shared" si="39"/>
        <v>0</v>
      </c>
      <c r="G206" s="56">
        <f>SUMIF(JournalsA!D$14:D$920,TrialBalanceA!M206,JournalsA!J$14:J$920)+SUMIF(JournalsA!E$14:E$920,TrialBalanceA!M206,JournalsA!J$14:J$920)</f>
        <v>0</v>
      </c>
      <c r="H206" s="443"/>
      <c r="I206" s="411">
        <f t="shared" si="44"/>
        <v>0</v>
      </c>
      <c r="J206" s="84"/>
      <c r="K206" s="57">
        <f t="shared" si="24"/>
        <v>0</v>
      </c>
      <c r="M206" s="197" t="str">
        <f t="shared" si="25"/>
        <v>5550/0050</v>
      </c>
      <c r="N206" s="79"/>
      <c r="P206" s="80"/>
      <c r="Q206" s="60"/>
      <c r="R206" s="34"/>
    </row>
    <row r="207" spans="1:18" x14ac:dyDescent="0.2">
      <c r="A207" s="394"/>
      <c r="B207" s="114" t="s">
        <v>738</v>
      </c>
      <c r="C207" s="430">
        <f>TrialBalance!C207</f>
        <v>0</v>
      </c>
      <c r="D207" s="436"/>
      <c r="E207" s="428"/>
      <c r="F207" s="88">
        <f t="shared" si="39"/>
        <v>0</v>
      </c>
      <c r="G207" s="56">
        <f>SUMIF(JournalsA!D$14:D$920,TrialBalanceA!M207,JournalsA!J$14:J$920)+SUMIF(JournalsA!E$14:E$920,TrialBalanceA!M207,JournalsA!J$14:J$920)</f>
        <v>0</v>
      </c>
      <c r="H207" s="443"/>
      <c r="I207" s="411">
        <f t="shared" si="44"/>
        <v>0</v>
      </c>
      <c r="J207" s="115"/>
      <c r="K207" s="57">
        <f t="shared" ref="K207:K282" si="45">ROUND(SUM(A207),0)</f>
        <v>0</v>
      </c>
      <c r="M207" s="197" t="str">
        <f t="shared" ref="M207:M282" si="46">CONCATENATE(B207,C207)</f>
        <v>5550/0060</v>
      </c>
      <c r="N207" s="79"/>
      <c r="P207" s="80"/>
      <c r="Q207" s="60"/>
      <c r="R207" s="34"/>
    </row>
    <row r="208" spans="1:18" x14ac:dyDescent="0.2">
      <c r="A208" s="394"/>
      <c r="B208" s="114" t="s">
        <v>739</v>
      </c>
      <c r="C208" s="430">
        <f>TrialBalance!C208</f>
        <v>0</v>
      </c>
      <c r="D208" s="438"/>
      <c r="E208" s="428"/>
      <c r="F208" s="88">
        <f t="shared" si="39"/>
        <v>0</v>
      </c>
      <c r="G208" s="56">
        <f>SUMIF(JournalsA!D$14:D$920,TrialBalanceA!M208,JournalsA!J$14:J$920)+SUMIF(JournalsA!E$14:E$920,TrialBalanceA!M208,JournalsA!J$14:J$920)</f>
        <v>0</v>
      </c>
      <c r="H208" s="443"/>
      <c r="I208" s="411">
        <f t="shared" si="44"/>
        <v>0</v>
      </c>
      <c r="J208" s="115"/>
      <c r="K208" s="57">
        <f t="shared" si="45"/>
        <v>0</v>
      </c>
      <c r="M208" s="197" t="str">
        <f t="shared" si="46"/>
        <v>5550/0070</v>
      </c>
      <c r="N208" s="79"/>
      <c r="P208" s="80"/>
      <c r="Q208" s="60"/>
      <c r="R208" s="34"/>
    </row>
    <row r="209" spans="1:18" x14ac:dyDescent="0.2">
      <c r="A209" s="394"/>
      <c r="B209" s="114" t="s">
        <v>740</v>
      </c>
      <c r="C209" s="430">
        <f>TrialBalance!C209</f>
        <v>0</v>
      </c>
      <c r="D209" s="438"/>
      <c r="E209" s="438"/>
      <c r="F209" s="88">
        <f t="shared" si="39"/>
        <v>0</v>
      </c>
      <c r="G209" s="56">
        <f>SUMIF(JournalsA!D$14:D$920,TrialBalanceA!M209,JournalsA!J$14:J$920)+SUMIF(JournalsA!E$14:E$920,TrialBalanceA!M209,JournalsA!J$14:J$920)</f>
        <v>0</v>
      </c>
      <c r="H209" s="443"/>
      <c r="I209" s="411">
        <f t="shared" si="44"/>
        <v>0</v>
      </c>
      <c r="J209" s="84"/>
      <c r="K209" s="57">
        <f t="shared" si="45"/>
        <v>0</v>
      </c>
      <c r="M209" s="197" t="str">
        <f t="shared" si="46"/>
        <v>5550/0080</v>
      </c>
      <c r="N209" s="79"/>
      <c r="P209" s="80"/>
      <c r="Q209" s="60"/>
      <c r="R209" s="34"/>
    </row>
    <row r="210" spans="1:18" x14ac:dyDescent="0.2">
      <c r="A210" s="394"/>
      <c r="B210" s="114" t="s">
        <v>741</v>
      </c>
      <c r="C210" s="430">
        <f>TrialBalance!C210</f>
        <v>0</v>
      </c>
      <c r="D210" s="438"/>
      <c r="E210" s="438"/>
      <c r="F210" s="88">
        <f t="shared" si="39"/>
        <v>0</v>
      </c>
      <c r="G210" s="56">
        <f>SUMIF(JournalsA!D$14:D$920,TrialBalanceA!M210,JournalsA!J$14:J$920)+SUMIF(JournalsA!E$14:E$920,TrialBalanceA!M210,JournalsA!J$14:J$920)</f>
        <v>0</v>
      </c>
      <c r="H210" s="443"/>
      <c r="I210" s="411">
        <f t="shared" si="44"/>
        <v>0</v>
      </c>
      <c r="J210" s="115"/>
      <c r="K210" s="57">
        <f t="shared" si="45"/>
        <v>0</v>
      </c>
      <c r="M210" s="197" t="str">
        <f t="shared" si="46"/>
        <v>5550/0090</v>
      </c>
      <c r="N210" s="79"/>
      <c r="P210" s="80"/>
      <c r="Q210" s="60"/>
      <c r="R210" s="34"/>
    </row>
    <row r="211" spans="1:18" x14ac:dyDescent="0.2">
      <c r="A211" s="394"/>
      <c r="B211" s="114" t="s">
        <v>764</v>
      </c>
      <c r="C211" s="430">
        <f>TrialBalance!C211</f>
        <v>0</v>
      </c>
      <c r="D211" s="442"/>
      <c r="E211" s="428"/>
      <c r="F211" s="88">
        <f t="shared" si="39"/>
        <v>0</v>
      </c>
      <c r="G211" s="56">
        <f>SUMIF(JournalsA!D$14:D$920,TrialBalanceA!M211,JournalsA!J$14:J$920)+SUMIF(JournalsA!E$14:E$920,TrialBalanceA!M211,JournalsA!J$14:J$920)</f>
        <v>0</v>
      </c>
      <c r="H211" s="443"/>
      <c r="I211" s="411">
        <f t="shared" si="44"/>
        <v>0</v>
      </c>
      <c r="J211" s="84"/>
      <c r="K211" s="57">
        <f t="shared" si="45"/>
        <v>0</v>
      </c>
      <c r="M211" s="197" t="str">
        <f t="shared" si="46"/>
        <v>5550/0100</v>
      </c>
      <c r="N211" s="79"/>
      <c r="P211" s="80"/>
      <c r="Q211" s="60"/>
      <c r="R211" s="34"/>
    </row>
    <row r="212" spans="1:18" x14ac:dyDescent="0.2">
      <c r="A212" s="394"/>
      <c r="B212" s="114" t="s">
        <v>777</v>
      </c>
      <c r="C212" s="430">
        <f>TrialBalance!C212</f>
        <v>0</v>
      </c>
      <c r="D212" s="442"/>
      <c r="E212" s="428"/>
      <c r="F212" s="88">
        <f t="shared" si="39"/>
        <v>0</v>
      </c>
      <c r="G212" s="56">
        <f>SUMIF(JournalsA!D$14:D$920,TrialBalanceA!M212,JournalsA!J$14:J$920)+SUMIF(JournalsA!E$14:E$920,TrialBalanceA!M212,JournalsA!J$14:J$920)</f>
        <v>0</v>
      </c>
      <c r="H212" s="443"/>
      <c r="I212" s="411">
        <f t="shared" si="44"/>
        <v>0</v>
      </c>
      <c r="J212" s="84"/>
      <c r="K212" s="57">
        <f t="shared" si="45"/>
        <v>0</v>
      </c>
      <c r="M212" s="197" t="str">
        <f t="shared" si="46"/>
        <v>5550/0110</v>
      </c>
      <c r="N212" s="79"/>
      <c r="P212" s="80"/>
      <c r="Q212" s="60"/>
      <c r="R212" s="34"/>
    </row>
    <row r="213" spans="1:18" x14ac:dyDescent="0.2">
      <c r="A213" s="394"/>
      <c r="B213" s="114" t="s">
        <v>778</v>
      </c>
      <c r="C213" s="430">
        <f>TrialBalance!C213</f>
        <v>0</v>
      </c>
      <c r="D213" s="442"/>
      <c r="E213" s="428"/>
      <c r="F213" s="88">
        <f t="shared" si="39"/>
        <v>0</v>
      </c>
      <c r="G213" s="56">
        <f>SUMIF(JournalsA!D$14:D$920,TrialBalanceA!M213,JournalsA!J$14:J$920)+SUMIF(JournalsA!E$14:E$920,TrialBalanceA!M213,JournalsA!J$14:J$920)</f>
        <v>0</v>
      </c>
      <c r="H213" s="443"/>
      <c r="I213" s="411">
        <f t="shared" si="44"/>
        <v>0</v>
      </c>
      <c r="J213" s="84"/>
      <c r="K213" s="57">
        <f t="shared" si="45"/>
        <v>0</v>
      </c>
      <c r="M213" s="197" t="str">
        <f t="shared" si="46"/>
        <v>5550/0120</v>
      </c>
      <c r="N213" s="79"/>
      <c r="P213" s="80"/>
      <c r="Q213" s="60"/>
      <c r="R213" s="34"/>
    </row>
    <row r="214" spans="1:18" x14ac:dyDescent="0.2">
      <c r="A214" s="394"/>
      <c r="B214" s="114" t="s">
        <v>779</v>
      </c>
      <c r="C214" s="430">
        <f>TrialBalance!C214</f>
        <v>0</v>
      </c>
      <c r="D214" s="442"/>
      <c r="E214" s="428"/>
      <c r="F214" s="88">
        <f t="shared" si="39"/>
        <v>0</v>
      </c>
      <c r="G214" s="56">
        <f>SUMIF(JournalsA!D$14:D$920,TrialBalanceA!M214,JournalsA!J$14:J$920)+SUMIF(JournalsA!E$14:E$920,TrialBalanceA!M214,JournalsA!J$14:J$920)</f>
        <v>0</v>
      </c>
      <c r="H214" s="443"/>
      <c r="I214" s="411">
        <f t="shared" si="44"/>
        <v>0</v>
      </c>
      <c r="J214" s="84"/>
      <c r="K214" s="57">
        <f t="shared" si="45"/>
        <v>0</v>
      </c>
      <c r="M214" s="197" t="str">
        <f t="shared" si="46"/>
        <v>5550/0130</v>
      </c>
      <c r="N214" s="79"/>
      <c r="P214" s="80"/>
      <c r="Q214" s="60"/>
      <c r="R214" s="34"/>
    </row>
    <row r="215" spans="1:18" x14ac:dyDescent="0.2">
      <c r="A215" s="394"/>
      <c r="B215" s="114" t="s">
        <v>780</v>
      </c>
      <c r="C215" s="430">
        <f>TrialBalance!C215</f>
        <v>0</v>
      </c>
      <c r="D215" s="437"/>
      <c r="E215" s="428"/>
      <c r="F215" s="88">
        <f t="shared" si="39"/>
        <v>0</v>
      </c>
      <c r="G215" s="56">
        <f>SUMIF(JournalsA!D$14:D$920,TrialBalanceA!M215,JournalsA!J$14:J$920)+SUMIF(JournalsA!E$14:E$920,TrialBalanceA!M215,JournalsA!J$14:J$920)</f>
        <v>0</v>
      </c>
      <c r="H215" s="443"/>
      <c r="I215" s="411">
        <f t="shared" si="44"/>
        <v>0</v>
      </c>
      <c r="J215" s="84"/>
      <c r="K215" s="57">
        <f t="shared" si="45"/>
        <v>0</v>
      </c>
      <c r="M215" s="197" t="str">
        <f t="shared" si="46"/>
        <v>5550/0140</v>
      </c>
      <c r="N215" s="79"/>
      <c r="P215" s="80"/>
      <c r="Q215" s="60"/>
      <c r="R215" s="34"/>
    </row>
    <row r="216" spans="1:18" x14ac:dyDescent="0.2">
      <c r="A216" s="394"/>
      <c r="B216" s="114" t="s">
        <v>781</v>
      </c>
      <c r="C216" s="430">
        <f>TrialBalance!C216</f>
        <v>0</v>
      </c>
      <c r="D216" s="436"/>
      <c r="E216" s="428"/>
      <c r="F216" s="88">
        <f>K216</f>
        <v>0</v>
      </c>
      <c r="G216" s="56">
        <f>SUMIF(JournalsA!D$14:D$920,TrialBalanceA!M216,JournalsA!J$14:J$920)+SUMIF(JournalsA!E$14:E$920,TrialBalanceA!M216,JournalsA!J$14:J$920)</f>
        <v>0</v>
      </c>
      <c r="H216" s="443"/>
      <c r="I216" s="411">
        <f t="shared" si="44"/>
        <v>0</v>
      </c>
      <c r="J216" s="84"/>
      <c r="K216" s="57">
        <f t="shared" si="45"/>
        <v>0</v>
      </c>
      <c r="M216" s="197" t="str">
        <f t="shared" si="46"/>
        <v>5550/0150</v>
      </c>
      <c r="N216" s="79"/>
      <c r="P216" s="80"/>
      <c r="Q216" s="60"/>
      <c r="R216" s="34"/>
    </row>
    <row r="217" spans="1:18" x14ac:dyDescent="0.2">
      <c r="A217" s="394"/>
      <c r="B217" s="114" t="s">
        <v>782</v>
      </c>
      <c r="C217" s="430">
        <f>TrialBalance!C217</f>
        <v>0</v>
      </c>
      <c r="D217" s="428"/>
      <c r="E217" s="428"/>
      <c r="F217" s="88">
        <f>K217</f>
        <v>0</v>
      </c>
      <c r="G217" s="56">
        <f>SUMIF(JournalsA!D$14:D$920,TrialBalanceA!M217,JournalsA!J$14:J$920)+SUMIF(JournalsA!E$14:E$920,TrialBalanceA!M217,JournalsA!J$14:J$920)</f>
        <v>0</v>
      </c>
      <c r="H217" s="443"/>
      <c r="I217" s="411">
        <f t="shared" si="44"/>
        <v>0</v>
      </c>
      <c r="J217" s="84"/>
      <c r="K217" s="57">
        <f t="shared" si="45"/>
        <v>0</v>
      </c>
      <c r="M217" s="197" t="str">
        <f t="shared" si="46"/>
        <v>5550/0160</v>
      </c>
      <c r="N217" s="79"/>
      <c r="P217" s="80"/>
      <c r="Q217" s="60"/>
      <c r="R217" s="34"/>
    </row>
    <row r="218" spans="1:18" x14ac:dyDescent="0.2">
      <c r="A218" s="394"/>
      <c r="B218" s="114" t="s">
        <v>783</v>
      </c>
      <c r="C218" s="430">
        <f>TrialBalance!C218</f>
        <v>0</v>
      </c>
      <c r="D218" s="440"/>
      <c r="E218" s="428"/>
      <c r="F218" s="88">
        <f>K218</f>
        <v>0</v>
      </c>
      <c r="G218" s="56">
        <f>SUMIF(JournalsA!D$14:D$920,TrialBalanceA!M218,JournalsA!J$14:J$920)+SUMIF(JournalsA!E$14:E$920,TrialBalanceA!M218,JournalsA!J$14:J$920)</f>
        <v>0</v>
      </c>
      <c r="H218" s="443"/>
      <c r="I218" s="411">
        <f t="shared" si="44"/>
        <v>0</v>
      </c>
      <c r="J218" s="84"/>
      <c r="K218" s="57">
        <f t="shared" si="45"/>
        <v>0</v>
      </c>
      <c r="M218" s="197" t="str">
        <f t="shared" si="46"/>
        <v>5550/0170</v>
      </c>
      <c r="N218" s="79"/>
      <c r="P218" s="80"/>
      <c r="Q218" s="60"/>
      <c r="R218" s="34"/>
    </row>
    <row r="219" spans="1:18" x14ac:dyDescent="0.2">
      <c r="A219" s="394"/>
      <c r="B219" s="63" t="s">
        <v>174</v>
      </c>
      <c r="C219" s="395" t="s">
        <v>232</v>
      </c>
      <c r="D219" s="437"/>
      <c r="E219" s="428"/>
      <c r="F219" s="88"/>
      <c r="G219" s="56">
        <f>SUMIF(JournalsA!D$14:D$920,TrialBalanceA!M219,JournalsA!J$14:J$920)+SUMIF(JournalsA!E$14:E$920,TrialBalanceA!M219,JournalsA!J$14:J$920)</f>
        <v>0</v>
      </c>
      <c r="H219" s="443"/>
      <c r="I219" s="411">
        <f t="shared" si="44"/>
        <v>0</v>
      </c>
      <c r="J219" s="84"/>
      <c r="K219" s="57">
        <f t="shared" si="45"/>
        <v>0</v>
      </c>
      <c r="M219" s="197" t="str">
        <f t="shared" si="46"/>
        <v>5700/000DEFERRED TAX</v>
      </c>
      <c r="N219" s="79"/>
      <c r="P219" s="80"/>
      <c r="Q219" s="60"/>
      <c r="R219" s="34"/>
    </row>
    <row r="220" spans="1:18" x14ac:dyDescent="0.2">
      <c r="A220" s="394"/>
      <c r="B220" s="63" t="s">
        <v>175</v>
      </c>
      <c r="C220" s="398" t="s">
        <v>614</v>
      </c>
      <c r="D220" s="438"/>
      <c r="E220" s="428"/>
      <c r="F220" s="88">
        <f>K220+K222+K224+K226</f>
        <v>0</v>
      </c>
      <c r="G220" s="56">
        <f>SUMIF(JournalsA!D$14:D$920,TrialBalanceA!M220,JournalsA!J$14:J$920)+SUMIF(JournalsA!E$14:E$920,TrialBalanceA!M220,JournalsA!J$14:J$920)</f>
        <v>0</v>
      </c>
      <c r="H220" s="443"/>
      <c r="I220" s="411">
        <f t="shared" si="44"/>
        <v>0</v>
      </c>
      <c r="J220" s="84"/>
      <c r="K220" s="57">
        <f t="shared" si="45"/>
        <v>0</v>
      </c>
      <c r="M220" s="197" t="str">
        <f t="shared" si="46"/>
        <v>5700/010Deferred tax balance  depreciation b/fwd</v>
      </c>
      <c r="N220" s="79"/>
      <c r="P220" s="80"/>
      <c r="Q220" s="60"/>
      <c r="R220" s="34"/>
    </row>
    <row r="221" spans="1:18" x14ac:dyDescent="0.2">
      <c r="A221" s="394"/>
      <c r="B221" s="114" t="s">
        <v>742</v>
      </c>
      <c r="C221" s="398" t="s">
        <v>615</v>
      </c>
      <c r="D221" s="438"/>
      <c r="E221" s="428"/>
      <c r="F221" s="88">
        <f>K221+K223+K225+K227</f>
        <v>0</v>
      </c>
      <c r="G221" s="56">
        <f>SUMIF(JournalsA!D$14:D$920,TrialBalanceA!M221,JournalsA!J$14:J$920)+SUMIF(JournalsA!E$14:E$920,TrialBalanceA!M221,JournalsA!J$14:J$920)</f>
        <v>0</v>
      </c>
      <c r="H221" s="443"/>
      <c r="I221" s="411">
        <f t="shared" si="44"/>
        <v>0</v>
      </c>
      <c r="J221" s="84"/>
      <c r="K221" s="57">
        <f t="shared" si="45"/>
        <v>0</v>
      </c>
      <c r="M221" s="197" t="str">
        <f t="shared" si="46"/>
        <v>5700/020Deferred tax balance  tax loss b/fwd</v>
      </c>
      <c r="N221" s="79"/>
      <c r="P221" s="80"/>
      <c r="Q221" s="60"/>
      <c r="R221" s="34"/>
    </row>
    <row r="222" spans="1:18" x14ac:dyDescent="0.2">
      <c r="A222" s="394"/>
      <c r="B222" s="114" t="s">
        <v>1587</v>
      </c>
      <c r="C222" s="398" t="s">
        <v>1588</v>
      </c>
      <c r="D222" s="438"/>
      <c r="E222" s="428"/>
      <c r="F222" s="88"/>
      <c r="G222" s="56">
        <f>SUMIF(JournalsA!D$14:D$920,TrialBalanceA!M222,JournalsA!J$14:J$920)+SUMIF(JournalsA!E$14:E$920,TrialBalanceA!M222,JournalsA!J$14:J$920)</f>
        <v>0</v>
      </c>
      <c r="H222" s="443"/>
      <c r="I222" s="411">
        <f t="shared" ref="I222:I223" si="47">ROUND(D222-E222+G222+F222,0)</f>
        <v>0</v>
      </c>
      <c r="J222" s="84"/>
      <c r="K222" s="57">
        <f t="shared" ref="K222:K223" si="48">ROUND(SUM(A222),0)</f>
        <v>0</v>
      </c>
      <c r="M222" s="197" t="str">
        <f t="shared" ref="M222:M223" si="49">CONCATENATE(B222,C222)</f>
        <v>5700/021Opening balance depreciation tax rate change</v>
      </c>
      <c r="N222" s="79"/>
      <c r="P222" s="80"/>
      <c r="Q222" s="60"/>
      <c r="R222" s="34"/>
    </row>
    <row r="223" spans="1:18" x14ac:dyDescent="0.2">
      <c r="A223" s="394"/>
      <c r="B223" s="114" t="s">
        <v>1589</v>
      </c>
      <c r="C223" s="398" t="s">
        <v>1590</v>
      </c>
      <c r="D223" s="438"/>
      <c r="E223" s="428"/>
      <c r="F223" s="88"/>
      <c r="G223" s="56">
        <f>SUMIF(JournalsA!D$14:D$920,TrialBalanceA!M223,JournalsA!J$14:J$920)+SUMIF(JournalsA!E$14:E$920,TrialBalanceA!M223,JournalsA!J$14:J$920)</f>
        <v>0</v>
      </c>
      <c r="H223" s="443"/>
      <c r="I223" s="411">
        <f t="shared" si="47"/>
        <v>0</v>
      </c>
      <c r="J223" s="84"/>
      <c r="K223" s="57">
        <f t="shared" si="48"/>
        <v>0</v>
      </c>
      <c r="M223" s="197" t="str">
        <f t="shared" si="49"/>
        <v>5700/022Opening balance tax loss tax rate change</v>
      </c>
      <c r="N223" s="79"/>
      <c r="P223" s="80"/>
      <c r="Q223" s="60"/>
      <c r="R223" s="34"/>
    </row>
    <row r="224" spans="1:18" x14ac:dyDescent="0.2">
      <c r="A224" s="394"/>
      <c r="B224" s="114" t="s">
        <v>743</v>
      </c>
      <c r="C224" s="395" t="s">
        <v>176</v>
      </c>
      <c r="D224" s="436"/>
      <c r="E224" s="428"/>
      <c r="F224" s="88"/>
      <c r="G224" s="56">
        <f>SUMIF(JournalsA!D$14:D$920,TrialBalanceA!M224,JournalsA!J$14:J$920)+SUMIF(JournalsA!E$14:E$920,TrialBalanceA!M224,JournalsA!J$14:J$920)</f>
        <v>0</v>
      </c>
      <c r="H224" s="443"/>
      <c r="I224" s="411">
        <f t="shared" si="44"/>
        <v>0</v>
      </c>
      <c r="J224" s="84"/>
      <c r="K224" s="57">
        <f t="shared" si="45"/>
        <v>0</v>
      </c>
      <c r="M224" s="197" t="str">
        <f t="shared" si="46"/>
        <v>5700/030Deferred tax on depreciation for year</v>
      </c>
      <c r="N224" s="79"/>
      <c r="P224" s="80"/>
      <c r="Q224" s="60"/>
      <c r="R224" s="34"/>
    </row>
    <row r="225" spans="1:18" x14ac:dyDescent="0.2">
      <c r="A225" s="394"/>
      <c r="B225" s="114" t="s">
        <v>744</v>
      </c>
      <c r="C225" s="395" t="s">
        <v>177</v>
      </c>
      <c r="D225" s="436"/>
      <c r="E225" s="428"/>
      <c r="F225" s="88"/>
      <c r="G225" s="56">
        <f>SUMIF(JournalsA!D$14:D$920,TrialBalanceA!M225,JournalsA!J$14:J$920)+SUMIF(JournalsA!E$14:E$920,TrialBalanceA!M225,JournalsA!J$14:J$920)</f>
        <v>0</v>
      </c>
      <c r="H225" s="443"/>
      <c r="I225" s="411">
        <f t="shared" si="44"/>
        <v>0</v>
      </c>
      <c r="J225" s="84"/>
      <c r="K225" s="57">
        <f t="shared" si="45"/>
        <v>0</v>
      </c>
      <c r="M225" s="197" t="str">
        <f t="shared" si="46"/>
        <v>5700/040Deferred tax on tax loss for year</v>
      </c>
      <c r="N225" s="79"/>
      <c r="P225" s="80"/>
      <c r="Q225" s="60"/>
      <c r="R225" s="34"/>
    </row>
    <row r="226" spans="1:18" x14ac:dyDescent="0.2">
      <c r="A226" s="394"/>
      <c r="B226" s="114" t="s">
        <v>745</v>
      </c>
      <c r="C226" s="398" t="s">
        <v>724</v>
      </c>
      <c r="D226" s="438"/>
      <c r="E226" s="428"/>
      <c r="F226" s="88"/>
      <c r="G226" s="56">
        <f>SUMIF(JournalsA!D$14:D$920,TrialBalanceA!M226,JournalsA!J$14:J$920)+SUMIF(JournalsA!E$14:E$920,TrialBalanceA!M226,JournalsA!J$14:J$920)</f>
        <v>0</v>
      </c>
      <c r="H226" s="443"/>
      <c r="I226" s="411">
        <f t="shared" si="44"/>
        <v>0</v>
      </c>
      <c r="J226" s="84"/>
      <c r="K226" s="57">
        <f t="shared" si="45"/>
        <v>0</v>
      </c>
      <c r="M226" s="197" t="str">
        <f t="shared" si="46"/>
        <v>5700/050Def tax adj  depreciation previous year</v>
      </c>
      <c r="N226" s="79"/>
      <c r="P226" s="80"/>
      <c r="Q226" s="60"/>
      <c r="R226" s="34"/>
    </row>
    <row r="227" spans="1:18" x14ac:dyDescent="0.2">
      <c r="A227" s="394"/>
      <c r="B227" s="114" t="s">
        <v>746</v>
      </c>
      <c r="C227" s="398" t="s">
        <v>725</v>
      </c>
      <c r="D227" s="438"/>
      <c r="E227" s="428"/>
      <c r="F227" s="88"/>
      <c r="G227" s="56">
        <f>SUMIF(JournalsA!D$14:D$920,TrialBalanceA!M227,JournalsA!J$14:J$920)+SUMIF(JournalsA!E$14:E$920,TrialBalanceA!M227,JournalsA!J$14:J$920)</f>
        <v>0</v>
      </c>
      <c r="H227" s="443"/>
      <c r="I227" s="411">
        <f t="shared" si="44"/>
        <v>0</v>
      </c>
      <c r="J227" s="84"/>
      <c r="K227" s="57">
        <f t="shared" si="45"/>
        <v>0</v>
      </c>
      <c r="M227" s="197" t="str">
        <f t="shared" si="46"/>
        <v>5700/060Def tax adj tax loss previous year</v>
      </c>
      <c r="N227" s="79"/>
      <c r="P227" s="80"/>
      <c r="Q227" s="60"/>
      <c r="R227" s="34"/>
    </row>
    <row r="228" spans="1:18" x14ac:dyDescent="0.2">
      <c r="A228" s="394"/>
      <c r="B228" s="63" t="s">
        <v>178</v>
      </c>
      <c r="C228" s="397" t="s">
        <v>1620</v>
      </c>
      <c r="D228" s="437"/>
      <c r="E228" s="428"/>
      <c r="F228" s="88"/>
      <c r="G228" s="56">
        <f>SUMIF(JournalsA!D$14:D$920,TrialBalanceA!M228,JournalsA!J$14:J$920)+SUMIF(JournalsA!E$14:E$920,TrialBalanceA!M228,JournalsA!J$14:J$920)</f>
        <v>0</v>
      </c>
      <c r="H228" s="443"/>
      <c r="I228" s="411">
        <f t="shared" si="44"/>
        <v>0</v>
      </c>
      <c r="J228" s="84"/>
      <c r="K228" s="57">
        <f t="shared" si="45"/>
        <v>0</v>
      </c>
      <c r="M228" s="197" t="str">
        <f t="shared" si="46"/>
        <v>6100/000PROPERTY - COST</v>
      </c>
      <c r="N228" s="79"/>
      <c r="P228" s="80"/>
      <c r="Q228" s="60"/>
      <c r="R228" s="34"/>
    </row>
    <row r="229" spans="1:18" x14ac:dyDescent="0.2">
      <c r="A229" s="394"/>
      <c r="B229" s="63" t="s">
        <v>179</v>
      </c>
      <c r="C229" s="398" t="s">
        <v>1621</v>
      </c>
      <c r="D229" s="436"/>
      <c r="E229" s="428"/>
      <c r="F229" s="88">
        <f>SUM(K229:K233)</f>
        <v>0</v>
      </c>
      <c r="G229" s="56">
        <f>SUMIF(JournalsA!D$14:D$920,TrialBalanceA!M229,JournalsA!J$14:J$920)+SUMIF(JournalsA!E$14:E$920,TrialBalanceA!M229,JournalsA!J$14:J$920)</f>
        <v>0</v>
      </c>
      <c r="H229" s="443"/>
      <c r="I229" s="411">
        <f t="shared" si="44"/>
        <v>0</v>
      </c>
      <c r="J229" s="84"/>
      <c r="K229" s="57">
        <f t="shared" si="45"/>
        <v>0</v>
      </c>
      <c r="M229" s="197" t="str">
        <f t="shared" si="46"/>
        <v>6100/001Property - cost b/fwd</v>
      </c>
      <c r="N229" s="79"/>
      <c r="P229" s="80"/>
      <c r="Q229" s="60"/>
      <c r="R229" s="34"/>
    </row>
    <row r="230" spans="1:18" x14ac:dyDescent="0.2">
      <c r="A230" s="394"/>
      <c r="B230" s="63" t="s">
        <v>180</v>
      </c>
      <c r="C230" s="398" t="s">
        <v>1622</v>
      </c>
      <c r="D230" s="436"/>
      <c r="E230" s="428"/>
      <c r="F230" s="88"/>
      <c r="G230" s="56">
        <f>SUMIF(JournalsA!D$14:D$920,TrialBalanceA!M230,JournalsA!J$14:J$920)+SUMIF(JournalsA!E$14:E$920,TrialBalanceA!M230,JournalsA!J$14:J$920)</f>
        <v>0</v>
      </c>
      <c r="H230" s="443"/>
      <c r="I230" s="411">
        <f t="shared" si="44"/>
        <v>0</v>
      </c>
      <c r="J230" s="84"/>
      <c r="K230" s="57">
        <f t="shared" si="45"/>
        <v>0</v>
      </c>
      <c r="M230" s="197" t="str">
        <f t="shared" si="46"/>
        <v>6100/002Property - additions</v>
      </c>
      <c r="N230" s="79"/>
      <c r="P230" s="80"/>
      <c r="Q230" s="60"/>
      <c r="R230" s="34"/>
    </row>
    <row r="231" spans="1:18" x14ac:dyDescent="0.2">
      <c r="A231" s="394"/>
      <c r="B231" s="63" t="s">
        <v>181</v>
      </c>
      <c r="C231" s="398" t="s">
        <v>1623</v>
      </c>
      <c r="D231" s="436"/>
      <c r="E231" s="428"/>
      <c r="F231" s="88"/>
      <c r="G231" s="56">
        <f>SUMIF(JournalsA!D$14:D$920,TrialBalanceA!M231,JournalsA!J$14:J$920)+SUMIF(JournalsA!E$14:E$920,TrialBalanceA!M231,JournalsA!J$14:J$920)</f>
        <v>0</v>
      </c>
      <c r="H231" s="443"/>
      <c r="I231" s="411">
        <f t="shared" si="44"/>
        <v>0</v>
      </c>
      <c r="J231" s="84"/>
      <c r="K231" s="57">
        <f t="shared" si="45"/>
        <v>0</v>
      </c>
      <c r="M231" s="197" t="str">
        <f t="shared" si="46"/>
        <v>6100/003Property - cost of sales</v>
      </c>
      <c r="N231" s="79"/>
      <c r="P231" s="80"/>
      <c r="Q231" s="60"/>
      <c r="R231" s="34"/>
    </row>
    <row r="232" spans="1:18" x14ac:dyDescent="0.2">
      <c r="A232" s="394"/>
      <c r="B232" s="114" t="s">
        <v>1414</v>
      </c>
      <c r="C232" s="398" t="s">
        <v>1624</v>
      </c>
      <c r="D232" s="436"/>
      <c r="E232" s="428"/>
      <c r="F232" s="88"/>
      <c r="G232" s="56">
        <f>SUMIF(JournalsA!D$14:D$920,TrialBalanceA!M232,JournalsA!J$14:J$920)+SUMIF(JournalsA!E$14:E$920,TrialBalanceA!M232,JournalsA!J$14:J$920)</f>
        <v>0</v>
      </c>
      <c r="H232" s="443"/>
      <c r="I232" s="411">
        <f t="shared" ref="I232" si="50">ROUND(D232-E232+G232+F232,0)</f>
        <v>0</v>
      </c>
      <c r="J232" s="84"/>
      <c r="K232" s="57">
        <f t="shared" ref="K232" si="51">ROUND(SUM(A232),0)</f>
        <v>0</v>
      </c>
      <c r="M232" s="197" t="str">
        <f t="shared" ref="M232" si="52">CONCATENATE(B232,C232)</f>
        <v>6100/004Property - transfer to investment property</v>
      </c>
      <c r="N232" s="79"/>
      <c r="P232" s="80"/>
      <c r="Q232" s="60"/>
      <c r="R232" s="34"/>
    </row>
    <row r="233" spans="1:18" x14ac:dyDescent="0.2">
      <c r="A233" s="394"/>
      <c r="B233" s="114" t="s">
        <v>1555</v>
      </c>
      <c r="C233" s="398" t="s">
        <v>1625</v>
      </c>
      <c r="D233" s="436"/>
      <c r="E233" s="428"/>
      <c r="F233" s="88"/>
      <c r="G233" s="56">
        <f>SUMIF(JournalsA!D$14:D$920,TrialBalanceA!M233,JournalsA!J$14:J$920)+SUMIF(JournalsA!E$14:E$920,TrialBalanceA!M233,JournalsA!J$14:J$920)</f>
        <v>0</v>
      </c>
      <c r="H233" s="443"/>
      <c r="I233" s="411">
        <f t="shared" ref="I233" si="53">ROUND(D233-E233+G233+F233,0)</f>
        <v>0</v>
      </c>
      <c r="J233" s="84"/>
      <c r="K233" s="57">
        <f t="shared" ref="K233" si="54">ROUND(SUM(A233),0)</f>
        <v>0</v>
      </c>
      <c r="M233" s="197" t="str">
        <f t="shared" ref="M233" si="55">CONCATENATE(B233,C233)</f>
        <v>6100/005Property - transfer from investment property</v>
      </c>
      <c r="N233" s="79"/>
      <c r="P233" s="80"/>
      <c r="Q233" s="60"/>
      <c r="R233" s="34"/>
    </row>
    <row r="234" spans="1:18" x14ac:dyDescent="0.2">
      <c r="A234" s="394"/>
      <c r="B234" s="63" t="s">
        <v>344</v>
      </c>
      <c r="C234" s="397" t="s">
        <v>1626</v>
      </c>
      <c r="D234" s="437"/>
      <c r="E234" s="428"/>
      <c r="F234" s="88"/>
      <c r="G234" s="56">
        <f>SUMIF(JournalsA!D$14:D$920,TrialBalanceA!M234,JournalsA!J$14:J$920)+SUMIF(JournalsA!E$14:E$920,TrialBalanceA!M234,JournalsA!J$14:J$920)</f>
        <v>0</v>
      </c>
      <c r="H234" s="443"/>
      <c r="I234" s="411">
        <f t="shared" si="44"/>
        <v>0</v>
      </c>
      <c r="J234" s="84"/>
      <c r="K234" s="57">
        <f t="shared" si="45"/>
        <v>0</v>
      </c>
      <c r="M234" s="197" t="str">
        <f t="shared" si="46"/>
        <v>6100/020PROPERTY - ACC DEPR</v>
      </c>
      <c r="N234" s="79"/>
      <c r="P234" s="80"/>
      <c r="Q234" s="60"/>
      <c r="R234" s="34"/>
    </row>
    <row r="235" spans="1:18" x14ac:dyDescent="0.2">
      <c r="A235" s="394"/>
      <c r="B235" s="63" t="s">
        <v>345</v>
      </c>
      <c r="C235" s="398" t="s">
        <v>1627</v>
      </c>
      <c r="D235" s="436"/>
      <c r="E235" s="428"/>
      <c r="F235" s="88">
        <f>SUM(K235:K238)</f>
        <v>0</v>
      </c>
      <c r="G235" s="56">
        <f>SUMIF(JournalsA!D$14:D$920,TrialBalanceA!M235,JournalsA!J$14:J$920)+SUMIF(JournalsA!E$14:E$920,TrialBalanceA!M235,JournalsA!J$14:J$920)</f>
        <v>0</v>
      </c>
      <c r="H235" s="443"/>
      <c r="I235" s="411">
        <f t="shared" si="44"/>
        <v>0</v>
      </c>
      <c r="J235" s="84"/>
      <c r="K235" s="57">
        <f t="shared" si="45"/>
        <v>0</v>
      </c>
      <c r="M235" s="197" t="str">
        <f t="shared" si="46"/>
        <v>6100/021Property - acc depr b/fwd</v>
      </c>
      <c r="N235" s="79"/>
      <c r="P235" s="80"/>
      <c r="Q235" s="60"/>
      <c r="R235" s="34"/>
    </row>
    <row r="236" spans="1:18" x14ac:dyDescent="0.2">
      <c r="A236" s="394"/>
      <c r="B236" s="63" t="s">
        <v>346</v>
      </c>
      <c r="C236" s="398" t="s">
        <v>1628</v>
      </c>
      <c r="D236" s="436"/>
      <c r="E236" s="428"/>
      <c r="F236" s="88"/>
      <c r="G236" s="56">
        <f>SUMIF(JournalsA!D$14:D$920,TrialBalanceA!M236,JournalsA!J$14:J$920)+SUMIF(JournalsA!E$14:E$920,TrialBalanceA!M236,JournalsA!J$14:J$920)</f>
        <v>0</v>
      </c>
      <c r="H236" s="443"/>
      <c r="I236" s="411">
        <f t="shared" si="44"/>
        <v>0</v>
      </c>
      <c r="J236" s="84"/>
      <c r="K236" s="57">
        <f t="shared" si="45"/>
        <v>0</v>
      </c>
      <c r="M236" s="197" t="str">
        <f t="shared" si="46"/>
        <v>6100/022Property - depr this year</v>
      </c>
      <c r="N236" s="79"/>
      <c r="P236" s="80"/>
      <c r="Q236" s="60"/>
      <c r="R236" s="34"/>
    </row>
    <row r="237" spans="1:18" x14ac:dyDescent="0.2">
      <c r="A237" s="394"/>
      <c r="B237" s="63" t="s">
        <v>349</v>
      </c>
      <c r="C237" s="398" t="s">
        <v>1629</v>
      </c>
      <c r="D237" s="436"/>
      <c r="E237" s="428"/>
      <c r="F237" s="88"/>
      <c r="G237" s="56">
        <f>SUMIF(JournalsA!D$14:D$920,TrialBalanceA!M237,JournalsA!J$14:J$920)+SUMIF(JournalsA!E$14:E$920,TrialBalanceA!M237,JournalsA!J$14:J$920)</f>
        <v>0</v>
      </c>
      <c r="H237" s="443"/>
      <c r="I237" s="411">
        <f t="shared" si="44"/>
        <v>0</v>
      </c>
      <c r="J237" s="84"/>
      <c r="K237" s="57">
        <f t="shared" si="45"/>
        <v>0</v>
      </c>
      <c r="M237" s="197" t="str">
        <f t="shared" si="46"/>
        <v>6100/023Property - acc depr on sales</v>
      </c>
      <c r="N237" s="79"/>
      <c r="P237" s="80"/>
      <c r="Q237" s="60"/>
      <c r="R237" s="34"/>
    </row>
    <row r="238" spans="1:18" x14ac:dyDescent="0.2">
      <c r="A238" s="394"/>
      <c r="B238" s="114" t="s">
        <v>1543</v>
      </c>
      <c r="C238" s="398" t="s">
        <v>1630</v>
      </c>
      <c r="D238" s="436"/>
      <c r="E238" s="428"/>
      <c r="F238" s="88"/>
      <c r="G238" s="56">
        <f>SUMIF(JournalsA!D$14:D$920,TrialBalanceA!M238,JournalsA!J$14:J$920)+SUMIF(JournalsA!E$14:E$920,TrialBalanceA!M238,JournalsA!J$14:J$920)</f>
        <v>0</v>
      </c>
      <c r="H238" s="443"/>
      <c r="I238" s="411">
        <f t="shared" ref="I238" si="56">ROUND(D238-E238+G238+F238,0)</f>
        <v>0</v>
      </c>
      <c r="J238" s="84"/>
      <c r="K238" s="57">
        <f t="shared" ref="K238" si="57">ROUND(SUM(A238),0)</f>
        <v>0</v>
      </c>
      <c r="M238" s="197" t="str">
        <f t="shared" ref="M238" si="58">CONCATENATE(B238,C238)</f>
        <v>6100/024Property - recoupment of depr</v>
      </c>
      <c r="N238" s="79"/>
      <c r="P238" s="80"/>
      <c r="Q238" s="60"/>
      <c r="R238" s="34"/>
    </row>
    <row r="239" spans="1:18" x14ac:dyDescent="0.2">
      <c r="A239" s="394"/>
      <c r="B239" s="114" t="s">
        <v>862</v>
      </c>
      <c r="C239" s="397" t="s">
        <v>1409</v>
      </c>
      <c r="D239" s="436"/>
      <c r="E239" s="428"/>
      <c r="F239" s="88"/>
      <c r="G239" s="56">
        <f>SUMIF(JournalsA!D$14:D$920,TrialBalanceA!M239,JournalsA!J$14:J$920)+SUMIF(JournalsA!E$14:E$920,TrialBalanceA!M239,JournalsA!J$14:J$920)</f>
        <v>0</v>
      </c>
      <c r="H239" s="443"/>
      <c r="I239" s="411">
        <f t="shared" ref="I239:I243" si="59">ROUND(D239-E239+G239+F239,0)</f>
        <v>0</v>
      </c>
      <c r="J239" s="84"/>
      <c r="K239" s="57">
        <f t="shared" ref="K239:K243" si="60">ROUND(SUM(A239),0)</f>
        <v>0</v>
      </c>
      <c r="M239" s="197" t="str">
        <f t="shared" ref="M239:M243" si="61">CONCATENATE(B239,C239)</f>
        <v>6100/030INVESTMENT PROPERTY - COST</v>
      </c>
      <c r="N239" s="79"/>
      <c r="P239" s="80"/>
      <c r="Q239" s="60"/>
      <c r="R239" s="34"/>
    </row>
    <row r="240" spans="1:18" x14ac:dyDescent="0.2">
      <c r="A240" s="394"/>
      <c r="B240" s="114" t="s">
        <v>863</v>
      </c>
      <c r="C240" s="398" t="s">
        <v>1410</v>
      </c>
      <c r="D240" s="436"/>
      <c r="E240" s="428"/>
      <c r="F240" s="88">
        <f>SUM(K240:K244)</f>
        <v>0</v>
      </c>
      <c r="G240" s="56">
        <f>SUMIF(JournalsA!D$14:D$920,TrialBalanceA!M240,JournalsA!J$14:J$920)+SUMIF(JournalsA!E$14:E$920,TrialBalanceA!M240,JournalsA!J$14:J$920)</f>
        <v>0</v>
      </c>
      <c r="H240" s="443"/>
      <c r="I240" s="411">
        <f t="shared" si="59"/>
        <v>0</v>
      </c>
      <c r="J240" s="84"/>
      <c r="K240" s="57">
        <f t="shared" si="60"/>
        <v>0</v>
      </c>
      <c r="M240" s="197" t="str">
        <f t="shared" si="61"/>
        <v>6100/031Investment property - cost b/fwd</v>
      </c>
      <c r="N240" s="79"/>
      <c r="P240" s="80"/>
      <c r="Q240" s="60"/>
      <c r="R240" s="34"/>
    </row>
    <row r="241" spans="1:18" x14ac:dyDescent="0.2">
      <c r="A241" s="394"/>
      <c r="B241" s="114" t="s">
        <v>864</v>
      </c>
      <c r="C241" s="398" t="s">
        <v>1411</v>
      </c>
      <c r="D241" s="436"/>
      <c r="E241" s="428"/>
      <c r="F241" s="88"/>
      <c r="G241" s="56">
        <f>SUMIF(JournalsA!D$14:D$920,TrialBalanceA!M241,JournalsA!J$14:J$920)+SUMIF(JournalsA!E$14:E$920,TrialBalanceA!M241,JournalsA!J$14:J$920)</f>
        <v>0</v>
      </c>
      <c r="H241" s="443"/>
      <c r="I241" s="411">
        <f t="shared" si="59"/>
        <v>0</v>
      </c>
      <c r="J241" s="84"/>
      <c r="K241" s="57">
        <f t="shared" si="60"/>
        <v>0</v>
      </c>
      <c r="M241" s="197" t="str">
        <f t="shared" si="61"/>
        <v>6100/032Investment property - additions</v>
      </c>
      <c r="N241" s="79"/>
      <c r="P241" s="80"/>
      <c r="Q241" s="60"/>
      <c r="R241" s="34"/>
    </row>
    <row r="242" spans="1:18" x14ac:dyDescent="0.2">
      <c r="A242" s="394"/>
      <c r="B242" s="114" t="s">
        <v>865</v>
      </c>
      <c r="C242" s="398" t="s">
        <v>1412</v>
      </c>
      <c r="D242" s="436"/>
      <c r="E242" s="428"/>
      <c r="F242" s="88"/>
      <c r="G242" s="56">
        <f>SUMIF(JournalsA!D$14:D$920,TrialBalanceA!M242,JournalsA!J$14:J$920)+SUMIF(JournalsA!E$14:E$920,TrialBalanceA!M242,JournalsA!J$14:J$920)</f>
        <v>0</v>
      </c>
      <c r="H242" s="443"/>
      <c r="I242" s="411">
        <f t="shared" si="59"/>
        <v>0</v>
      </c>
      <c r="J242" s="84"/>
      <c r="K242" s="57">
        <f t="shared" si="60"/>
        <v>0</v>
      </c>
      <c r="M242" s="197" t="str">
        <f t="shared" si="61"/>
        <v>6100/033Investment property - cost of sales</v>
      </c>
      <c r="N242" s="79"/>
      <c r="P242" s="80"/>
      <c r="Q242" s="60"/>
      <c r="R242" s="34"/>
    </row>
    <row r="243" spans="1:18" x14ac:dyDescent="0.2">
      <c r="A243" s="394"/>
      <c r="B243" s="114" t="s">
        <v>1535</v>
      </c>
      <c r="C243" s="398" t="s">
        <v>1413</v>
      </c>
      <c r="D243" s="436"/>
      <c r="E243" s="428"/>
      <c r="F243" s="88"/>
      <c r="G243" s="56">
        <f>SUMIF(JournalsA!D$14:D$920,TrialBalanceA!M243,JournalsA!J$14:J$920)+SUMIF(JournalsA!E$14:E$920,TrialBalanceA!M243,JournalsA!J$14:J$920)</f>
        <v>0</v>
      </c>
      <c r="H243" s="443"/>
      <c r="I243" s="411">
        <f t="shared" si="59"/>
        <v>0</v>
      </c>
      <c r="J243" s="84"/>
      <c r="K243" s="57">
        <f t="shared" si="60"/>
        <v>0</v>
      </c>
      <c r="M243" s="197" t="str">
        <f t="shared" si="61"/>
        <v>6100/034Investment property - transfer from property</v>
      </c>
      <c r="N243" s="79"/>
      <c r="P243" s="80"/>
      <c r="Q243" s="60"/>
      <c r="R243" s="34"/>
    </row>
    <row r="244" spans="1:18" x14ac:dyDescent="0.2">
      <c r="A244" s="394"/>
      <c r="B244" s="114" t="s">
        <v>1556</v>
      </c>
      <c r="C244" s="398" t="s">
        <v>1557</v>
      </c>
      <c r="D244" s="436"/>
      <c r="E244" s="428"/>
      <c r="F244" s="88"/>
      <c r="G244" s="56">
        <f>SUMIF(JournalsA!D$14:D$920,TrialBalanceA!M244,JournalsA!J$14:J$920)+SUMIF(JournalsA!E$14:E$920,TrialBalanceA!M244,JournalsA!J$14:J$920)</f>
        <v>0</v>
      </c>
      <c r="H244" s="443"/>
      <c r="I244" s="411">
        <f t="shared" ref="I244" si="62">ROUND(D244-E244+G244+F244,0)</f>
        <v>0</v>
      </c>
      <c r="J244" s="84"/>
      <c r="K244" s="57">
        <f t="shared" ref="K244" si="63">ROUND(SUM(A244),0)</f>
        <v>0</v>
      </c>
      <c r="M244" s="197" t="str">
        <f t="shared" ref="M244" si="64">CONCATENATE(B244,C244)</f>
        <v>6100/035Investment property - transfer to property</v>
      </c>
      <c r="N244" s="79"/>
      <c r="P244" s="80"/>
      <c r="Q244" s="60"/>
      <c r="R244" s="34"/>
    </row>
    <row r="245" spans="1:18" x14ac:dyDescent="0.2">
      <c r="A245" s="394"/>
      <c r="B245" s="114" t="s">
        <v>1536</v>
      </c>
      <c r="C245" s="397" t="s">
        <v>1540</v>
      </c>
      <c r="D245" s="436"/>
      <c r="E245" s="428"/>
      <c r="F245" s="88"/>
      <c r="G245" s="56">
        <f>SUMIF(JournalsA!D$14:D$920,TrialBalanceA!M245,JournalsA!J$14:J$920)+SUMIF(JournalsA!E$14:E$920,TrialBalanceA!M245,JournalsA!J$14:J$920)</f>
        <v>0</v>
      </c>
      <c r="H245" s="443"/>
      <c r="I245" s="411">
        <f t="shared" ref="I245:I249" si="65">ROUND(D245-E245+G245+F245,0)</f>
        <v>0</v>
      </c>
      <c r="J245" s="84"/>
      <c r="K245" s="57">
        <f t="shared" ref="K245:K249" si="66">ROUND(SUM(A245),0)</f>
        <v>0</v>
      </c>
      <c r="M245" s="197" t="str">
        <f t="shared" ref="M245:M249" si="67">CONCATENATE(B245,C245)</f>
        <v>6100/040INVESTMENT PROPERTY - VALUATION</v>
      </c>
      <c r="N245" s="79"/>
      <c r="P245" s="80"/>
      <c r="Q245" s="60"/>
      <c r="R245" s="34"/>
    </row>
    <row r="246" spans="1:18" x14ac:dyDescent="0.2">
      <c r="A246" s="394"/>
      <c r="B246" s="114" t="s">
        <v>1537</v>
      </c>
      <c r="C246" s="398" t="s">
        <v>1541</v>
      </c>
      <c r="D246" s="436"/>
      <c r="E246" s="428"/>
      <c r="F246" s="88">
        <f>SUM(K246:K249)</f>
        <v>0</v>
      </c>
      <c r="G246" s="56">
        <f>SUMIF(JournalsA!D$14:D$920,TrialBalanceA!M246,JournalsA!J$14:J$920)+SUMIF(JournalsA!E$14:E$920,TrialBalanceA!M246,JournalsA!J$14:J$920)</f>
        <v>0</v>
      </c>
      <c r="H246" s="443"/>
      <c r="I246" s="411">
        <f t="shared" si="65"/>
        <v>0</v>
      </c>
      <c r="J246" s="84"/>
      <c r="K246" s="57">
        <f t="shared" si="66"/>
        <v>0</v>
      </c>
      <c r="M246" s="197" t="str">
        <f t="shared" si="67"/>
        <v>6100/041Investment property - valuation b/fwd</v>
      </c>
      <c r="N246" s="79"/>
      <c r="P246" s="80"/>
      <c r="Q246" s="60"/>
      <c r="R246" s="34"/>
    </row>
    <row r="247" spans="1:18" x14ac:dyDescent="0.2">
      <c r="A247" s="394"/>
      <c r="B247" s="114" t="s">
        <v>1538</v>
      </c>
      <c r="C247" s="398" t="s">
        <v>1542</v>
      </c>
      <c r="D247" s="436"/>
      <c r="E247" s="428"/>
      <c r="F247" s="88"/>
      <c r="G247" s="56">
        <f>SUMIF(JournalsA!D$14:D$920,TrialBalanceA!M247,JournalsA!J$14:J$920)+SUMIF(JournalsA!E$14:E$920,TrialBalanceA!M247,JournalsA!J$14:J$920)</f>
        <v>0</v>
      </c>
      <c r="H247" s="443"/>
      <c r="I247" s="411">
        <f t="shared" si="65"/>
        <v>0</v>
      </c>
      <c r="J247" s="84"/>
      <c r="K247" s="57">
        <f t="shared" si="66"/>
        <v>0</v>
      </c>
      <c r="M247" s="197" t="str">
        <f t="shared" si="67"/>
        <v>6100/042Investment property - valuation additions</v>
      </c>
      <c r="N247" s="79"/>
      <c r="P247" s="80"/>
      <c r="Q247" s="60"/>
      <c r="R247" s="34"/>
    </row>
    <row r="248" spans="1:18" x14ac:dyDescent="0.2">
      <c r="A248" s="394"/>
      <c r="B248" s="114" t="s">
        <v>1539</v>
      </c>
      <c r="C248" s="398" t="s">
        <v>1562</v>
      </c>
      <c r="D248" s="436"/>
      <c r="E248" s="428"/>
      <c r="F248" s="88"/>
      <c r="G248" s="56">
        <f>SUMIF(JournalsA!D$14:D$920,TrialBalanceA!M248,JournalsA!J$14:J$920)+SUMIF(JournalsA!E$14:E$920,TrialBalanceA!M248,JournalsA!J$14:J$920)</f>
        <v>0</v>
      </c>
      <c r="H248" s="443"/>
      <c r="I248" s="411">
        <f t="shared" ref="I248" si="68">ROUND(D248-E248+G248+F248,0)</f>
        <v>0</v>
      </c>
      <c r="J248" s="84"/>
      <c r="K248" s="57">
        <f t="shared" ref="K248" si="69">ROUND(SUM(A248),0)</f>
        <v>0</v>
      </c>
      <c r="M248" s="197" t="str">
        <f t="shared" ref="M248" si="70">CONCATENATE(B248,C248)</f>
        <v>6100/043Investment property - valuation reduction on sales</v>
      </c>
      <c r="N248" s="79"/>
      <c r="P248" s="80"/>
      <c r="Q248" s="60"/>
      <c r="R248" s="34"/>
    </row>
    <row r="249" spans="1:18" x14ac:dyDescent="0.2">
      <c r="A249" s="394"/>
      <c r="B249" s="114" t="s">
        <v>1563</v>
      </c>
      <c r="C249" s="398" t="s">
        <v>1564</v>
      </c>
      <c r="D249" s="436"/>
      <c r="E249" s="428"/>
      <c r="F249" s="88"/>
      <c r="G249" s="56">
        <f>SUMIF(JournalsA!D$14:D$920,TrialBalanceA!M249,JournalsA!J$14:J$920)+SUMIF(JournalsA!E$14:E$920,TrialBalanceA!M249,JournalsA!J$14:J$920)</f>
        <v>0</v>
      </c>
      <c r="H249" s="443"/>
      <c r="I249" s="411">
        <f t="shared" si="65"/>
        <v>0</v>
      </c>
      <c r="J249" s="84"/>
      <c r="K249" s="57">
        <f t="shared" si="66"/>
        <v>0</v>
      </c>
      <c r="M249" s="197" t="str">
        <f t="shared" si="67"/>
        <v>6100/044Investment property - valuation reduction on transfers</v>
      </c>
      <c r="N249" s="79"/>
      <c r="P249" s="80"/>
      <c r="Q249" s="60"/>
      <c r="R249" s="34"/>
    </row>
    <row r="250" spans="1:18" x14ac:dyDescent="0.2">
      <c r="A250" s="394"/>
      <c r="B250" s="63" t="s">
        <v>350</v>
      </c>
      <c r="C250" s="397" t="s">
        <v>1006</v>
      </c>
      <c r="D250" s="437"/>
      <c r="E250" s="428"/>
      <c r="F250" s="88"/>
      <c r="G250" s="56">
        <f>SUMIF(JournalsA!D$14:D$920,TrialBalanceA!M250,JournalsA!J$14:J$920)+SUMIF(JournalsA!E$14:E$920,TrialBalanceA!M250,JournalsA!J$14:J$920)</f>
        <v>0</v>
      </c>
      <c r="H250" s="443"/>
      <c r="I250" s="411">
        <f t="shared" si="44"/>
        <v>0</v>
      </c>
      <c r="J250" s="84"/>
      <c r="K250" s="57">
        <f t="shared" si="45"/>
        <v>0</v>
      </c>
      <c r="M250" s="197" t="str">
        <f t="shared" si="46"/>
        <v>6150/000PLANT AND MACHINERY - COST</v>
      </c>
      <c r="N250" s="79"/>
      <c r="P250" s="80"/>
      <c r="Q250" s="60"/>
      <c r="R250" s="34"/>
    </row>
    <row r="251" spans="1:18" x14ac:dyDescent="0.2">
      <c r="A251" s="394"/>
      <c r="B251" s="63" t="s">
        <v>43</v>
      </c>
      <c r="C251" s="398" t="s">
        <v>1007</v>
      </c>
      <c r="D251" s="436"/>
      <c r="E251" s="428"/>
      <c r="F251" s="88">
        <f>SUM(K251:K253)</f>
        <v>0</v>
      </c>
      <c r="G251" s="56">
        <f>SUMIF(JournalsA!D$14:D$920,TrialBalanceA!M251,JournalsA!J$14:J$920)+SUMIF(JournalsA!E$14:E$920,TrialBalanceA!M251,JournalsA!J$14:J$920)</f>
        <v>0</v>
      </c>
      <c r="H251" s="443"/>
      <c r="I251" s="411">
        <f t="shared" si="44"/>
        <v>0</v>
      </c>
      <c r="J251" s="84"/>
      <c r="K251" s="57">
        <f t="shared" si="45"/>
        <v>0</v>
      </c>
      <c r="M251" s="197" t="str">
        <f t="shared" si="46"/>
        <v>6150/001Plant and machinery - cost b/fwd</v>
      </c>
      <c r="N251" s="79"/>
      <c r="P251" s="80"/>
      <c r="Q251" s="60"/>
      <c r="R251" s="34"/>
    </row>
    <row r="252" spans="1:18" x14ac:dyDescent="0.2">
      <c r="A252" s="394"/>
      <c r="B252" s="63" t="s">
        <v>44</v>
      </c>
      <c r="C252" s="398" t="s">
        <v>1008</v>
      </c>
      <c r="D252" s="436"/>
      <c r="E252" s="428"/>
      <c r="F252" s="88"/>
      <c r="G252" s="56">
        <f>SUMIF(JournalsA!D$14:D$920,TrialBalanceA!M252,JournalsA!J$14:J$920)+SUMIF(JournalsA!E$14:E$920,TrialBalanceA!M252,JournalsA!J$14:J$920)</f>
        <v>0</v>
      </c>
      <c r="H252" s="443"/>
      <c r="I252" s="411">
        <f t="shared" si="44"/>
        <v>0</v>
      </c>
      <c r="J252" s="84"/>
      <c r="K252" s="57">
        <f t="shared" si="45"/>
        <v>0</v>
      </c>
      <c r="M252" s="197" t="str">
        <f t="shared" si="46"/>
        <v>6150/002Plant and machinery - additions</v>
      </c>
      <c r="N252" s="79"/>
      <c r="P252" s="80"/>
      <c r="Q252" s="60"/>
      <c r="R252" s="34"/>
    </row>
    <row r="253" spans="1:18" x14ac:dyDescent="0.2">
      <c r="A253" s="394"/>
      <c r="B253" s="63" t="s">
        <v>45</v>
      </c>
      <c r="C253" s="398" t="s">
        <v>1009</v>
      </c>
      <c r="D253" s="436"/>
      <c r="E253" s="428"/>
      <c r="F253" s="88"/>
      <c r="G253" s="56">
        <f>SUMIF(JournalsA!D$14:D$920,TrialBalanceA!M253,JournalsA!J$14:J$920)+SUMIF(JournalsA!E$14:E$920,TrialBalanceA!M253,JournalsA!J$14:J$920)</f>
        <v>0</v>
      </c>
      <c r="H253" s="443"/>
      <c r="I253" s="411">
        <f t="shared" ref="I253:I282" si="71">ROUND(D253-E253+G253+F253,0)</f>
        <v>0</v>
      </c>
      <c r="J253" s="84"/>
      <c r="K253" s="57">
        <f t="shared" si="45"/>
        <v>0</v>
      </c>
      <c r="M253" s="197" t="str">
        <f t="shared" si="46"/>
        <v>6150/003Plant and machinery - cost of sales</v>
      </c>
      <c r="N253" s="79"/>
      <c r="P253" s="80"/>
      <c r="Q253" s="60"/>
      <c r="R253" s="34"/>
    </row>
    <row r="254" spans="1:18" x14ac:dyDescent="0.2">
      <c r="A254" s="394"/>
      <c r="B254" s="63" t="s">
        <v>20</v>
      </c>
      <c r="C254" s="397" t="s">
        <v>1010</v>
      </c>
      <c r="D254" s="437"/>
      <c r="E254" s="428"/>
      <c r="F254" s="88"/>
      <c r="G254" s="56">
        <f>SUMIF(JournalsA!D$14:D$920,TrialBalanceA!M254,JournalsA!J$14:J$920)+SUMIF(JournalsA!E$14:E$920,TrialBalanceA!M254,JournalsA!J$14:J$920)</f>
        <v>0</v>
      </c>
      <c r="H254" s="443"/>
      <c r="I254" s="411">
        <f t="shared" si="71"/>
        <v>0</v>
      </c>
      <c r="J254" s="84"/>
      <c r="K254" s="57">
        <f t="shared" si="45"/>
        <v>0</v>
      </c>
      <c r="M254" s="197" t="str">
        <f t="shared" si="46"/>
        <v>6150/020PLANT AND MACHINERY - ACC DEPR</v>
      </c>
      <c r="N254" s="79"/>
      <c r="P254" s="80"/>
      <c r="Q254" s="60"/>
      <c r="R254" s="34"/>
    </row>
    <row r="255" spans="1:18" x14ac:dyDescent="0.2">
      <c r="A255" s="394"/>
      <c r="B255" s="63" t="s">
        <v>21</v>
      </c>
      <c r="C255" s="398" t="s">
        <v>1011</v>
      </c>
      <c r="D255" s="436"/>
      <c r="E255" s="428"/>
      <c r="F255" s="88">
        <f>SUM(K255:K257)</f>
        <v>0</v>
      </c>
      <c r="G255" s="56">
        <f>SUMIF(JournalsA!D$14:D$920,TrialBalanceA!M255,JournalsA!J$14:J$920)+SUMIF(JournalsA!E$14:E$920,TrialBalanceA!M255,JournalsA!J$14:J$920)</f>
        <v>0</v>
      </c>
      <c r="H255" s="443"/>
      <c r="I255" s="411">
        <f t="shared" si="71"/>
        <v>0</v>
      </c>
      <c r="J255" s="84"/>
      <c r="K255" s="57">
        <f t="shared" si="45"/>
        <v>0</v>
      </c>
      <c r="M255" s="197" t="str">
        <f t="shared" si="46"/>
        <v>6150/021Plant and machinery - acc depr b/fwd</v>
      </c>
      <c r="N255" s="79"/>
      <c r="P255" s="80"/>
      <c r="Q255" s="60"/>
      <c r="R255" s="34"/>
    </row>
    <row r="256" spans="1:18" x14ac:dyDescent="0.2">
      <c r="A256" s="394"/>
      <c r="B256" s="63" t="s">
        <v>37</v>
      </c>
      <c r="C256" s="398" t="s">
        <v>1012</v>
      </c>
      <c r="D256" s="436"/>
      <c r="E256" s="428"/>
      <c r="F256" s="88"/>
      <c r="G256" s="56">
        <f>SUMIF(JournalsA!D$14:D$920,TrialBalanceA!M256,JournalsA!J$14:J$920)+SUMIF(JournalsA!E$14:E$920,TrialBalanceA!M256,JournalsA!J$14:J$920)</f>
        <v>0</v>
      </c>
      <c r="H256" s="443"/>
      <c r="I256" s="411">
        <f t="shared" si="71"/>
        <v>0</v>
      </c>
      <c r="J256" s="84"/>
      <c r="K256" s="57">
        <f t="shared" si="45"/>
        <v>0</v>
      </c>
      <c r="M256" s="197" t="str">
        <f t="shared" si="46"/>
        <v>6150/022Plant and machinery - depr this year</v>
      </c>
      <c r="N256" s="79"/>
      <c r="P256" s="80"/>
      <c r="Q256" s="60"/>
      <c r="R256" s="34"/>
    </row>
    <row r="257" spans="1:18" x14ac:dyDescent="0.2">
      <c r="A257" s="394"/>
      <c r="B257" s="63" t="s">
        <v>38</v>
      </c>
      <c r="C257" s="398" t="s">
        <v>1013</v>
      </c>
      <c r="D257" s="436"/>
      <c r="E257" s="428"/>
      <c r="F257" s="88"/>
      <c r="G257" s="56">
        <f>SUMIF(JournalsA!D$14:D$920,TrialBalanceA!M257,JournalsA!J$14:J$920)+SUMIF(JournalsA!E$14:E$920,TrialBalanceA!M257,JournalsA!J$14:J$920)</f>
        <v>0</v>
      </c>
      <c r="H257" s="443"/>
      <c r="I257" s="411">
        <f t="shared" si="71"/>
        <v>0</v>
      </c>
      <c r="J257" s="84"/>
      <c r="K257" s="57">
        <f t="shared" si="45"/>
        <v>0</v>
      </c>
      <c r="M257" s="197" t="str">
        <f t="shared" si="46"/>
        <v>6150/023Plant and machinery - acc depr on sales</v>
      </c>
      <c r="N257" s="79"/>
      <c r="P257" s="80"/>
      <c r="Q257" s="60"/>
      <c r="R257" s="34"/>
    </row>
    <row r="258" spans="1:18" x14ac:dyDescent="0.2">
      <c r="A258" s="394"/>
      <c r="B258" s="63" t="s">
        <v>39</v>
      </c>
      <c r="C258" s="397" t="s">
        <v>40</v>
      </c>
      <c r="D258" s="437"/>
      <c r="E258" s="428"/>
      <c r="F258" s="88"/>
      <c r="G258" s="56">
        <f>SUMIF(JournalsA!D$14:D$920,TrialBalanceA!M258,JournalsA!J$14:J$920)+SUMIF(JournalsA!E$14:E$920,TrialBalanceA!M258,JournalsA!J$14:J$920)</f>
        <v>0</v>
      </c>
      <c r="H258" s="443"/>
      <c r="I258" s="411">
        <f t="shared" si="71"/>
        <v>0</v>
      </c>
      <c r="J258" s="84"/>
      <c r="K258" s="57">
        <f t="shared" si="45"/>
        <v>0</v>
      </c>
      <c r="M258" s="197" t="str">
        <f t="shared" si="46"/>
        <v>6200/000MOTOR VEHICLES - COST</v>
      </c>
      <c r="N258" s="79"/>
      <c r="P258" s="80"/>
      <c r="Q258" s="60"/>
      <c r="R258" s="34"/>
    </row>
    <row r="259" spans="1:18" x14ac:dyDescent="0.2">
      <c r="A259" s="394"/>
      <c r="B259" s="63" t="s">
        <v>41</v>
      </c>
      <c r="C259" s="398" t="s">
        <v>1014</v>
      </c>
      <c r="D259" s="436"/>
      <c r="E259" s="428"/>
      <c r="F259" s="88">
        <f>SUM(K259:K261)</f>
        <v>0</v>
      </c>
      <c r="G259" s="56">
        <f>SUMIF(JournalsA!D$14:D$920,TrialBalanceA!M259,JournalsA!J$14:J$920)+SUMIF(JournalsA!E$14:E$920,TrialBalanceA!M259,JournalsA!J$14:J$920)</f>
        <v>0</v>
      </c>
      <c r="H259" s="443"/>
      <c r="I259" s="411">
        <f t="shared" si="71"/>
        <v>0</v>
      </c>
      <c r="J259" s="84"/>
      <c r="K259" s="57">
        <f t="shared" si="45"/>
        <v>0</v>
      </c>
      <c r="M259" s="197" t="str">
        <f t="shared" si="46"/>
        <v>6200/001Motor vehicles - cost b/fwd</v>
      </c>
      <c r="N259" s="79"/>
      <c r="P259" s="80"/>
      <c r="Q259" s="60"/>
      <c r="R259" s="34"/>
    </row>
    <row r="260" spans="1:18" x14ac:dyDescent="0.2">
      <c r="A260" s="394"/>
      <c r="B260" s="63" t="s">
        <v>42</v>
      </c>
      <c r="C260" s="398" t="s">
        <v>1015</v>
      </c>
      <c r="D260" s="436"/>
      <c r="E260" s="428"/>
      <c r="F260" s="88"/>
      <c r="G260" s="56">
        <f>SUMIF(JournalsA!D$14:D$920,TrialBalanceA!M260,JournalsA!J$14:J$920)+SUMIF(JournalsA!E$14:E$920,TrialBalanceA!M260,JournalsA!J$14:J$920)</f>
        <v>0</v>
      </c>
      <c r="H260" s="443"/>
      <c r="I260" s="411">
        <f t="shared" si="71"/>
        <v>0</v>
      </c>
      <c r="J260" s="84"/>
      <c r="K260" s="57">
        <f t="shared" si="45"/>
        <v>0</v>
      </c>
      <c r="M260" s="197" t="str">
        <f t="shared" si="46"/>
        <v>6200/002Motor vehicles - additions</v>
      </c>
      <c r="N260" s="79"/>
      <c r="P260" s="80"/>
      <c r="Q260" s="60"/>
      <c r="R260" s="34"/>
    </row>
    <row r="261" spans="1:18" x14ac:dyDescent="0.2">
      <c r="A261" s="394"/>
      <c r="B261" s="63" t="s">
        <v>556</v>
      </c>
      <c r="C261" s="398" t="s">
        <v>1016</v>
      </c>
      <c r="D261" s="436"/>
      <c r="E261" s="428"/>
      <c r="F261" s="88"/>
      <c r="G261" s="56">
        <f>SUMIF(JournalsA!D$14:D$920,TrialBalanceA!M261,JournalsA!J$14:J$920)+SUMIF(JournalsA!E$14:E$920,TrialBalanceA!M261,JournalsA!J$14:J$920)</f>
        <v>0</v>
      </c>
      <c r="H261" s="443"/>
      <c r="I261" s="411">
        <f t="shared" si="71"/>
        <v>0</v>
      </c>
      <c r="J261" s="84"/>
      <c r="K261" s="57">
        <f t="shared" si="45"/>
        <v>0</v>
      </c>
      <c r="M261" s="197" t="str">
        <f t="shared" si="46"/>
        <v>6200/003Motor vehicles - cost of sales</v>
      </c>
      <c r="N261" s="79"/>
      <c r="P261" s="80"/>
      <c r="Q261" s="60"/>
      <c r="R261" s="34"/>
    </row>
    <row r="262" spans="1:18" x14ac:dyDescent="0.2">
      <c r="A262" s="394"/>
      <c r="B262" s="63" t="s">
        <v>0</v>
      </c>
      <c r="C262" s="397" t="s">
        <v>1</v>
      </c>
      <c r="D262" s="437"/>
      <c r="E262" s="428"/>
      <c r="F262" s="88"/>
      <c r="G262" s="56">
        <f>SUMIF(JournalsA!D$14:D$920,TrialBalanceA!M262,JournalsA!J$14:J$920)+SUMIF(JournalsA!E$14:E$920,TrialBalanceA!M262,JournalsA!J$14:J$920)</f>
        <v>0</v>
      </c>
      <c r="H262" s="443"/>
      <c r="I262" s="411">
        <f t="shared" si="71"/>
        <v>0</v>
      </c>
      <c r="J262" s="84"/>
      <c r="K262" s="57">
        <f t="shared" si="45"/>
        <v>0</v>
      </c>
      <c r="M262" s="197" t="str">
        <f t="shared" si="46"/>
        <v>6200/020MOTOR VEHICLES - ACC DEPR</v>
      </c>
      <c r="N262" s="79"/>
      <c r="P262" s="80"/>
      <c r="Q262" s="60"/>
      <c r="R262" s="34"/>
    </row>
    <row r="263" spans="1:18" x14ac:dyDescent="0.2">
      <c r="A263" s="394"/>
      <c r="B263" s="63" t="s">
        <v>2</v>
      </c>
      <c r="C263" s="398" t="s">
        <v>1017</v>
      </c>
      <c r="D263" s="436"/>
      <c r="E263" s="428"/>
      <c r="F263" s="88">
        <f>SUM(K263:K265)</f>
        <v>0</v>
      </c>
      <c r="G263" s="56">
        <f>SUMIF(JournalsA!D$14:D$920,TrialBalanceA!M263,JournalsA!J$14:J$920)+SUMIF(JournalsA!E$14:E$920,TrialBalanceA!M263,JournalsA!J$14:J$920)</f>
        <v>0</v>
      </c>
      <c r="H263" s="443"/>
      <c r="I263" s="411">
        <f t="shared" si="71"/>
        <v>0</v>
      </c>
      <c r="J263" s="84"/>
      <c r="K263" s="57">
        <f t="shared" si="45"/>
        <v>0</v>
      </c>
      <c r="M263" s="197" t="str">
        <f t="shared" si="46"/>
        <v>6200/021Motor vehicles - acc depr b/fwd</v>
      </c>
      <c r="N263" s="79"/>
      <c r="P263" s="80"/>
      <c r="Q263" s="60"/>
      <c r="R263" s="34"/>
    </row>
    <row r="264" spans="1:18" x14ac:dyDescent="0.2">
      <c r="A264" s="394"/>
      <c r="B264" s="63" t="s">
        <v>3</v>
      </c>
      <c r="C264" s="398" t="s">
        <v>1018</v>
      </c>
      <c r="D264" s="436"/>
      <c r="E264" s="428"/>
      <c r="F264" s="88"/>
      <c r="G264" s="56">
        <f>SUMIF(JournalsA!D$14:D$920,TrialBalanceA!M264,JournalsA!J$14:J$920)+SUMIF(JournalsA!E$14:E$920,TrialBalanceA!M264,JournalsA!J$14:J$920)</f>
        <v>0</v>
      </c>
      <c r="H264" s="443"/>
      <c r="I264" s="411">
        <f t="shared" si="71"/>
        <v>0</v>
      </c>
      <c r="J264" s="84"/>
      <c r="K264" s="57">
        <f t="shared" si="45"/>
        <v>0</v>
      </c>
      <c r="M264" s="197" t="str">
        <f t="shared" si="46"/>
        <v>6200/022Motor vehicles - depr this year</v>
      </c>
      <c r="N264" s="79"/>
      <c r="P264" s="80"/>
      <c r="Q264" s="60"/>
      <c r="R264" s="34"/>
    </row>
    <row r="265" spans="1:18" x14ac:dyDescent="0.2">
      <c r="A265" s="394"/>
      <c r="B265" s="63" t="s">
        <v>4</v>
      </c>
      <c r="C265" s="398" t="s">
        <v>1019</v>
      </c>
      <c r="D265" s="436"/>
      <c r="E265" s="428"/>
      <c r="F265" s="88"/>
      <c r="G265" s="56">
        <f>SUMIF(JournalsA!D$14:D$920,TrialBalanceA!M265,JournalsA!J$14:J$920)+SUMIF(JournalsA!E$14:E$920,TrialBalanceA!M265,JournalsA!J$14:J$920)</f>
        <v>0</v>
      </c>
      <c r="H265" s="443"/>
      <c r="I265" s="411">
        <f t="shared" si="71"/>
        <v>0</v>
      </c>
      <c r="J265" s="84"/>
      <c r="K265" s="57">
        <f t="shared" si="45"/>
        <v>0</v>
      </c>
      <c r="M265" s="197" t="str">
        <f t="shared" si="46"/>
        <v>6200/023Motor vehicles - acc depr on sales</v>
      </c>
      <c r="N265" s="79"/>
      <c r="P265" s="80"/>
      <c r="Q265" s="60"/>
      <c r="R265" s="34"/>
    </row>
    <row r="266" spans="1:18" x14ac:dyDescent="0.2">
      <c r="A266" s="394"/>
      <c r="B266" s="63" t="s">
        <v>5</v>
      </c>
      <c r="C266" s="397" t="s">
        <v>150</v>
      </c>
      <c r="D266" s="437"/>
      <c r="E266" s="428"/>
      <c r="F266" s="88"/>
      <c r="G266" s="56">
        <f>SUMIF(JournalsA!D$14:D$920,TrialBalanceA!M266,JournalsA!J$14:J$920)+SUMIF(JournalsA!E$14:E$920,TrialBalanceA!M266,JournalsA!J$14:J$920)</f>
        <v>0</v>
      </c>
      <c r="H266" s="443"/>
      <c r="I266" s="411">
        <f t="shared" si="71"/>
        <v>0</v>
      </c>
      <c r="J266" s="84"/>
      <c r="K266" s="57">
        <f t="shared" si="45"/>
        <v>0</v>
      </c>
      <c r="M266" s="197" t="str">
        <f t="shared" si="46"/>
        <v>6250/000ELECTRONIC EQUIPMENT - COST</v>
      </c>
      <c r="N266" s="79"/>
      <c r="P266" s="80"/>
      <c r="Q266" s="60"/>
      <c r="R266" s="34"/>
    </row>
    <row r="267" spans="1:18" x14ac:dyDescent="0.2">
      <c r="A267" s="394"/>
      <c r="B267" s="63" t="s">
        <v>6</v>
      </c>
      <c r="C267" s="398" t="s">
        <v>1020</v>
      </c>
      <c r="D267" s="436"/>
      <c r="E267" s="428"/>
      <c r="F267" s="88">
        <f>SUM(K267:K269)</f>
        <v>0</v>
      </c>
      <c r="G267" s="56">
        <f>SUMIF(JournalsA!D$14:D$920,TrialBalanceA!M267,JournalsA!J$14:J$920)+SUMIF(JournalsA!E$14:E$920,TrialBalanceA!M267,JournalsA!J$14:J$920)</f>
        <v>0</v>
      </c>
      <c r="H267" s="443"/>
      <c r="I267" s="411">
        <f t="shared" si="71"/>
        <v>0</v>
      </c>
      <c r="J267" s="84"/>
      <c r="K267" s="57">
        <f t="shared" si="45"/>
        <v>0</v>
      </c>
      <c r="M267" s="197" t="str">
        <f t="shared" si="46"/>
        <v>6250/001Electronic equipment - cost b/fwd</v>
      </c>
      <c r="N267" s="79"/>
      <c r="P267" s="80"/>
      <c r="Q267" s="60"/>
      <c r="R267" s="34"/>
    </row>
    <row r="268" spans="1:18" x14ac:dyDescent="0.2">
      <c r="A268" s="394"/>
      <c r="B268" s="63" t="s">
        <v>7</v>
      </c>
      <c r="C268" s="398" t="s">
        <v>1021</v>
      </c>
      <c r="D268" s="436"/>
      <c r="E268" s="428"/>
      <c r="F268" s="88"/>
      <c r="G268" s="56">
        <f>SUMIF(JournalsA!D$14:D$920,TrialBalanceA!M268,JournalsA!J$14:J$920)+SUMIF(JournalsA!E$14:E$920,TrialBalanceA!M268,JournalsA!J$14:J$920)</f>
        <v>0</v>
      </c>
      <c r="H268" s="443"/>
      <c r="I268" s="411">
        <f t="shared" si="71"/>
        <v>0</v>
      </c>
      <c r="J268" s="84"/>
      <c r="K268" s="57">
        <f t="shared" si="45"/>
        <v>0</v>
      </c>
      <c r="M268" s="197" t="str">
        <f t="shared" si="46"/>
        <v>6250/002Electronic equipment - additions</v>
      </c>
      <c r="N268" s="79"/>
      <c r="P268" s="80"/>
      <c r="Q268" s="60"/>
      <c r="R268" s="34"/>
    </row>
    <row r="269" spans="1:18" x14ac:dyDescent="0.2">
      <c r="A269" s="394"/>
      <c r="B269" s="63" t="s">
        <v>8</v>
      </c>
      <c r="C269" s="398" t="s">
        <v>1022</v>
      </c>
      <c r="D269" s="436"/>
      <c r="E269" s="428"/>
      <c r="F269" s="88"/>
      <c r="G269" s="56">
        <f>SUMIF(JournalsA!D$14:D$920,TrialBalanceA!M269,JournalsA!J$14:J$920)+SUMIF(JournalsA!E$14:E$920,TrialBalanceA!M269,JournalsA!J$14:J$920)</f>
        <v>0</v>
      </c>
      <c r="H269" s="443"/>
      <c r="I269" s="411">
        <f t="shared" si="71"/>
        <v>0</v>
      </c>
      <c r="J269" s="84"/>
      <c r="K269" s="57">
        <f t="shared" si="45"/>
        <v>0</v>
      </c>
      <c r="M269" s="197" t="str">
        <f t="shared" si="46"/>
        <v>6250/003Electronic equipment - cost of sales</v>
      </c>
      <c r="N269" s="79"/>
      <c r="P269" s="80"/>
      <c r="Q269" s="60"/>
      <c r="R269" s="34"/>
    </row>
    <row r="270" spans="1:18" x14ac:dyDescent="0.2">
      <c r="A270" s="394"/>
      <c r="B270" s="63" t="s">
        <v>9</v>
      </c>
      <c r="C270" s="397" t="s">
        <v>151</v>
      </c>
      <c r="D270" s="437"/>
      <c r="E270" s="428"/>
      <c r="F270" s="88"/>
      <c r="G270" s="56">
        <f>SUMIF(JournalsA!D$14:D$920,TrialBalanceA!M270,JournalsA!J$14:J$920)+SUMIF(JournalsA!E$14:E$920,TrialBalanceA!M270,JournalsA!J$14:J$920)</f>
        <v>0</v>
      </c>
      <c r="H270" s="443"/>
      <c r="I270" s="411">
        <f t="shared" si="71"/>
        <v>0</v>
      </c>
      <c r="J270" s="84"/>
      <c r="K270" s="57">
        <f t="shared" si="45"/>
        <v>0</v>
      </c>
      <c r="M270" s="197" t="str">
        <f t="shared" si="46"/>
        <v>6250/020ELECTRONIC EQUIPMENT - ACC DEPR</v>
      </c>
      <c r="N270" s="79"/>
      <c r="P270" s="80"/>
      <c r="Q270" s="60"/>
      <c r="R270" s="34"/>
    </row>
    <row r="271" spans="1:18" x14ac:dyDescent="0.2">
      <c r="A271" s="394"/>
      <c r="B271" s="63" t="s">
        <v>10</v>
      </c>
      <c r="C271" s="398" t="s">
        <v>1023</v>
      </c>
      <c r="D271" s="436"/>
      <c r="E271" s="428"/>
      <c r="F271" s="88">
        <f>SUM(K271:K273)</f>
        <v>0</v>
      </c>
      <c r="G271" s="56">
        <f>SUMIF(JournalsA!D$14:D$920,TrialBalanceA!M271,JournalsA!J$14:J$920)+SUMIF(JournalsA!E$14:E$920,TrialBalanceA!M271,JournalsA!J$14:J$920)</f>
        <v>0</v>
      </c>
      <c r="H271" s="443"/>
      <c r="I271" s="411">
        <f t="shared" si="71"/>
        <v>0</v>
      </c>
      <c r="J271" s="84"/>
      <c r="K271" s="57">
        <f t="shared" si="45"/>
        <v>0</v>
      </c>
      <c r="M271" s="197" t="str">
        <f t="shared" si="46"/>
        <v>6250/021Electronic equipment - acc depr b/fwd</v>
      </c>
      <c r="N271" s="79"/>
      <c r="P271" s="80"/>
      <c r="Q271" s="60"/>
      <c r="R271" s="34"/>
    </row>
    <row r="272" spans="1:18" x14ac:dyDescent="0.2">
      <c r="A272" s="394"/>
      <c r="B272" s="63" t="s">
        <v>11</v>
      </c>
      <c r="C272" s="398" t="s">
        <v>1024</v>
      </c>
      <c r="D272" s="436"/>
      <c r="E272" s="428"/>
      <c r="F272" s="88"/>
      <c r="G272" s="56">
        <f>SUMIF(JournalsA!D$14:D$920,TrialBalanceA!M272,JournalsA!J$14:J$920)+SUMIF(JournalsA!E$14:E$920,TrialBalanceA!M272,JournalsA!J$14:J$920)</f>
        <v>0</v>
      </c>
      <c r="H272" s="443"/>
      <c r="I272" s="411">
        <f t="shared" si="71"/>
        <v>0</v>
      </c>
      <c r="J272" s="84"/>
      <c r="K272" s="57">
        <f t="shared" si="45"/>
        <v>0</v>
      </c>
      <c r="M272" s="197" t="str">
        <f t="shared" si="46"/>
        <v>6250/022Electronic equipment - depr this year</v>
      </c>
      <c r="N272" s="79"/>
      <c r="P272" s="80"/>
      <c r="Q272" s="60"/>
      <c r="R272" s="34"/>
    </row>
    <row r="273" spans="1:18" x14ac:dyDescent="0.2">
      <c r="A273" s="394"/>
      <c r="B273" s="63" t="s">
        <v>12</v>
      </c>
      <c r="C273" s="398" t="s">
        <v>1025</v>
      </c>
      <c r="D273" s="436"/>
      <c r="E273" s="428"/>
      <c r="F273" s="88"/>
      <c r="G273" s="56">
        <f>SUMIF(JournalsA!D$14:D$920,TrialBalanceA!M273,JournalsA!J$14:J$920)+SUMIF(JournalsA!E$14:E$920,TrialBalanceA!M273,JournalsA!J$14:J$920)</f>
        <v>0</v>
      </c>
      <c r="H273" s="443"/>
      <c r="I273" s="411">
        <f t="shared" si="71"/>
        <v>0</v>
      </c>
      <c r="J273" s="84"/>
      <c r="K273" s="57">
        <f t="shared" si="45"/>
        <v>0</v>
      </c>
      <c r="M273" s="197" t="str">
        <f t="shared" si="46"/>
        <v>6250/023Electronic equipment - acc depr on sales</v>
      </c>
      <c r="N273" s="79"/>
      <c r="P273" s="80"/>
      <c r="Q273" s="60"/>
      <c r="R273" s="34"/>
    </row>
    <row r="274" spans="1:18" x14ac:dyDescent="0.2">
      <c r="A274" s="394"/>
      <c r="B274" s="63" t="s">
        <v>16</v>
      </c>
      <c r="C274" s="397" t="s">
        <v>1026</v>
      </c>
      <c r="D274" s="437"/>
      <c r="E274" s="428"/>
      <c r="F274" s="88"/>
      <c r="G274" s="56">
        <f>SUMIF(JournalsA!D$14:D$920,TrialBalanceA!M274,JournalsA!J$14:J$920)+SUMIF(JournalsA!E$14:E$920,TrialBalanceA!M274,JournalsA!J$14:J$920)</f>
        <v>0</v>
      </c>
      <c r="H274" s="443"/>
      <c r="I274" s="411">
        <f t="shared" si="71"/>
        <v>0</v>
      </c>
      <c r="J274" s="84"/>
      <c r="K274" s="57">
        <f t="shared" si="45"/>
        <v>0</v>
      </c>
      <c r="M274" s="197" t="str">
        <f t="shared" si="46"/>
        <v>6350/000FURNITURE AND FITTINGS - COST</v>
      </c>
      <c r="N274" s="79"/>
      <c r="P274" s="80"/>
      <c r="Q274" s="60"/>
      <c r="R274" s="34"/>
    </row>
    <row r="275" spans="1:18" x14ac:dyDescent="0.2">
      <c r="A275" s="394"/>
      <c r="B275" s="63" t="s">
        <v>17</v>
      </c>
      <c r="C275" s="398" t="s">
        <v>1027</v>
      </c>
      <c r="D275" s="436"/>
      <c r="E275" s="428"/>
      <c r="F275" s="88">
        <f>SUM(K275:K277)</f>
        <v>0</v>
      </c>
      <c r="G275" s="56">
        <f>SUMIF(JournalsA!D$14:D$920,TrialBalanceA!M275,JournalsA!J$14:J$920)+SUMIF(JournalsA!E$14:E$920,TrialBalanceA!M275,JournalsA!J$14:J$920)</f>
        <v>0</v>
      </c>
      <c r="H275" s="443"/>
      <c r="I275" s="411">
        <f t="shared" si="71"/>
        <v>0</v>
      </c>
      <c r="J275" s="84"/>
      <c r="K275" s="57">
        <f t="shared" si="45"/>
        <v>0</v>
      </c>
      <c r="M275" s="197" t="str">
        <f t="shared" si="46"/>
        <v>6350/001Furniture and fittings - cost b/fwd</v>
      </c>
      <c r="N275" s="79"/>
      <c r="P275" s="80"/>
      <c r="Q275" s="60"/>
      <c r="R275" s="34"/>
    </row>
    <row r="276" spans="1:18" x14ac:dyDescent="0.2">
      <c r="A276" s="394"/>
      <c r="B276" s="63" t="s">
        <v>500</v>
      </c>
      <c r="C276" s="398" t="s">
        <v>1028</v>
      </c>
      <c r="D276" s="436"/>
      <c r="E276" s="428"/>
      <c r="F276" s="88"/>
      <c r="G276" s="56">
        <f>SUMIF(JournalsA!D$14:D$920,TrialBalanceA!M276,JournalsA!J$14:J$920)+SUMIF(JournalsA!E$14:E$920,TrialBalanceA!M276,JournalsA!J$14:J$920)</f>
        <v>0</v>
      </c>
      <c r="H276" s="443"/>
      <c r="I276" s="411">
        <f t="shared" si="71"/>
        <v>0</v>
      </c>
      <c r="J276" s="84"/>
      <c r="K276" s="57">
        <f t="shared" si="45"/>
        <v>0</v>
      </c>
      <c r="M276" s="197" t="str">
        <f t="shared" si="46"/>
        <v>6350/002Furniture and fittings - additions</v>
      </c>
      <c r="N276" s="79"/>
      <c r="P276" s="80"/>
      <c r="Q276" s="60"/>
      <c r="R276" s="34"/>
    </row>
    <row r="277" spans="1:18" x14ac:dyDescent="0.2">
      <c r="A277" s="394"/>
      <c r="B277" s="63" t="s">
        <v>516</v>
      </c>
      <c r="C277" s="398" t="s">
        <v>1029</v>
      </c>
      <c r="D277" s="436"/>
      <c r="E277" s="428"/>
      <c r="F277" s="88"/>
      <c r="G277" s="56">
        <f>SUMIF(JournalsA!D$14:D$920,TrialBalanceA!M277,JournalsA!J$14:J$920)+SUMIF(JournalsA!E$14:E$920,TrialBalanceA!M277,JournalsA!J$14:J$920)</f>
        <v>0</v>
      </c>
      <c r="H277" s="443"/>
      <c r="I277" s="411">
        <f t="shared" si="71"/>
        <v>0</v>
      </c>
      <c r="J277" s="84"/>
      <c r="K277" s="57">
        <f t="shared" si="45"/>
        <v>0</v>
      </c>
      <c r="M277" s="197" t="str">
        <f t="shared" si="46"/>
        <v>6350/003Furniture and fittings - cost of sales</v>
      </c>
      <c r="N277" s="79"/>
      <c r="P277" s="80"/>
      <c r="Q277" s="60"/>
      <c r="R277" s="34"/>
    </row>
    <row r="278" spans="1:18" x14ac:dyDescent="0.2">
      <c r="A278" s="394"/>
      <c r="B278" s="63" t="s">
        <v>331</v>
      </c>
      <c r="C278" s="397" t="s">
        <v>1030</v>
      </c>
      <c r="D278" s="437"/>
      <c r="E278" s="428"/>
      <c r="F278" s="88"/>
      <c r="G278" s="56">
        <f>SUMIF(JournalsA!D$14:D$920,TrialBalanceA!M278,JournalsA!J$14:J$920)+SUMIF(JournalsA!E$14:E$920,TrialBalanceA!M278,JournalsA!J$14:J$920)</f>
        <v>0</v>
      </c>
      <c r="H278" s="443"/>
      <c r="I278" s="411">
        <f t="shared" si="71"/>
        <v>0</v>
      </c>
      <c r="J278" s="84"/>
      <c r="K278" s="57">
        <f t="shared" si="45"/>
        <v>0</v>
      </c>
      <c r="M278" s="197" t="str">
        <f t="shared" si="46"/>
        <v>6350/020FURNITURE AND FITTINGS - ACC DEPR</v>
      </c>
      <c r="N278" s="79"/>
      <c r="P278" s="80"/>
      <c r="Q278" s="60"/>
      <c r="R278" s="34"/>
    </row>
    <row r="279" spans="1:18" x14ac:dyDescent="0.2">
      <c r="A279" s="394"/>
      <c r="B279" s="63" t="s">
        <v>183</v>
      </c>
      <c r="C279" s="398" t="s">
        <v>1031</v>
      </c>
      <c r="D279" s="436"/>
      <c r="E279" s="428"/>
      <c r="F279" s="88">
        <f>SUM(K279:K281)</f>
        <v>0</v>
      </c>
      <c r="G279" s="56">
        <f>SUMIF(JournalsA!D$14:D$920,TrialBalanceA!M279,JournalsA!J$14:J$920)+SUMIF(JournalsA!E$14:E$920,TrialBalanceA!M279,JournalsA!J$14:J$920)</f>
        <v>0</v>
      </c>
      <c r="H279" s="443"/>
      <c r="I279" s="411">
        <f t="shared" si="71"/>
        <v>0</v>
      </c>
      <c r="J279" s="84"/>
      <c r="K279" s="57">
        <f t="shared" si="45"/>
        <v>0</v>
      </c>
      <c r="M279" s="197" t="str">
        <f t="shared" si="46"/>
        <v>6350/021Furniture and fittings - acc depr b/fwd</v>
      </c>
      <c r="N279" s="79"/>
      <c r="P279" s="80"/>
      <c r="Q279" s="60"/>
      <c r="R279" s="34"/>
    </row>
    <row r="280" spans="1:18" x14ac:dyDescent="0.2">
      <c r="A280" s="394"/>
      <c r="B280" s="63" t="s">
        <v>184</v>
      </c>
      <c r="C280" s="398" t="s">
        <v>1032</v>
      </c>
      <c r="D280" s="436"/>
      <c r="E280" s="428"/>
      <c r="F280" s="88"/>
      <c r="G280" s="56">
        <f>SUMIF(JournalsA!D$14:D$920,TrialBalanceA!M280,JournalsA!J$14:J$920)+SUMIF(JournalsA!E$14:E$920,TrialBalanceA!M280,JournalsA!J$14:J$920)</f>
        <v>0</v>
      </c>
      <c r="H280" s="443"/>
      <c r="I280" s="411">
        <f t="shared" si="71"/>
        <v>0</v>
      </c>
      <c r="J280" s="84"/>
      <c r="K280" s="57">
        <f t="shared" si="45"/>
        <v>0</v>
      </c>
      <c r="M280" s="197" t="str">
        <f t="shared" si="46"/>
        <v>6350/022Furniture and fittings - depr this year</v>
      </c>
      <c r="N280" s="79"/>
      <c r="P280" s="80"/>
      <c r="Q280" s="60"/>
      <c r="R280" s="34"/>
    </row>
    <row r="281" spans="1:18" x14ac:dyDescent="0.2">
      <c r="A281" s="394"/>
      <c r="B281" s="63" t="s">
        <v>300</v>
      </c>
      <c r="C281" s="398" t="s">
        <v>1033</v>
      </c>
      <c r="D281" s="436"/>
      <c r="E281" s="428"/>
      <c r="F281" s="88"/>
      <c r="G281" s="56">
        <f>SUMIF(JournalsA!D$14:D$920,TrialBalanceA!M281,JournalsA!J$14:J$920)+SUMIF(JournalsA!E$14:E$920,TrialBalanceA!M281,JournalsA!J$14:J$920)</f>
        <v>0</v>
      </c>
      <c r="H281" s="443"/>
      <c r="I281" s="411">
        <f t="shared" si="71"/>
        <v>0</v>
      </c>
      <c r="J281" s="84"/>
      <c r="K281" s="57">
        <f t="shared" si="45"/>
        <v>0</v>
      </c>
      <c r="M281" s="197" t="str">
        <f t="shared" si="46"/>
        <v>6350/023Furniture and fittings - acc depr on sales</v>
      </c>
      <c r="N281" s="79"/>
      <c r="P281" s="80"/>
      <c r="Q281" s="60"/>
      <c r="R281" s="34"/>
    </row>
    <row r="282" spans="1:18" x14ac:dyDescent="0.2">
      <c r="A282" s="394"/>
      <c r="B282" s="63" t="s">
        <v>538</v>
      </c>
      <c r="C282" s="397" t="s">
        <v>57</v>
      </c>
      <c r="D282" s="437"/>
      <c r="E282" s="428"/>
      <c r="F282" s="88"/>
      <c r="G282" s="56">
        <f>SUMIF(JournalsA!D$14:D$920,TrialBalanceA!M282,JournalsA!J$14:J$920)+SUMIF(JournalsA!E$14:E$920,TrialBalanceA!M282,JournalsA!J$14:J$920)</f>
        <v>0</v>
      </c>
      <c r="H282" s="443"/>
      <c r="I282" s="411">
        <f t="shared" si="71"/>
        <v>0</v>
      </c>
      <c r="J282" s="84"/>
      <c r="K282" s="57">
        <f t="shared" si="45"/>
        <v>0</v>
      </c>
      <c r="M282" s="197" t="str">
        <f t="shared" si="46"/>
        <v>7000/000INTANGIBLE ASSETS</v>
      </c>
      <c r="N282" s="79"/>
      <c r="P282" s="80"/>
      <c r="Q282" s="60"/>
      <c r="R282" s="34"/>
    </row>
    <row r="283" spans="1:18" x14ac:dyDescent="0.2">
      <c r="A283" s="394"/>
      <c r="B283" s="114" t="s">
        <v>1489</v>
      </c>
      <c r="C283" s="397" t="s">
        <v>1490</v>
      </c>
      <c r="D283" s="437"/>
      <c r="E283" s="428"/>
      <c r="F283" s="88"/>
      <c r="G283" s="56">
        <f>SUMIF(JournalsA!D$14:D$920,TrialBalanceA!M283,JournalsA!J$14:J$920)+SUMIF(JournalsA!E$14:E$920,TrialBalanceA!M283,JournalsA!J$14:J$920)</f>
        <v>0</v>
      </c>
      <c r="H283" s="443"/>
      <c r="I283" s="411">
        <f t="shared" ref="I283:I299" si="72">ROUND(D283-E283+G283+F283,0)</f>
        <v>0</v>
      </c>
      <c r="J283" s="84"/>
      <c r="K283" s="57">
        <f t="shared" ref="K283:K300" si="73">ROUND(SUM(A283),0)</f>
        <v>0</v>
      </c>
      <c r="M283" s="197" t="str">
        <f t="shared" ref="M283:M300" si="74">CONCATENATE(B283,C283)</f>
        <v>7000/001GOODWILL - COST</v>
      </c>
      <c r="N283" s="79"/>
      <c r="P283" s="80"/>
      <c r="Q283" s="60"/>
      <c r="R283" s="34"/>
    </row>
    <row r="284" spans="1:18" x14ac:dyDescent="0.2">
      <c r="A284" s="394"/>
      <c r="B284" s="114" t="s">
        <v>1491</v>
      </c>
      <c r="C284" s="398" t="s">
        <v>1492</v>
      </c>
      <c r="D284" s="437"/>
      <c r="E284" s="428"/>
      <c r="F284" s="88">
        <f>SUM(K284:K285)</f>
        <v>0</v>
      </c>
      <c r="G284" s="56">
        <f>SUMIF(JournalsA!D$14:D$920,TrialBalanceA!M284,JournalsA!J$14:J$920)+SUMIF(JournalsA!E$14:E$920,TrialBalanceA!M284,JournalsA!J$14:J$920)</f>
        <v>0</v>
      </c>
      <c r="H284" s="443"/>
      <c r="I284" s="411">
        <f t="shared" si="72"/>
        <v>0</v>
      </c>
      <c r="J284" s="84"/>
      <c r="K284" s="57">
        <f t="shared" si="73"/>
        <v>0</v>
      </c>
      <c r="M284" s="197" t="str">
        <f t="shared" si="74"/>
        <v>7000/002Goodwill - cost b/fwd</v>
      </c>
      <c r="N284" s="79"/>
      <c r="P284" s="80"/>
      <c r="Q284" s="60"/>
      <c r="R284" s="34"/>
    </row>
    <row r="285" spans="1:18" x14ac:dyDescent="0.2">
      <c r="A285" s="394"/>
      <c r="B285" s="114" t="s">
        <v>1493</v>
      </c>
      <c r="C285" s="398" t="s">
        <v>1494</v>
      </c>
      <c r="D285" s="437"/>
      <c r="E285" s="428"/>
      <c r="F285" s="88"/>
      <c r="G285" s="56">
        <f>SUMIF(JournalsA!D$14:D$920,TrialBalanceA!M285,JournalsA!J$14:J$920)+SUMIF(JournalsA!E$14:E$920,TrialBalanceA!M285,JournalsA!J$14:J$920)</f>
        <v>0</v>
      </c>
      <c r="H285" s="443"/>
      <c r="I285" s="411">
        <f t="shared" si="72"/>
        <v>0</v>
      </c>
      <c r="J285" s="84"/>
      <c r="K285" s="57">
        <f t="shared" si="73"/>
        <v>0</v>
      </c>
      <c r="M285" s="197" t="str">
        <f t="shared" si="74"/>
        <v>7000/003Goodwill - additions</v>
      </c>
      <c r="N285" s="79"/>
      <c r="P285" s="80"/>
      <c r="Q285" s="60"/>
      <c r="R285" s="34"/>
    </row>
    <row r="286" spans="1:18" x14ac:dyDescent="0.2">
      <c r="A286" s="394"/>
      <c r="B286" s="114" t="s">
        <v>1495</v>
      </c>
      <c r="C286" s="397" t="s">
        <v>1496</v>
      </c>
      <c r="D286" s="437"/>
      <c r="E286" s="428"/>
      <c r="F286" s="88"/>
      <c r="G286" s="56">
        <f>SUMIF(JournalsA!D$14:D$920,TrialBalanceA!M286,JournalsA!J$14:J$920)+SUMIF(JournalsA!E$14:E$920,TrialBalanceA!M286,JournalsA!J$14:J$920)</f>
        <v>0</v>
      </c>
      <c r="H286" s="443"/>
      <c r="I286" s="411">
        <f t="shared" si="72"/>
        <v>0</v>
      </c>
      <c r="J286" s="84"/>
      <c r="K286" s="57">
        <f t="shared" si="73"/>
        <v>0</v>
      </c>
      <c r="M286" s="197" t="str">
        <f t="shared" si="74"/>
        <v>7000/005GOODWILL - ACC AMORTISATION</v>
      </c>
      <c r="N286" s="79"/>
      <c r="P286" s="80"/>
      <c r="Q286" s="60"/>
      <c r="R286" s="34"/>
    </row>
    <row r="287" spans="1:18" x14ac:dyDescent="0.2">
      <c r="A287" s="394"/>
      <c r="B287" s="114" t="s">
        <v>1497</v>
      </c>
      <c r="C287" s="398" t="s">
        <v>1498</v>
      </c>
      <c r="D287" s="437"/>
      <c r="E287" s="428"/>
      <c r="F287" s="88">
        <f>SUM(K287:K288)</f>
        <v>0</v>
      </c>
      <c r="G287" s="56">
        <f>SUMIF(JournalsA!D$14:D$920,TrialBalanceA!M287,JournalsA!J$14:J$920)+SUMIF(JournalsA!E$14:E$920,TrialBalanceA!M287,JournalsA!J$14:J$920)</f>
        <v>0</v>
      </c>
      <c r="H287" s="443"/>
      <c r="I287" s="411">
        <f t="shared" si="72"/>
        <v>0</v>
      </c>
      <c r="J287" s="84"/>
      <c r="K287" s="57">
        <f t="shared" si="73"/>
        <v>0</v>
      </c>
      <c r="M287" s="197" t="str">
        <f t="shared" si="74"/>
        <v>7000/006Goodwill - acc amortisation b/fwd</v>
      </c>
      <c r="N287" s="79"/>
      <c r="P287" s="80"/>
      <c r="Q287" s="60"/>
      <c r="R287" s="34"/>
    </row>
    <row r="288" spans="1:18" x14ac:dyDescent="0.2">
      <c r="A288" s="394"/>
      <c r="B288" s="114" t="s">
        <v>1499</v>
      </c>
      <c r="C288" s="398" t="s">
        <v>1500</v>
      </c>
      <c r="D288" s="437"/>
      <c r="E288" s="428"/>
      <c r="F288" s="88"/>
      <c r="G288" s="56">
        <f>SUMIF(JournalsA!D$14:D$920,TrialBalanceA!M288,JournalsA!J$14:J$920)+SUMIF(JournalsA!E$14:E$920,TrialBalanceA!M288,JournalsA!J$14:J$920)</f>
        <v>0</v>
      </c>
      <c r="H288" s="443"/>
      <c r="I288" s="411">
        <f t="shared" si="72"/>
        <v>0</v>
      </c>
      <c r="J288" s="84"/>
      <c r="K288" s="57">
        <f t="shared" si="73"/>
        <v>0</v>
      </c>
      <c r="M288" s="197" t="str">
        <f t="shared" si="74"/>
        <v>7000/007Goodwill - amortisation this year</v>
      </c>
      <c r="N288" s="79"/>
      <c r="P288" s="80"/>
      <c r="Q288" s="60"/>
      <c r="R288" s="34"/>
    </row>
    <row r="289" spans="1:18" x14ac:dyDescent="0.2">
      <c r="A289" s="394"/>
      <c r="B289" s="114" t="s">
        <v>539</v>
      </c>
      <c r="C289" s="397" t="s">
        <v>1501</v>
      </c>
      <c r="D289" s="437"/>
      <c r="E289" s="428"/>
      <c r="F289" s="88"/>
      <c r="G289" s="56">
        <f>SUMIF(JournalsA!D$14:D$920,TrialBalanceA!M289,JournalsA!J$14:J$920)+SUMIF(JournalsA!E$14:E$920,TrialBalanceA!M289,JournalsA!J$14:J$920)</f>
        <v>0</v>
      </c>
      <c r="H289" s="443"/>
      <c r="I289" s="411">
        <f t="shared" si="72"/>
        <v>0</v>
      </c>
      <c r="J289" s="84"/>
      <c r="K289" s="57">
        <f t="shared" si="73"/>
        <v>0</v>
      </c>
      <c r="M289" s="197" t="str">
        <f t="shared" si="74"/>
        <v>7000/010GOODWILL - IMPAIRMENT</v>
      </c>
      <c r="N289" s="79"/>
      <c r="P289" s="80"/>
      <c r="Q289" s="60"/>
      <c r="R289" s="34"/>
    </row>
    <row r="290" spans="1:18" x14ac:dyDescent="0.2">
      <c r="A290" s="394"/>
      <c r="B290" s="114" t="s">
        <v>762</v>
      </c>
      <c r="C290" s="398" t="s">
        <v>1502</v>
      </c>
      <c r="D290" s="437"/>
      <c r="E290" s="428"/>
      <c r="F290" s="88">
        <f>SUM(K290:K291)</f>
        <v>0</v>
      </c>
      <c r="G290" s="56">
        <f>SUMIF(JournalsA!D$14:D$920,TrialBalanceA!M290,JournalsA!J$14:J$920)+SUMIF(JournalsA!E$14:E$920,TrialBalanceA!M290,JournalsA!J$14:J$920)</f>
        <v>0</v>
      </c>
      <c r="H290" s="443"/>
      <c r="I290" s="411">
        <f t="shared" si="72"/>
        <v>0</v>
      </c>
      <c r="J290" s="84"/>
      <c r="K290" s="57">
        <f t="shared" si="73"/>
        <v>0</v>
      </c>
      <c r="M290" s="197" t="str">
        <f t="shared" si="74"/>
        <v>7000/011Goodwill - impairment loss b/fwd</v>
      </c>
      <c r="N290" s="79"/>
      <c r="P290" s="80"/>
      <c r="Q290" s="60"/>
      <c r="R290" s="34"/>
    </row>
    <row r="291" spans="1:18" x14ac:dyDescent="0.2">
      <c r="A291" s="394"/>
      <c r="B291" s="114" t="s">
        <v>1503</v>
      </c>
      <c r="C291" s="398" t="s">
        <v>1504</v>
      </c>
      <c r="D291" s="437"/>
      <c r="E291" s="428"/>
      <c r="F291" s="88"/>
      <c r="G291" s="56">
        <f>SUMIF(JournalsA!D$14:D$920,TrialBalanceA!M291,JournalsA!J$14:J$920)+SUMIF(JournalsA!E$14:E$920,TrialBalanceA!M291,JournalsA!J$14:J$920)</f>
        <v>0</v>
      </c>
      <c r="H291" s="443"/>
      <c r="I291" s="411">
        <f t="shared" si="72"/>
        <v>0</v>
      </c>
      <c r="J291" s="84"/>
      <c r="K291" s="57">
        <f t="shared" si="73"/>
        <v>0</v>
      </c>
      <c r="M291" s="197" t="str">
        <f t="shared" si="74"/>
        <v>7000/012Goodwill - impairment loss this year</v>
      </c>
      <c r="N291" s="79"/>
      <c r="P291" s="80"/>
      <c r="Q291" s="60"/>
      <c r="R291" s="34"/>
    </row>
    <row r="292" spans="1:18" x14ac:dyDescent="0.2">
      <c r="A292" s="394"/>
      <c r="B292" s="114" t="s">
        <v>1505</v>
      </c>
      <c r="C292" s="397" t="s">
        <v>1506</v>
      </c>
      <c r="D292" s="437"/>
      <c r="E292" s="428"/>
      <c r="F292" s="88"/>
      <c r="G292" s="56">
        <f>SUMIF(JournalsA!D$14:D$920,TrialBalanceA!M292,JournalsA!J$14:J$920)+SUMIF(JournalsA!E$14:E$920,TrialBalanceA!M292,JournalsA!J$14:J$920)</f>
        <v>0</v>
      </c>
      <c r="H292" s="443"/>
      <c r="I292" s="411">
        <f t="shared" si="72"/>
        <v>0</v>
      </c>
      <c r="J292" s="84"/>
      <c r="K292" s="57">
        <f t="shared" si="73"/>
        <v>0</v>
      </c>
      <c r="M292" s="197" t="str">
        <f t="shared" si="74"/>
        <v>7000/021PREPAID LEASE AGREEMENT - COST</v>
      </c>
      <c r="N292" s="79"/>
      <c r="P292" s="80"/>
      <c r="Q292" s="60"/>
      <c r="R292" s="34"/>
    </row>
    <row r="293" spans="1:18" x14ac:dyDescent="0.2">
      <c r="A293" s="394"/>
      <c r="B293" s="114" t="s">
        <v>1507</v>
      </c>
      <c r="C293" s="398" t="s">
        <v>1508</v>
      </c>
      <c r="D293" s="437"/>
      <c r="E293" s="428"/>
      <c r="F293" s="88">
        <f>SUM(K293:K294)</f>
        <v>0</v>
      </c>
      <c r="G293" s="56">
        <f>SUMIF(JournalsA!D$14:D$920,TrialBalanceA!M293,JournalsA!J$14:J$920)+SUMIF(JournalsA!E$14:E$920,TrialBalanceA!M293,JournalsA!J$14:J$920)</f>
        <v>0</v>
      </c>
      <c r="H293" s="443"/>
      <c r="I293" s="411">
        <f t="shared" si="72"/>
        <v>0</v>
      </c>
      <c r="J293" s="84"/>
      <c r="K293" s="57">
        <f t="shared" si="73"/>
        <v>0</v>
      </c>
      <c r="M293" s="197" t="str">
        <f t="shared" si="74"/>
        <v>7000/022Prepaid lease agreement - cost b/fwd</v>
      </c>
      <c r="N293" s="79"/>
      <c r="P293" s="80"/>
      <c r="Q293" s="60"/>
      <c r="R293" s="34"/>
    </row>
    <row r="294" spans="1:18" x14ac:dyDescent="0.2">
      <c r="A294" s="394"/>
      <c r="B294" s="114" t="s">
        <v>1509</v>
      </c>
      <c r="C294" s="398" t="s">
        <v>1510</v>
      </c>
      <c r="D294" s="437"/>
      <c r="E294" s="428"/>
      <c r="F294" s="88"/>
      <c r="G294" s="56">
        <f>SUMIF(JournalsA!D$14:D$920,TrialBalanceA!M294,JournalsA!J$14:J$920)+SUMIF(JournalsA!E$14:E$920,TrialBalanceA!M294,JournalsA!J$14:J$920)</f>
        <v>0</v>
      </c>
      <c r="H294" s="443"/>
      <c r="I294" s="411">
        <f t="shared" si="72"/>
        <v>0</v>
      </c>
      <c r="J294" s="84"/>
      <c r="K294" s="57">
        <f t="shared" si="73"/>
        <v>0</v>
      </c>
      <c r="M294" s="197" t="str">
        <f t="shared" si="74"/>
        <v>7000/023Prepaid lease agreement - additions</v>
      </c>
      <c r="N294" s="79"/>
      <c r="P294" s="80"/>
      <c r="Q294" s="60"/>
      <c r="R294" s="34"/>
    </row>
    <row r="295" spans="1:18" x14ac:dyDescent="0.2">
      <c r="A295" s="394"/>
      <c r="B295" s="114" t="s">
        <v>540</v>
      </c>
      <c r="C295" s="397" t="s">
        <v>1511</v>
      </c>
      <c r="D295" s="437"/>
      <c r="E295" s="428"/>
      <c r="F295" s="88"/>
      <c r="G295" s="56">
        <f>SUMIF(JournalsA!D$14:D$920,TrialBalanceA!M295,JournalsA!J$14:J$920)+SUMIF(JournalsA!E$14:E$920,TrialBalanceA!M295,JournalsA!J$14:J$920)</f>
        <v>0</v>
      </c>
      <c r="H295" s="443"/>
      <c r="I295" s="411">
        <f t="shared" si="72"/>
        <v>0</v>
      </c>
      <c r="J295" s="84"/>
      <c r="K295" s="57">
        <f t="shared" si="73"/>
        <v>0</v>
      </c>
      <c r="M295" s="197" t="str">
        <f t="shared" si="74"/>
        <v>7000/025PREPAID LEASE AGREEMENT - ACC AMORTISATION</v>
      </c>
      <c r="N295" s="79"/>
      <c r="P295" s="80"/>
      <c r="Q295" s="60"/>
      <c r="R295" s="34"/>
    </row>
    <row r="296" spans="1:18" x14ac:dyDescent="0.2">
      <c r="A296" s="394"/>
      <c r="B296" s="114" t="s">
        <v>1512</v>
      </c>
      <c r="C296" s="398" t="s">
        <v>1513</v>
      </c>
      <c r="D296" s="437"/>
      <c r="E296" s="428"/>
      <c r="F296" s="88">
        <f>SUM(K296:K297)</f>
        <v>0</v>
      </c>
      <c r="G296" s="56">
        <f>SUMIF(JournalsA!D$14:D$920,TrialBalanceA!M296,JournalsA!J$14:J$920)+SUMIF(JournalsA!E$14:E$920,TrialBalanceA!M296,JournalsA!J$14:J$920)</f>
        <v>0</v>
      </c>
      <c r="H296" s="443"/>
      <c r="I296" s="411">
        <f t="shared" si="72"/>
        <v>0</v>
      </c>
      <c r="J296" s="84"/>
      <c r="K296" s="57">
        <f t="shared" si="73"/>
        <v>0</v>
      </c>
      <c r="M296" s="197" t="str">
        <f t="shared" si="74"/>
        <v>7000/026Prepaid lease agreement - acc amortisation b/fwd</v>
      </c>
      <c r="N296" s="79"/>
      <c r="P296" s="80"/>
      <c r="Q296" s="60"/>
      <c r="R296" s="34"/>
    </row>
    <row r="297" spans="1:18" x14ac:dyDescent="0.2">
      <c r="A297" s="394"/>
      <c r="B297" s="114" t="s">
        <v>1514</v>
      </c>
      <c r="C297" s="398" t="s">
        <v>1515</v>
      </c>
      <c r="D297" s="437"/>
      <c r="E297" s="428"/>
      <c r="F297" s="88"/>
      <c r="G297" s="56">
        <f>SUMIF(JournalsA!D$14:D$920,TrialBalanceA!M297,JournalsA!J$14:J$920)+SUMIF(JournalsA!E$14:E$920,TrialBalanceA!M297,JournalsA!J$14:J$920)</f>
        <v>0</v>
      </c>
      <c r="H297" s="443"/>
      <c r="I297" s="411">
        <f t="shared" si="72"/>
        <v>0</v>
      </c>
      <c r="J297" s="84"/>
      <c r="K297" s="57">
        <f t="shared" si="73"/>
        <v>0</v>
      </c>
      <c r="M297" s="197" t="str">
        <f t="shared" si="74"/>
        <v>7000/027Prepaid lease agreement - amortisation this year</v>
      </c>
      <c r="N297" s="79"/>
      <c r="P297" s="80"/>
      <c r="Q297" s="60"/>
      <c r="R297" s="34"/>
    </row>
    <row r="298" spans="1:18" x14ac:dyDescent="0.2">
      <c r="A298" s="394"/>
      <c r="B298" s="114" t="s">
        <v>1516</v>
      </c>
      <c r="C298" s="397" t="s">
        <v>1517</v>
      </c>
      <c r="D298" s="437"/>
      <c r="E298" s="428"/>
      <c r="F298" s="88"/>
      <c r="G298" s="56">
        <f>SUMIF(JournalsA!D$14:D$920,TrialBalanceA!M298,JournalsA!J$14:J$920)+SUMIF(JournalsA!E$14:E$920,TrialBalanceA!M298,JournalsA!J$14:J$920)</f>
        <v>0</v>
      </c>
      <c r="H298" s="443"/>
      <c r="I298" s="411">
        <f t="shared" si="72"/>
        <v>0</v>
      </c>
      <c r="J298" s="84"/>
      <c r="K298" s="57">
        <f t="shared" si="73"/>
        <v>0</v>
      </c>
      <c r="M298" s="197" t="str">
        <f t="shared" si="74"/>
        <v>7000/030PREPAID LEASE AGREEMENT - IMPAIRMENT</v>
      </c>
      <c r="N298" s="79"/>
      <c r="P298" s="80"/>
      <c r="Q298" s="60"/>
      <c r="R298" s="34"/>
    </row>
    <row r="299" spans="1:18" x14ac:dyDescent="0.2">
      <c r="A299" s="394"/>
      <c r="B299" s="114" t="s">
        <v>1518</v>
      </c>
      <c r="C299" s="398" t="s">
        <v>1519</v>
      </c>
      <c r="D299" s="437"/>
      <c r="E299" s="428"/>
      <c r="F299" s="88">
        <f>SUM(K299:K300)</f>
        <v>0</v>
      </c>
      <c r="G299" s="56">
        <f>SUMIF(JournalsA!D$14:D$920,TrialBalanceA!M299,JournalsA!J$14:J$920)+SUMIF(JournalsA!E$14:E$920,TrialBalanceA!M299,JournalsA!J$14:J$920)</f>
        <v>0</v>
      </c>
      <c r="H299" s="443"/>
      <c r="I299" s="411">
        <f t="shared" si="72"/>
        <v>0</v>
      </c>
      <c r="J299" s="84"/>
      <c r="K299" s="57">
        <f t="shared" si="73"/>
        <v>0</v>
      </c>
      <c r="M299" s="197" t="str">
        <f t="shared" si="74"/>
        <v>7000/031Prepaid lease agreement - impairment loss b/fwd</v>
      </c>
      <c r="N299" s="79"/>
      <c r="P299" s="80"/>
      <c r="Q299" s="60"/>
      <c r="R299" s="34"/>
    </row>
    <row r="300" spans="1:18" x14ac:dyDescent="0.2">
      <c r="A300" s="394"/>
      <c r="B300" s="114" t="s">
        <v>1520</v>
      </c>
      <c r="C300" s="398" t="s">
        <v>1521</v>
      </c>
      <c r="D300" s="437"/>
      <c r="E300" s="428"/>
      <c r="F300" s="88"/>
      <c r="G300" s="56">
        <f>SUMIF(JournalsA!D$14:D$920,TrialBalanceA!M300,JournalsA!J$14:J$920)+SUMIF(JournalsA!E$14:E$920,TrialBalanceA!M300,JournalsA!J$14:J$920)</f>
        <v>0</v>
      </c>
      <c r="H300" s="443"/>
      <c r="I300" s="411">
        <f>ROUND(D300-E300+G300+F300,0)</f>
        <v>0</v>
      </c>
      <c r="J300" s="84"/>
      <c r="K300" s="57">
        <f t="shared" si="73"/>
        <v>0</v>
      </c>
      <c r="M300" s="197" t="str">
        <f t="shared" si="74"/>
        <v>7000/032Prepaid lease agreement - impairment loss this year</v>
      </c>
      <c r="N300" s="79"/>
      <c r="P300" s="80"/>
      <c r="Q300" s="60"/>
      <c r="R300" s="34"/>
    </row>
    <row r="301" spans="1:18" x14ac:dyDescent="0.2">
      <c r="A301" s="394"/>
      <c r="B301" s="63" t="s">
        <v>541</v>
      </c>
      <c r="C301" s="397" t="s">
        <v>209</v>
      </c>
      <c r="D301" s="437"/>
      <c r="E301" s="428"/>
      <c r="F301" s="88"/>
      <c r="G301" s="56">
        <f>SUMIF(JournalsA!D$14:D$920,TrialBalanceA!M301,JournalsA!J$14:J$920)+SUMIF(JournalsA!E$14:E$920,TrialBalanceA!M301,JournalsA!J$14:J$920)</f>
        <v>0</v>
      </c>
      <c r="H301" s="443"/>
      <c r="I301" s="411">
        <f t="shared" ref="I301:I315" si="75">ROUND(D301-E301+G301+F301,0)</f>
        <v>0</v>
      </c>
      <c r="J301" s="84"/>
      <c r="K301" s="57">
        <f t="shared" ref="K301:K315" si="76">ROUND(SUM(A301),0)</f>
        <v>0</v>
      </c>
      <c r="M301" s="197" t="str">
        <f t="shared" ref="M301:M368" si="77">CONCATENATE(B301,C301)</f>
        <v>7100/000INVESTMENTS</v>
      </c>
      <c r="N301" s="79"/>
      <c r="P301" s="80"/>
      <c r="Q301" s="60"/>
      <c r="R301" s="34"/>
    </row>
    <row r="302" spans="1:18" x14ac:dyDescent="0.2">
      <c r="A302" s="394"/>
      <c r="B302" s="114" t="s">
        <v>1324</v>
      </c>
      <c r="C302" s="398" t="s">
        <v>1318</v>
      </c>
      <c r="D302" s="437"/>
      <c r="E302" s="428"/>
      <c r="F302" s="88"/>
      <c r="G302" s="56">
        <f>SUMIF(JournalsA!D$14:D$920,TrialBalanceA!M302,JournalsA!J$14:J$920)+SUMIF(JournalsA!E$14:E$920,TrialBalanceA!M302,JournalsA!J$14:J$920)</f>
        <v>0</v>
      </c>
      <c r="H302" s="443"/>
      <c r="I302" s="411">
        <f t="shared" ref="I302:I305" si="78">ROUND(D302-E302+G302+F302,0)</f>
        <v>0</v>
      </c>
      <c r="J302" s="84"/>
      <c r="K302" s="57">
        <f t="shared" ref="K302:K305" si="79">ROUND(SUM(A302),0)</f>
        <v>0</v>
      </c>
      <c r="M302" s="197" t="str">
        <f t="shared" ref="M302:M305" si="80">CONCATENATE(B302,C302)</f>
        <v>7100/050INVESTMENTS IN ASSOCIATES</v>
      </c>
      <c r="N302" s="79"/>
      <c r="P302" s="80"/>
      <c r="Q302" s="60"/>
      <c r="R302" s="34"/>
    </row>
    <row r="303" spans="1:18" x14ac:dyDescent="0.2">
      <c r="A303" s="394"/>
      <c r="B303" s="114" t="s">
        <v>1325</v>
      </c>
      <c r="C303" s="430" t="str">
        <f>TrialBalance!C303</f>
        <v>100 Shares in ABC Company (Pty) Ltd - 100% interest</v>
      </c>
      <c r="D303" s="406"/>
      <c r="E303" s="407"/>
      <c r="F303" s="88">
        <f>K303</f>
        <v>0</v>
      </c>
      <c r="G303" s="56">
        <f>SUMIF(JournalsA!D$14:D$920,TrialBalanceA!M303,JournalsA!J$14:J$920)+SUMIF(JournalsA!E$14:E$920,TrialBalanceA!M303,JournalsA!J$14:J$920)</f>
        <v>0</v>
      </c>
      <c r="H303" s="443"/>
      <c r="I303" s="411">
        <f>ROUND(D303-E303+G303+F303,0)</f>
        <v>0</v>
      </c>
      <c r="J303" s="84"/>
      <c r="K303" s="57">
        <f>ROUND(SUM(A303),0)</f>
        <v>0</v>
      </c>
      <c r="M303" s="197" t="str">
        <f t="shared" si="80"/>
        <v>7100/051100 Shares in ABC Company (Pty) Ltd - 100% interest</v>
      </c>
      <c r="N303" s="79"/>
      <c r="P303" s="80"/>
      <c r="Q303" s="60"/>
      <c r="R303" s="34"/>
    </row>
    <row r="304" spans="1:18" x14ac:dyDescent="0.2">
      <c r="A304" s="394"/>
      <c r="B304" s="114" t="s">
        <v>1326</v>
      </c>
      <c r="C304" s="430">
        <f>TrialBalance!C304</f>
        <v>0</v>
      </c>
      <c r="D304" s="406"/>
      <c r="E304" s="407"/>
      <c r="F304" s="88">
        <f>K304</f>
        <v>0</v>
      </c>
      <c r="G304" s="56">
        <f>SUMIF(JournalsA!D$14:D$920,TrialBalanceA!M304,JournalsA!J$14:J$920)+SUMIF(JournalsA!E$14:E$920,TrialBalanceA!M304,JournalsA!J$14:J$920)</f>
        <v>0</v>
      </c>
      <c r="H304" s="443"/>
      <c r="I304" s="411">
        <f t="shared" si="78"/>
        <v>0</v>
      </c>
      <c r="J304" s="84"/>
      <c r="K304" s="57">
        <f t="shared" si="79"/>
        <v>0</v>
      </c>
      <c r="M304" s="197" t="str">
        <f t="shared" si="80"/>
        <v>7100/0520</v>
      </c>
      <c r="N304" s="79"/>
      <c r="P304" s="80"/>
      <c r="Q304" s="60"/>
      <c r="R304" s="34"/>
    </row>
    <row r="305" spans="1:18" x14ac:dyDescent="0.2">
      <c r="A305" s="394"/>
      <c r="B305" s="114" t="s">
        <v>1327</v>
      </c>
      <c r="C305" s="430">
        <f>TrialBalance!C305</f>
        <v>0</v>
      </c>
      <c r="D305" s="406"/>
      <c r="E305" s="407"/>
      <c r="F305" s="88">
        <f>K305</f>
        <v>0</v>
      </c>
      <c r="G305" s="56">
        <f>SUMIF(JournalsA!D$14:D$920,TrialBalanceA!M305,JournalsA!J$14:J$920)+SUMIF(JournalsA!E$14:E$920,TrialBalanceA!M305,JournalsA!J$14:J$920)</f>
        <v>0</v>
      </c>
      <c r="H305" s="443"/>
      <c r="I305" s="411">
        <f t="shared" si="78"/>
        <v>0</v>
      </c>
      <c r="J305" s="84"/>
      <c r="K305" s="57">
        <f t="shared" si="79"/>
        <v>0</v>
      </c>
      <c r="M305" s="197" t="str">
        <f t="shared" si="80"/>
        <v>7100/0530</v>
      </c>
      <c r="N305" s="79"/>
      <c r="P305" s="80"/>
      <c r="Q305" s="60"/>
      <c r="R305" s="34"/>
    </row>
    <row r="306" spans="1:18" x14ac:dyDescent="0.2">
      <c r="A306" s="394"/>
      <c r="B306" s="63" t="s">
        <v>542</v>
      </c>
      <c r="C306" s="395" t="s">
        <v>543</v>
      </c>
      <c r="D306" s="436"/>
      <c r="E306" s="428"/>
      <c r="F306" s="88"/>
      <c r="G306" s="56">
        <f>SUMIF(JournalsA!D$14:D$920,TrialBalanceA!M306,JournalsA!J$14:J$920)+SUMIF(JournalsA!E$14:E$920,TrialBalanceA!M306,JournalsA!J$14:J$920)</f>
        <v>0</v>
      </c>
      <c r="H306" s="443"/>
      <c r="I306" s="411">
        <f t="shared" si="75"/>
        <v>0</v>
      </c>
      <c r="J306" s="84"/>
      <c r="K306" s="57">
        <f t="shared" si="76"/>
        <v>0</v>
      </c>
      <c r="M306" s="197" t="str">
        <f t="shared" si="77"/>
        <v>7100/100LISTED INVESTMENTS</v>
      </c>
      <c r="N306" s="79"/>
      <c r="P306" s="80"/>
      <c r="Q306" s="60"/>
      <c r="R306" s="34"/>
    </row>
    <row r="307" spans="1:18" x14ac:dyDescent="0.2">
      <c r="A307" s="394"/>
      <c r="B307" s="63" t="s">
        <v>544</v>
      </c>
      <c r="C307" s="430">
        <f>TrialBalance!C307</f>
        <v>0</v>
      </c>
      <c r="D307" s="436"/>
      <c r="E307" s="428"/>
      <c r="F307" s="88">
        <f>K307</f>
        <v>0</v>
      </c>
      <c r="G307" s="56">
        <f>SUMIF(JournalsA!D$14:D$920,TrialBalanceA!M307,JournalsA!J$14:J$920)+SUMIF(JournalsA!E$14:E$920,TrialBalanceA!M307,JournalsA!J$14:J$920)</f>
        <v>0</v>
      </c>
      <c r="H307" s="443"/>
      <c r="I307" s="411">
        <f t="shared" si="75"/>
        <v>0</v>
      </c>
      <c r="J307" s="84"/>
      <c r="K307" s="57">
        <f t="shared" si="76"/>
        <v>0</v>
      </c>
      <c r="M307" s="197" t="str">
        <f t="shared" si="77"/>
        <v>7100/1010</v>
      </c>
      <c r="N307" s="79"/>
      <c r="P307" s="80"/>
      <c r="Q307" s="60"/>
      <c r="R307" s="34"/>
    </row>
    <row r="308" spans="1:18" x14ac:dyDescent="0.2">
      <c r="A308" s="394"/>
      <c r="B308" s="63" t="s">
        <v>545</v>
      </c>
      <c r="C308" s="430">
        <f>TrialBalance!C308</f>
        <v>0</v>
      </c>
      <c r="D308" s="436"/>
      <c r="E308" s="428"/>
      <c r="F308" s="88">
        <f>K308</f>
        <v>0</v>
      </c>
      <c r="G308" s="56">
        <f>SUMIF(JournalsA!D$14:D$920,TrialBalanceA!M308,JournalsA!J$14:J$920)+SUMIF(JournalsA!E$14:E$920,TrialBalanceA!M308,JournalsA!J$14:J$920)</f>
        <v>0</v>
      </c>
      <c r="H308" s="443"/>
      <c r="I308" s="411">
        <f t="shared" si="75"/>
        <v>0</v>
      </c>
      <c r="J308" s="84"/>
      <c r="K308" s="57">
        <f t="shared" si="76"/>
        <v>0</v>
      </c>
      <c r="M308" s="197" t="str">
        <f t="shared" si="77"/>
        <v>7100/1020</v>
      </c>
      <c r="N308" s="79"/>
      <c r="P308" s="80"/>
      <c r="Q308" s="60"/>
      <c r="R308" s="34"/>
    </row>
    <row r="309" spans="1:18" x14ac:dyDescent="0.2">
      <c r="A309" s="394"/>
      <c r="B309" s="63" t="s">
        <v>546</v>
      </c>
      <c r="C309" s="430">
        <f>TrialBalance!C309</f>
        <v>0</v>
      </c>
      <c r="D309" s="436"/>
      <c r="E309" s="428"/>
      <c r="F309" s="88">
        <f t="shared" ref="F309:F376" si="81">K309</f>
        <v>0</v>
      </c>
      <c r="G309" s="56">
        <f>SUMIF(JournalsA!D$14:D$920,TrialBalanceA!M309,JournalsA!J$14:J$920)+SUMIF(JournalsA!E$14:E$920,TrialBalanceA!M309,JournalsA!J$14:J$920)</f>
        <v>0</v>
      </c>
      <c r="H309" s="443"/>
      <c r="I309" s="411">
        <f t="shared" si="75"/>
        <v>0</v>
      </c>
      <c r="J309" s="84"/>
      <c r="K309" s="57">
        <f t="shared" si="76"/>
        <v>0</v>
      </c>
      <c r="M309" s="197" t="str">
        <f t="shared" si="77"/>
        <v>7100/1030</v>
      </c>
      <c r="N309" s="79"/>
      <c r="P309" s="80"/>
      <c r="Q309" s="60"/>
      <c r="R309" s="34"/>
    </row>
    <row r="310" spans="1:18" x14ac:dyDescent="0.2">
      <c r="A310" s="394"/>
      <c r="B310" s="63" t="s">
        <v>547</v>
      </c>
      <c r="C310" s="430">
        <f>TrialBalance!C310</f>
        <v>0</v>
      </c>
      <c r="D310" s="436"/>
      <c r="E310" s="428"/>
      <c r="F310" s="88">
        <f t="shared" si="81"/>
        <v>0</v>
      </c>
      <c r="G310" s="56">
        <f>SUMIF(JournalsA!D$14:D$920,TrialBalanceA!M310,JournalsA!J$14:J$920)+SUMIF(JournalsA!E$14:E$920,TrialBalanceA!M310,JournalsA!J$14:J$920)</f>
        <v>0</v>
      </c>
      <c r="H310" s="443"/>
      <c r="I310" s="411">
        <f t="shared" si="75"/>
        <v>0</v>
      </c>
      <c r="J310" s="84"/>
      <c r="K310" s="57">
        <f t="shared" si="76"/>
        <v>0</v>
      </c>
      <c r="M310" s="197" t="str">
        <f t="shared" si="77"/>
        <v>7100/1040</v>
      </c>
      <c r="N310" s="79"/>
      <c r="P310" s="80"/>
      <c r="Q310" s="60"/>
      <c r="R310" s="34"/>
    </row>
    <row r="311" spans="1:18" x14ac:dyDescent="0.2">
      <c r="A311" s="394"/>
      <c r="B311" s="63" t="s">
        <v>548</v>
      </c>
      <c r="C311" s="430">
        <f>TrialBalance!C311</f>
        <v>0</v>
      </c>
      <c r="D311" s="436"/>
      <c r="E311" s="428"/>
      <c r="F311" s="88">
        <f t="shared" si="81"/>
        <v>0</v>
      </c>
      <c r="G311" s="56">
        <f>SUMIF(JournalsA!D$14:D$920,TrialBalanceA!M311,JournalsA!J$14:J$920)+SUMIF(JournalsA!E$14:E$920,TrialBalanceA!M311,JournalsA!J$14:J$920)</f>
        <v>0</v>
      </c>
      <c r="H311" s="443"/>
      <c r="I311" s="411">
        <f t="shared" si="75"/>
        <v>0</v>
      </c>
      <c r="J311" s="84"/>
      <c r="K311" s="57">
        <f t="shared" si="76"/>
        <v>0</v>
      </c>
      <c r="M311" s="197" t="str">
        <f t="shared" si="77"/>
        <v>7100/1050</v>
      </c>
      <c r="N311" s="79"/>
      <c r="P311" s="80"/>
      <c r="Q311" s="60"/>
      <c r="R311" s="34"/>
    </row>
    <row r="312" spans="1:18" x14ac:dyDescent="0.2">
      <c r="A312" s="394"/>
      <c r="B312" s="63" t="s">
        <v>549</v>
      </c>
      <c r="C312" s="398" t="s">
        <v>447</v>
      </c>
      <c r="D312" s="438"/>
      <c r="E312" s="428"/>
      <c r="F312" s="88"/>
      <c r="G312" s="56">
        <f>SUMIF(JournalsA!D$14:D$920,TrialBalanceA!M312,JournalsA!J$14:J$920)+SUMIF(JournalsA!E$14:E$920,TrialBalanceA!M312,JournalsA!J$14:J$920)</f>
        <v>0</v>
      </c>
      <c r="H312" s="443"/>
      <c r="I312" s="411">
        <f t="shared" si="75"/>
        <v>0</v>
      </c>
      <c r="J312" s="84"/>
      <c r="K312" s="57">
        <f t="shared" si="76"/>
        <v>0</v>
      </c>
      <c r="M312" s="197" t="str">
        <f t="shared" si="77"/>
        <v>7100/200OTHER INVESTMENTS</v>
      </c>
      <c r="N312" s="79"/>
      <c r="P312" s="80"/>
      <c r="Q312" s="60"/>
      <c r="R312" s="34"/>
    </row>
    <row r="313" spans="1:18" x14ac:dyDescent="0.2">
      <c r="A313" s="394"/>
      <c r="B313" s="63" t="s">
        <v>550</v>
      </c>
      <c r="C313" s="430">
        <f>TrialBalance!C313</f>
        <v>0</v>
      </c>
      <c r="D313" s="438"/>
      <c r="E313" s="428"/>
      <c r="F313" s="88">
        <f t="shared" si="81"/>
        <v>0</v>
      </c>
      <c r="G313" s="56">
        <f>SUMIF(JournalsA!D$14:D$920,TrialBalanceA!M313,JournalsA!J$14:J$920)+SUMIF(JournalsA!E$14:E$920,TrialBalanceA!M313,JournalsA!J$14:J$920)</f>
        <v>0</v>
      </c>
      <c r="H313" s="443"/>
      <c r="I313" s="411">
        <f t="shared" si="75"/>
        <v>0</v>
      </c>
      <c r="J313" s="84"/>
      <c r="K313" s="57">
        <f t="shared" si="76"/>
        <v>0</v>
      </c>
      <c r="M313" s="197" t="str">
        <f t="shared" si="77"/>
        <v>7100/2010</v>
      </c>
      <c r="N313" s="79"/>
      <c r="P313" s="80"/>
      <c r="Q313" s="60"/>
      <c r="R313" s="34"/>
    </row>
    <row r="314" spans="1:18" x14ac:dyDescent="0.2">
      <c r="A314" s="394"/>
      <c r="B314" s="63" t="s">
        <v>551</v>
      </c>
      <c r="C314" s="430">
        <f>TrialBalance!C314</f>
        <v>0</v>
      </c>
      <c r="D314" s="438"/>
      <c r="E314" s="428"/>
      <c r="F314" s="88">
        <f t="shared" si="81"/>
        <v>0</v>
      </c>
      <c r="G314" s="56">
        <f>SUMIF(JournalsA!D$14:D$920,TrialBalanceA!M314,JournalsA!J$14:J$920)+SUMIF(JournalsA!E$14:E$920,TrialBalanceA!M314,JournalsA!J$14:J$920)</f>
        <v>0</v>
      </c>
      <c r="H314" s="443"/>
      <c r="I314" s="411">
        <f t="shared" si="75"/>
        <v>0</v>
      </c>
      <c r="J314" s="84"/>
      <c r="K314" s="57">
        <f t="shared" si="76"/>
        <v>0</v>
      </c>
      <c r="M314" s="197" t="str">
        <f t="shared" si="77"/>
        <v>7100/2020</v>
      </c>
      <c r="N314" s="79"/>
      <c r="P314" s="80"/>
      <c r="Q314" s="60"/>
      <c r="R314" s="34"/>
    </row>
    <row r="315" spans="1:18" x14ac:dyDescent="0.2">
      <c r="A315" s="394"/>
      <c r="B315" s="63" t="s">
        <v>552</v>
      </c>
      <c r="C315" s="430">
        <f>TrialBalance!C315</f>
        <v>0</v>
      </c>
      <c r="D315" s="436"/>
      <c r="E315" s="428"/>
      <c r="F315" s="88">
        <f t="shared" si="81"/>
        <v>0</v>
      </c>
      <c r="G315" s="56">
        <f>SUMIF(JournalsA!D$14:D$920,TrialBalanceA!M315,JournalsA!J$14:J$920)+SUMIF(JournalsA!E$14:E$920,TrialBalanceA!M315,JournalsA!J$14:J$920)</f>
        <v>0</v>
      </c>
      <c r="H315" s="443"/>
      <c r="I315" s="411">
        <f t="shared" si="75"/>
        <v>0</v>
      </c>
      <c r="J315" s="84"/>
      <c r="K315" s="57">
        <f t="shared" si="76"/>
        <v>0</v>
      </c>
      <c r="M315" s="197" t="str">
        <f t="shared" si="77"/>
        <v>7100/2030</v>
      </c>
      <c r="N315" s="79"/>
      <c r="P315" s="80"/>
      <c r="Q315" s="60"/>
      <c r="R315" s="34"/>
    </row>
    <row r="316" spans="1:18" x14ac:dyDescent="0.2">
      <c r="A316" s="394"/>
      <c r="B316" s="63" t="s">
        <v>553</v>
      </c>
      <c r="C316" s="430">
        <f>TrialBalance!C316</f>
        <v>0</v>
      </c>
      <c r="D316" s="436"/>
      <c r="E316" s="428"/>
      <c r="F316" s="88">
        <f t="shared" si="81"/>
        <v>0</v>
      </c>
      <c r="G316" s="56">
        <f>SUMIF(JournalsA!D$14:D$920,TrialBalanceA!M316,JournalsA!J$14:J$920)+SUMIF(JournalsA!E$14:E$920,TrialBalanceA!M316,JournalsA!J$14:J$920)</f>
        <v>0</v>
      </c>
      <c r="H316" s="443"/>
      <c r="I316" s="411">
        <f t="shared" ref="I316:I367" si="82">ROUND(D316-E316+G316+F316,0)</f>
        <v>0</v>
      </c>
      <c r="J316" s="84"/>
      <c r="K316" s="57">
        <f t="shared" ref="K316:K367" si="83">ROUND(SUM(A316),0)</f>
        <v>0</v>
      </c>
      <c r="M316" s="197" t="str">
        <f t="shared" si="77"/>
        <v>7100/2040</v>
      </c>
      <c r="N316" s="79"/>
      <c r="P316" s="80"/>
      <c r="Q316" s="60"/>
      <c r="R316" s="34"/>
    </row>
    <row r="317" spans="1:18" x14ac:dyDescent="0.2">
      <c r="A317" s="394"/>
      <c r="B317" s="63" t="s">
        <v>185</v>
      </c>
      <c r="C317" s="430">
        <f>TrialBalance!C317</f>
        <v>0</v>
      </c>
      <c r="D317" s="436"/>
      <c r="E317" s="428"/>
      <c r="F317" s="88">
        <f t="shared" si="81"/>
        <v>0</v>
      </c>
      <c r="G317" s="56">
        <f>SUMIF(JournalsA!D$14:D$920,TrialBalanceA!M317,JournalsA!J$14:J$920)+SUMIF(JournalsA!E$14:E$920,TrialBalanceA!M317,JournalsA!J$14:J$920)</f>
        <v>0</v>
      </c>
      <c r="H317" s="443"/>
      <c r="I317" s="411">
        <f t="shared" si="82"/>
        <v>0</v>
      </c>
      <c r="J317" s="84"/>
      <c r="K317" s="57">
        <f t="shared" si="83"/>
        <v>0</v>
      </c>
      <c r="M317" s="197" t="str">
        <f t="shared" si="77"/>
        <v>7100/2050</v>
      </c>
      <c r="N317" s="79"/>
      <c r="P317" s="80"/>
      <c r="Q317" s="60"/>
      <c r="R317" s="34"/>
    </row>
    <row r="318" spans="1:18" x14ac:dyDescent="0.2">
      <c r="A318" s="394"/>
      <c r="B318" s="63" t="s">
        <v>186</v>
      </c>
      <c r="C318" s="398" t="s">
        <v>944</v>
      </c>
      <c r="D318" s="436"/>
      <c r="E318" s="428"/>
      <c r="F318" s="88"/>
      <c r="G318" s="56">
        <f>SUMIF(JournalsA!D$14:D$920,TrialBalanceA!M318,JournalsA!J$14:J$920)+SUMIF(JournalsA!E$14:E$920,TrialBalanceA!M318,JournalsA!J$14:J$920)</f>
        <v>0</v>
      </c>
      <c r="H318" s="443"/>
      <c r="I318" s="411">
        <f t="shared" si="82"/>
        <v>0</v>
      </c>
      <c r="J318" s="84"/>
      <c r="K318" s="57">
        <f t="shared" si="83"/>
        <v>0</v>
      </c>
      <c r="M318" s="197" t="str">
        <f t="shared" si="77"/>
        <v>7450/000CONNECTED ENTITIES LOANS</v>
      </c>
      <c r="N318" s="79"/>
      <c r="P318" s="80"/>
      <c r="Q318" s="60"/>
      <c r="R318" s="34"/>
    </row>
    <row r="319" spans="1:18" x14ac:dyDescent="0.2">
      <c r="A319" s="394"/>
      <c r="B319" s="63" t="s">
        <v>186</v>
      </c>
      <c r="C319" s="398" t="s">
        <v>788</v>
      </c>
      <c r="D319" s="436"/>
      <c r="E319" s="428"/>
      <c r="F319" s="88"/>
      <c r="G319" s="56">
        <f>SUMIF(JournalsA!D$14:D$920,TrialBalanceA!M319,JournalsA!J$14:J$920)+SUMIF(JournalsA!E$14:E$920,TrialBalanceA!M319,JournalsA!J$14:J$920)</f>
        <v>0</v>
      </c>
      <c r="H319" s="443"/>
      <c r="I319" s="411">
        <f t="shared" ref="I319" si="84">ROUND(D319-E319+G319+F319,0)</f>
        <v>0</v>
      </c>
      <c r="J319" s="84"/>
      <c r="K319" s="57">
        <f t="shared" ref="K319" si="85">ROUND(SUM(A319),0)</f>
        <v>0</v>
      </c>
      <c r="M319" s="197" t="str">
        <f t="shared" ref="M319" si="86">CONCATENATE(B319,C319)</f>
        <v>7450/000Interest bearing</v>
      </c>
      <c r="N319" s="79"/>
      <c r="P319" s="80"/>
      <c r="Q319" s="60"/>
      <c r="R319" s="34"/>
    </row>
    <row r="320" spans="1:18" x14ac:dyDescent="0.2">
      <c r="A320" s="394"/>
      <c r="B320" s="63" t="s">
        <v>187</v>
      </c>
      <c r="C320" s="430">
        <f>TrialBalance!C320</f>
        <v>0</v>
      </c>
      <c r="D320" s="438"/>
      <c r="E320" s="428"/>
      <c r="F320" s="88">
        <f t="shared" si="81"/>
        <v>0</v>
      </c>
      <c r="G320" s="56">
        <f>SUMIF(JournalsA!D$14:D$920,TrialBalanceA!M320,JournalsA!J$14:J$920)+SUMIF(JournalsA!E$14:E$920,TrialBalanceA!M320,JournalsA!J$14:J$920)</f>
        <v>0</v>
      </c>
      <c r="H320" s="443"/>
      <c r="I320" s="411">
        <f t="shared" si="82"/>
        <v>0</v>
      </c>
      <c r="J320" s="84"/>
      <c r="K320" s="57">
        <f t="shared" si="83"/>
        <v>0</v>
      </c>
      <c r="M320" s="197" t="str">
        <f t="shared" si="77"/>
        <v>7450/0010</v>
      </c>
      <c r="N320" s="79"/>
      <c r="P320" s="80"/>
      <c r="Q320" s="60"/>
      <c r="R320" s="34"/>
    </row>
    <row r="321" spans="1:18" x14ac:dyDescent="0.2">
      <c r="A321" s="394"/>
      <c r="B321" s="63" t="s">
        <v>188</v>
      </c>
      <c r="C321" s="430">
        <f>TrialBalance!C321</f>
        <v>0</v>
      </c>
      <c r="D321" s="438"/>
      <c r="E321" s="428"/>
      <c r="F321" s="88">
        <f t="shared" ref="F321:F322" si="87">K321</f>
        <v>0</v>
      </c>
      <c r="G321" s="56">
        <f>SUMIF(JournalsA!D$14:D$920,TrialBalanceA!M321,JournalsA!J$14:J$920)+SUMIF(JournalsA!E$14:E$920,TrialBalanceA!M321,JournalsA!J$14:J$920)</f>
        <v>0</v>
      </c>
      <c r="H321" s="443"/>
      <c r="I321" s="411">
        <f t="shared" ref="I321:I322" si="88">ROUND(D321-E321+G321+F321,0)</f>
        <v>0</v>
      </c>
      <c r="J321" s="84"/>
      <c r="K321" s="57">
        <f t="shared" ref="K321:K322" si="89">ROUND(SUM(A321),0)</f>
        <v>0</v>
      </c>
      <c r="M321" s="197" t="str">
        <f t="shared" ref="M321:M322" si="90">CONCATENATE(B321,C321)</f>
        <v>7450/0020</v>
      </c>
      <c r="N321" s="79"/>
      <c r="P321" s="80"/>
      <c r="Q321" s="60"/>
      <c r="R321" s="34"/>
    </row>
    <row r="322" spans="1:18" x14ac:dyDescent="0.2">
      <c r="A322" s="394"/>
      <c r="B322" s="114" t="s">
        <v>189</v>
      </c>
      <c r="C322" s="430">
        <f>TrialBalance!C322</f>
        <v>0</v>
      </c>
      <c r="D322" s="438"/>
      <c r="E322" s="428"/>
      <c r="F322" s="88">
        <f t="shared" si="87"/>
        <v>0</v>
      </c>
      <c r="G322" s="56">
        <f>SUMIF(JournalsA!D$14:D$920,TrialBalanceA!M322,JournalsA!J$14:J$920)+SUMIF(JournalsA!E$14:E$920,TrialBalanceA!M322,JournalsA!J$14:J$920)</f>
        <v>0</v>
      </c>
      <c r="H322" s="443"/>
      <c r="I322" s="411">
        <f t="shared" si="88"/>
        <v>0</v>
      </c>
      <c r="J322" s="84"/>
      <c r="K322" s="57">
        <f t="shared" si="89"/>
        <v>0</v>
      </c>
      <c r="M322" s="197" t="str">
        <f t="shared" si="90"/>
        <v>7450/0030</v>
      </c>
      <c r="N322" s="79"/>
      <c r="P322" s="80"/>
      <c r="Q322" s="60"/>
      <c r="R322" s="34"/>
    </row>
    <row r="323" spans="1:18" x14ac:dyDescent="0.2">
      <c r="A323" s="394"/>
      <c r="B323" s="114" t="s">
        <v>499</v>
      </c>
      <c r="C323" s="430">
        <f>TrialBalance!C323</f>
        <v>0</v>
      </c>
      <c r="D323" s="438"/>
      <c r="E323" s="428"/>
      <c r="F323" s="88">
        <f t="shared" ref="F323:F328" si="91">K323</f>
        <v>0</v>
      </c>
      <c r="G323" s="56">
        <f>SUMIF(JournalsA!D$14:D$920,TrialBalanceA!M323,JournalsA!J$14:J$920)+SUMIF(JournalsA!E$14:E$920,TrialBalanceA!M323,JournalsA!J$14:J$920)</f>
        <v>0</v>
      </c>
      <c r="H323" s="443"/>
      <c r="I323" s="411">
        <f t="shared" ref="I323:I328" si="92">ROUND(D323-E323+G323+F323,0)</f>
        <v>0</v>
      </c>
      <c r="J323" s="84"/>
      <c r="K323" s="57">
        <f t="shared" ref="K323:K328" si="93">ROUND(SUM(A323),0)</f>
        <v>0</v>
      </c>
      <c r="M323" s="197" t="str">
        <f t="shared" ref="M323:M328" si="94">CONCATENATE(B323,C323)</f>
        <v>7450/0040</v>
      </c>
      <c r="N323" s="79"/>
      <c r="P323" s="80"/>
      <c r="Q323" s="60"/>
      <c r="R323" s="34"/>
    </row>
    <row r="324" spans="1:18" x14ac:dyDescent="0.2">
      <c r="A324" s="394"/>
      <c r="B324" s="114" t="s">
        <v>352</v>
      </c>
      <c r="C324" s="430">
        <f>TrialBalance!C324</f>
        <v>0</v>
      </c>
      <c r="D324" s="438"/>
      <c r="E324" s="428"/>
      <c r="F324" s="88">
        <f t="shared" si="91"/>
        <v>0</v>
      </c>
      <c r="G324" s="56">
        <f>SUMIF(JournalsA!D$14:D$920,TrialBalanceA!M324,JournalsA!J$14:J$920)+SUMIF(JournalsA!E$14:E$920,TrialBalanceA!M324,JournalsA!J$14:J$920)</f>
        <v>0</v>
      </c>
      <c r="H324" s="443"/>
      <c r="I324" s="411">
        <f t="shared" si="92"/>
        <v>0</v>
      </c>
      <c r="J324" s="84"/>
      <c r="K324" s="57">
        <f t="shared" si="93"/>
        <v>0</v>
      </c>
      <c r="M324" s="197" t="str">
        <f t="shared" si="94"/>
        <v>7450/0050</v>
      </c>
      <c r="N324" s="79"/>
      <c r="P324" s="80"/>
      <c r="Q324" s="60"/>
      <c r="R324" s="34"/>
    </row>
    <row r="325" spans="1:18" x14ac:dyDescent="0.2">
      <c r="A325" s="394"/>
      <c r="B325" s="114" t="s">
        <v>986</v>
      </c>
      <c r="C325" s="430">
        <f>TrialBalance!C325</f>
        <v>0</v>
      </c>
      <c r="D325" s="438"/>
      <c r="E325" s="428"/>
      <c r="F325" s="88">
        <f t="shared" si="91"/>
        <v>0</v>
      </c>
      <c r="G325" s="56">
        <f>SUMIF(JournalsA!D$14:D$920,TrialBalanceA!M325,JournalsA!J$14:J$920)+SUMIF(JournalsA!E$14:E$920,TrialBalanceA!M325,JournalsA!J$14:J$920)</f>
        <v>0</v>
      </c>
      <c r="H325" s="443"/>
      <c r="I325" s="411">
        <f t="shared" si="92"/>
        <v>0</v>
      </c>
      <c r="J325" s="84"/>
      <c r="K325" s="57">
        <f t="shared" si="93"/>
        <v>0</v>
      </c>
      <c r="M325" s="197" t="str">
        <f t="shared" si="94"/>
        <v>7450/0060</v>
      </c>
      <c r="N325" s="79"/>
      <c r="P325" s="80"/>
      <c r="Q325" s="60"/>
      <c r="R325" s="34"/>
    </row>
    <row r="326" spans="1:18" x14ac:dyDescent="0.2">
      <c r="A326" s="394"/>
      <c r="B326" s="114" t="s">
        <v>1245</v>
      </c>
      <c r="C326" s="430">
        <f>TrialBalance!C326</f>
        <v>0</v>
      </c>
      <c r="D326" s="438"/>
      <c r="E326" s="428"/>
      <c r="F326" s="88">
        <f t="shared" si="91"/>
        <v>0</v>
      </c>
      <c r="G326" s="56">
        <f>SUMIF(JournalsA!D$14:D$920,TrialBalanceA!M326,JournalsA!J$14:J$920)+SUMIF(JournalsA!E$14:E$920,TrialBalanceA!M326,JournalsA!J$14:J$920)</f>
        <v>0</v>
      </c>
      <c r="H326" s="443"/>
      <c r="I326" s="411">
        <f t="shared" si="92"/>
        <v>0</v>
      </c>
      <c r="J326" s="84"/>
      <c r="K326" s="57">
        <f t="shared" si="93"/>
        <v>0</v>
      </c>
      <c r="M326" s="197" t="str">
        <f t="shared" si="94"/>
        <v>7450/0070</v>
      </c>
      <c r="N326" s="79"/>
      <c r="P326" s="80"/>
      <c r="Q326" s="60"/>
      <c r="R326" s="34"/>
    </row>
    <row r="327" spans="1:18" x14ac:dyDescent="0.2">
      <c r="A327" s="394"/>
      <c r="B327" s="114" t="s">
        <v>1246</v>
      </c>
      <c r="C327" s="430">
        <f>TrialBalance!C327</f>
        <v>0</v>
      </c>
      <c r="D327" s="438"/>
      <c r="E327" s="428"/>
      <c r="F327" s="88">
        <f t="shared" si="91"/>
        <v>0</v>
      </c>
      <c r="G327" s="56">
        <f>SUMIF(JournalsA!D$14:D$920,TrialBalanceA!M327,JournalsA!J$14:J$920)+SUMIF(JournalsA!E$14:E$920,TrialBalanceA!M327,JournalsA!J$14:J$920)</f>
        <v>0</v>
      </c>
      <c r="H327" s="443"/>
      <c r="I327" s="411">
        <f t="shared" si="92"/>
        <v>0</v>
      </c>
      <c r="J327" s="84"/>
      <c r="K327" s="57">
        <f t="shared" si="93"/>
        <v>0</v>
      </c>
      <c r="M327" s="197" t="str">
        <f t="shared" si="94"/>
        <v>7450/0080</v>
      </c>
      <c r="N327" s="79"/>
      <c r="P327" s="80"/>
      <c r="Q327" s="60"/>
      <c r="R327" s="34"/>
    </row>
    <row r="328" spans="1:18" x14ac:dyDescent="0.2">
      <c r="A328" s="394"/>
      <c r="B328" s="114" t="s">
        <v>1247</v>
      </c>
      <c r="C328" s="430">
        <f>TrialBalance!C328</f>
        <v>0</v>
      </c>
      <c r="D328" s="438"/>
      <c r="E328" s="428"/>
      <c r="F328" s="88">
        <f t="shared" si="91"/>
        <v>0</v>
      </c>
      <c r="G328" s="56">
        <f>SUMIF(JournalsA!D$14:D$920,TrialBalanceA!M328,JournalsA!J$14:J$920)+SUMIF(JournalsA!E$14:E$920,TrialBalanceA!M328,JournalsA!J$14:J$920)</f>
        <v>0</v>
      </c>
      <c r="H328" s="443"/>
      <c r="I328" s="411">
        <f t="shared" si="92"/>
        <v>0</v>
      </c>
      <c r="J328" s="84"/>
      <c r="K328" s="57">
        <f t="shared" si="93"/>
        <v>0</v>
      </c>
      <c r="M328" s="197" t="str">
        <f t="shared" si="94"/>
        <v>7450/0090</v>
      </c>
      <c r="N328" s="79"/>
      <c r="P328" s="80"/>
      <c r="Q328" s="60"/>
      <c r="R328" s="34"/>
    </row>
    <row r="329" spans="1:18" x14ac:dyDescent="0.2">
      <c r="A329" s="394"/>
      <c r="B329" s="114" t="s">
        <v>1248</v>
      </c>
      <c r="C329" s="430">
        <f>TrialBalance!C329</f>
        <v>0</v>
      </c>
      <c r="D329" s="436"/>
      <c r="E329" s="428"/>
      <c r="F329" s="88">
        <f t="shared" si="81"/>
        <v>0</v>
      </c>
      <c r="G329" s="56">
        <f>SUMIF(JournalsA!D$14:D$920,TrialBalanceA!M329,JournalsA!J$14:J$920)+SUMIF(JournalsA!E$14:E$920,TrialBalanceA!M329,JournalsA!J$14:J$920)</f>
        <v>0</v>
      </c>
      <c r="H329" s="443"/>
      <c r="I329" s="411">
        <f t="shared" si="82"/>
        <v>0</v>
      </c>
      <c r="J329" s="84"/>
      <c r="K329" s="57">
        <f t="shared" si="83"/>
        <v>0</v>
      </c>
      <c r="M329" s="197" t="str">
        <f t="shared" si="77"/>
        <v>7450/0100</v>
      </c>
      <c r="N329" s="79"/>
      <c r="P329" s="80"/>
      <c r="Q329" s="60"/>
      <c r="R329" s="34"/>
    </row>
    <row r="330" spans="1:18" x14ac:dyDescent="0.2">
      <c r="A330" s="394"/>
      <c r="B330" s="114" t="s">
        <v>1249</v>
      </c>
      <c r="C330" s="398" t="s">
        <v>787</v>
      </c>
      <c r="D330" s="436"/>
      <c r="E330" s="428"/>
      <c r="F330" s="88"/>
      <c r="G330" s="56">
        <f>SUMIF(JournalsA!D$14:D$920,TrialBalanceA!M330,JournalsA!J$14:J$920)+SUMIF(JournalsA!E$14:E$920,TrialBalanceA!M330,JournalsA!J$14:J$920)</f>
        <v>0</v>
      </c>
      <c r="H330" s="443"/>
      <c r="I330" s="411">
        <f t="shared" ref="I330" si="95">ROUND(D330-E330+G330+F330,0)</f>
        <v>0</v>
      </c>
      <c r="J330" s="84"/>
      <c r="K330" s="57">
        <f t="shared" ref="K330" si="96">ROUND(SUM(A330),0)</f>
        <v>0</v>
      </c>
      <c r="M330" s="197" t="str">
        <f t="shared" ref="M330" si="97">CONCATENATE(B330,C330)</f>
        <v>7455/000Interest free</v>
      </c>
      <c r="N330" s="79"/>
      <c r="P330" s="80"/>
      <c r="Q330" s="60"/>
      <c r="R330" s="34"/>
    </row>
    <row r="331" spans="1:18" x14ac:dyDescent="0.2">
      <c r="A331" s="394"/>
      <c r="B331" s="114" t="s">
        <v>1250</v>
      </c>
      <c r="C331" s="430">
        <f>TrialBalance!C331</f>
        <v>0</v>
      </c>
      <c r="D331" s="436"/>
      <c r="E331" s="428"/>
      <c r="F331" s="88">
        <f t="shared" si="81"/>
        <v>0</v>
      </c>
      <c r="G331" s="56">
        <f>SUMIF(JournalsA!D$14:D$920,TrialBalanceA!M331,JournalsA!J$14:J$920)+SUMIF(JournalsA!E$14:E$920,TrialBalanceA!M331,JournalsA!J$14:J$920)</f>
        <v>0</v>
      </c>
      <c r="H331" s="443"/>
      <c r="I331" s="411">
        <f t="shared" si="82"/>
        <v>0</v>
      </c>
      <c r="J331" s="84"/>
      <c r="K331" s="57">
        <f t="shared" si="83"/>
        <v>0</v>
      </c>
      <c r="M331" s="197" t="str">
        <f t="shared" si="77"/>
        <v>7455/0010</v>
      </c>
      <c r="N331" s="79"/>
      <c r="P331" s="80"/>
      <c r="Q331" s="60"/>
      <c r="R331" s="34"/>
    </row>
    <row r="332" spans="1:18" x14ac:dyDescent="0.2">
      <c r="A332" s="394"/>
      <c r="B332" s="114" t="s">
        <v>1251</v>
      </c>
      <c r="C332" s="430">
        <f>TrialBalance!C332</f>
        <v>0</v>
      </c>
      <c r="D332" s="436"/>
      <c r="E332" s="428"/>
      <c r="F332" s="88">
        <f t="shared" ref="F332" si="98">K332</f>
        <v>0</v>
      </c>
      <c r="G332" s="56">
        <f>SUMIF(JournalsA!D$14:D$920,TrialBalanceA!M332,JournalsA!J$14:J$920)+SUMIF(JournalsA!E$14:E$920,TrialBalanceA!M332,JournalsA!J$14:J$920)</f>
        <v>0</v>
      </c>
      <c r="H332" s="443"/>
      <c r="I332" s="411">
        <f t="shared" ref="I332" si="99">ROUND(D332-E332+G332+F332,0)</f>
        <v>0</v>
      </c>
      <c r="J332" s="84"/>
      <c r="K332" s="57">
        <f t="shared" ref="K332" si="100">ROUND(SUM(A332),0)</f>
        <v>0</v>
      </c>
      <c r="M332" s="197" t="str">
        <f t="shared" ref="M332" si="101">CONCATENATE(B332,C332)</f>
        <v>7455/0020</v>
      </c>
      <c r="N332" s="79"/>
      <c r="P332" s="80"/>
      <c r="Q332" s="60"/>
      <c r="R332" s="34"/>
    </row>
    <row r="333" spans="1:18" x14ac:dyDescent="0.2">
      <c r="A333" s="394"/>
      <c r="B333" s="114" t="s">
        <v>1252</v>
      </c>
      <c r="C333" s="430">
        <f>TrialBalance!C333</f>
        <v>0</v>
      </c>
      <c r="D333" s="436"/>
      <c r="E333" s="428"/>
      <c r="F333" s="88">
        <f t="shared" si="81"/>
        <v>0</v>
      </c>
      <c r="G333" s="56">
        <f>SUMIF(JournalsA!D$14:D$920,TrialBalanceA!M333,JournalsA!J$14:J$920)+SUMIF(JournalsA!E$14:E$920,TrialBalanceA!M333,JournalsA!J$14:J$920)</f>
        <v>0</v>
      </c>
      <c r="H333" s="443"/>
      <c r="I333" s="411">
        <f t="shared" si="82"/>
        <v>0</v>
      </c>
      <c r="J333" s="84"/>
      <c r="K333" s="57">
        <f t="shared" si="83"/>
        <v>0</v>
      </c>
      <c r="M333" s="197" t="str">
        <f t="shared" si="77"/>
        <v>7455/0030</v>
      </c>
      <c r="N333" s="79"/>
      <c r="P333" s="80"/>
      <c r="Q333" s="60"/>
      <c r="R333" s="34"/>
    </row>
    <row r="334" spans="1:18" x14ac:dyDescent="0.2">
      <c r="A334" s="394"/>
      <c r="B334" s="114" t="s">
        <v>1253</v>
      </c>
      <c r="C334" s="430">
        <f>TrialBalance!C334</f>
        <v>0</v>
      </c>
      <c r="D334" s="436"/>
      <c r="E334" s="428"/>
      <c r="F334" s="88">
        <f t="shared" ref="F334:F339" si="102">K334</f>
        <v>0</v>
      </c>
      <c r="G334" s="56">
        <f>SUMIF(JournalsA!D$14:D$920,TrialBalanceA!M334,JournalsA!J$14:J$920)+SUMIF(JournalsA!E$14:E$920,TrialBalanceA!M334,JournalsA!J$14:J$920)</f>
        <v>0</v>
      </c>
      <c r="H334" s="443"/>
      <c r="I334" s="411">
        <f t="shared" ref="I334:I339" si="103">ROUND(D334-E334+G334+F334,0)</f>
        <v>0</v>
      </c>
      <c r="J334" s="84"/>
      <c r="K334" s="57">
        <f t="shared" ref="K334:K339" si="104">ROUND(SUM(A334),0)</f>
        <v>0</v>
      </c>
      <c r="M334" s="197" t="str">
        <f t="shared" ref="M334:M339" si="105">CONCATENATE(B334,C334)</f>
        <v>7455/0040</v>
      </c>
      <c r="N334" s="79"/>
      <c r="P334" s="80"/>
      <c r="Q334" s="60"/>
      <c r="R334" s="34"/>
    </row>
    <row r="335" spans="1:18" x14ac:dyDescent="0.2">
      <c r="A335" s="394"/>
      <c r="B335" s="114" t="s">
        <v>1254</v>
      </c>
      <c r="C335" s="430">
        <f>TrialBalance!C335</f>
        <v>0</v>
      </c>
      <c r="D335" s="436"/>
      <c r="E335" s="428"/>
      <c r="F335" s="88">
        <f t="shared" si="102"/>
        <v>0</v>
      </c>
      <c r="G335" s="56">
        <f>SUMIF(JournalsA!D$14:D$920,TrialBalanceA!M335,JournalsA!J$14:J$920)+SUMIF(JournalsA!E$14:E$920,TrialBalanceA!M335,JournalsA!J$14:J$920)</f>
        <v>0</v>
      </c>
      <c r="H335" s="443"/>
      <c r="I335" s="411">
        <f t="shared" si="103"/>
        <v>0</v>
      </c>
      <c r="J335" s="84"/>
      <c r="K335" s="57">
        <f t="shared" si="104"/>
        <v>0</v>
      </c>
      <c r="M335" s="197" t="str">
        <f t="shared" si="105"/>
        <v>7455/0050</v>
      </c>
      <c r="N335" s="79"/>
      <c r="P335" s="80"/>
      <c r="Q335" s="60"/>
      <c r="R335" s="34"/>
    </row>
    <row r="336" spans="1:18" x14ac:dyDescent="0.2">
      <c r="A336" s="394"/>
      <c r="B336" s="114" t="s">
        <v>1255</v>
      </c>
      <c r="C336" s="430">
        <f>TrialBalance!C336</f>
        <v>0</v>
      </c>
      <c r="D336" s="436"/>
      <c r="E336" s="428"/>
      <c r="F336" s="88">
        <f t="shared" si="102"/>
        <v>0</v>
      </c>
      <c r="G336" s="56">
        <f>SUMIF(JournalsA!D$14:D$920,TrialBalanceA!M336,JournalsA!J$14:J$920)+SUMIF(JournalsA!E$14:E$920,TrialBalanceA!M336,JournalsA!J$14:J$920)</f>
        <v>0</v>
      </c>
      <c r="H336" s="443"/>
      <c r="I336" s="411">
        <f t="shared" si="103"/>
        <v>0</v>
      </c>
      <c r="J336" s="84"/>
      <c r="K336" s="57">
        <f t="shared" si="104"/>
        <v>0</v>
      </c>
      <c r="M336" s="197" t="str">
        <f t="shared" si="105"/>
        <v>7455/0060</v>
      </c>
      <c r="N336" s="79"/>
      <c r="P336" s="80"/>
      <c r="Q336" s="60"/>
      <c r="R336" s="34"/>
    </row>
    <row r="337" spans="1:18" x14ac:dyDescent="0.2">
      <c r="A337" s="394"/>
      <c r="B337" s="114" t="s">
        <v>1256</v>
      </c>
      <c r="C337" s="430">
        <f>TrialBalance!C337</f>
        <v>0</v>
      </c>
      <c r="D337" s="436"/>
      <c r="E337" s="428"/>
      <c r="F337" s="88">
        <f t="shared" si="102"/>
        <v>0</v>
      </c>
      <c r="G337" s="56">
        <f>SUMIF(JournalsA!D$14:D$920,TrialBalanceA!M337,JournalsA!J$14:J$920)+SUMIF(JournalsA!E$14:E$920,TrialBalanceA!M337,JournalsA!J$14:J$920)</f>
        <v>0</v>
      </c>
      <c r="H337" s="443"/>
      <c r="I337" s="411">
        <f t="shared" si="103"/>
        <v>0</v>
      </c>
      <c r="J337" s="84"/>
      <c r="K337" s="57">
        <f t="shared" si="104"/>
        <v>0</v>
      </c>
      <c r="M337" s="197" t="str">
        <f t="shared" si="105"/>
        <v>7455/0070</v>
      </c>
      <c r="N337" s="79"/>
      <c r="P337" s="80"/>
      <c r="Q337" s="60"/>
      <c r="R337" s="34"/>
    </row>
    <row r="338" spans="1:18" x14ac:dyDescent="0.2">
      <c r="A338" s="394"/>
      <c r="B338" s="114" t="s">
        <v>1257</v>
      </c>
      <c r="C338" s="430">
        <f>TrialBalance!C338</f>
        <v>0</v>
      </c>
      <c r="D338" s="436"/>
      <c r="E338" s="428"/>
      <c r="F338" s="88">
        <f t="shared" si="102"/>
        <v>0</v>
      </c>
      <c r="G338" s="56">
        <f>SUMIF(JournalsA!D$14:D$920,TrialBalanceA!M338,JournalsA!J$14:J$920)+SUMIF(JournalsA!E$14:E$920,TrialBalanceA!M338,JournalsA!J$14:J$920)</f>
        <v>0</v>
      </c>
      <c r="H338" s="443"/>
      <c r="I338" s="411">
        <f t="shared" si="103"/>
        <v>0</v>
      </c>
      <c r="J338" s="84"/>
      <c r="K338" s="57">
        <f t="shared" si="104"/>
        <v>0</v>
      </c>
      <c r="M338" s="197" t="str">
        <f t="shared" si="105"/>
        <v>7455/0080</v>
      </c>
      <c r="N338" s="79"/>
      <c r="P338" s="80"/>
      <c r="Q338" s="60"/>
      <c r="R338" s="34"/>
    </row>
    <row r="339" spans="1:18" x14ac:dyDescent="0.2">
      <c r="A339" s="394"/>
      <c r="B339" s="114" t="s">
        <v>1258</v>
      </c>
      <c r="C339" s="430">
        <f>TrialBalance!C339</f>
        <v>0</v>
      </c>
      <c r="D339" s="436"/>
      <c r="E339" s="428"/>
      <c r="F339" s="88">
        <f t="shared" si="102"/>
        <v>0</v>
      </c>
      <c r="G339" s="56">
        <f>SUMIF(JournalsA!D$14:D$920,TrialBalanceA!M339,JournalsA!J$14:J$920)+SUMIF(JournalsA!E$14:E$920,TrialBalanceA!M339,JournalsA!J$14:J$920)</f>
        <v>0</v>
      </c>
      <c r="H339" s="443"/>
      <c r="I339" s="411">
        <f t="shared" si="103"/>
        <v>0</v>
      </c>
      <c r="J339" s="84"/>
      <c r="K339" s="57">
        <f t="shared" si="104"/>
        <v>0</v>
      </c>
      <c r="M339" s="197" t="str">
        <f t="shared" si="105"/>
        <v>7455/0090</v>
      </c>
      <c r="N339" s="79"/>
      <c r="P339" s="80"/>
      <c r="Q339" s="60"/>
      <c r="R339" s="34"/>
    </row>
    <row r="340" spans="1:18" x14ac:dyDescent="0.2">
      <c r="A340" s="394"/>
      <c r="B340" s="114" t="s">
        <v>1259</v>
      </c>
      <c r="C340" s="430">
        <f>TrialBalance!C340</f>
        <v>0</v>
      </c>
      <c r="D340" s="436"/>
      <c r="E340" s="428"/>
      <c r="F340" s="88">
        <f t="shared" si="81"/>
        <v>0</v>
      </c>
      <c r="G340" s="56">
        <f>SUMIF(JournalsA!D$14:D$920,TrialBalanceA!M340,JournalsA!J$14:J$920)+SUMIF(JournalsA!E$14:E$920,TrialBalanceA!M340,JournalsA!J$14:J$920)</f>
        <v>0</v>
      </c>
      <c r="H340" s="443"/>
      <c r="I340" s="411">
        <f t="shared" si="82"/>
        <v>0</v>
      </c>
      <c r="J340" s="84"/>
      <c r="K340" s="57">
        <f t="shared" si="83"/>
        <v>0</v>
      </c>
      <c r="M340" s="197" t="str">
        <f t="shared" si="77"/>
        <v>7455/0100</v>
      </c>
      <c r="N340" s="79"/>
      <c r="P340" s="80"/>
      <c r="Q340" s="60"/>
      <c r="R340" s="34"/>
    </row>
    <row r="341" spans="1:18" x14ac:dyDescent="0.2">
      <c r="A341" s="394"/>
      <c r="B341" s="63" t="s">
        <v>353</v>
      </c>
      <c r="C341" s="396" t="s">
        <v>929</v>
      </c>
      <c r="D341" s="428"/>
      <c r="E341" s="428"/>
      <c r="F341" s="88"/>
      <c r="G341" s="56">
        <f>SUMIF(JournalsA!D$14:D$920,TrialBalanceA!M341,JournalsA!J$14:J$920)+SUMIF(JournalsA!E$14:E$920,TrialBalanceA!M341,JournalsA!J$14:J$920)</f>
        <v>0</v>
      </c>
      <c r="H341" s="443"/>
      <c r="I341" s="411">
        <f t="shared" si="82"/>
        <v>0</v>
      </c>
      <c r="J341" s="84"/>
      <c r="K341" s="57">
        <f t="shared" si="83"/>
        <v>0</v>
      </c>
      <c r="M341" s="197" t="str">
        <f t="shared" si="77"/>
        <v>7460/000OTHER NON - CURRENT RECEIVABLES</v>
      </c>
      <c r="N341" s="79"/>
      <c r="P341" s="80"/>
      <c r="Q341" s="60"/>
      <c r="R341" s="34"/>
    </row>
    <row r="342" spans="1:18" x14ac:dyDescent="0.2">
      <c r="A342" s="394"/>
      <c r="B342" s="63" t="s">
        <v>353</v>
      </c>
      <c r="C342" s="396" t="s">
        <v>788</v>
      </c>
      <c r="D342" s="428"/>
      <c r="E342" s="428"/>
      <c r="F342" s="88"/>
      <c r="G342" s="56">
        <f>SUMIF(JournalsA!D$14:D$920,TrialBalanceA!M342,JournalsA!J$14:J$920)+SUMIF(JournalsA!E$14:E$920,TrialBalanceA!M342,JournalsA!J$14:J$920)</f>
        <v>0</v>
      </c>
      <c r="H342" s="443"/>
      <c r="I342" s="411">
        <f t="shared" ref="I342" si="106">ROUND(D342-E342+G342+F342,0)</f>
        <v>0</v>
      </c>
      <c r="J342" s="84"/>
      <c r="K342" s="57">
        <f t="shared" ref="K342" si="107">ROUND(SUM(A342),0)</f>
        <v>0</v>
      </c>
      <c r="M342" s="197" t="str">
        <f t="shared" ref="M342" si="108">CONCATENATE(B342,C342)</f>
        <v>7460/000Interest bearing</v>
      </c>
      <c r="N342" s="79"/>
      <c r="P342" s="80"/>
      <c r="Q342" s="60"/>
      <c r="R342" s="34"/>
    </row>
    <row r="343" spans="1:18" x14ac:dyDescent="0.2">
      <c r="A343" s="394"/>
      <c r="B343" s="63" t="s">
        <v>355</v>
      </c>
      <c r="C343" s="430">
        <f>TrialBalance!C343</f>
        <v>0</v>
      </c>
      <c r="D343" s="438"/>
      <c r="E343" s="438"/>
      <c r="F343" s="88">
        <f t="shared" si="81"/>
        <v>0</v>
      </c>
      <c r="G343" s="56">
        <f>SUMIF(JournalsA!D$14:D$920,TrialBalanceA!M343,JournalsA!J$14:J$920)+SUMIF(JournalsA!E$14:E$920,TrialBalanceA!M343,JournalsA!J$14:J$920)</f>
        <v>0</v>
      </c>
      <c r="H343" s="443"/>
      <c r="I343" s="411">
        <f t="shared" si="82"/>
        <v>0</v>
      </c>
      <c r="J343" s="84"/>
      <c r="K343" s="57">
        <f t="shared" si="83"/>
        <v>0</v>
      </c>
      <c r="M343" s="197" t="str">
        <f t="shared" si="77"/>
        <v>7460/0010</v>
      </c>
      <c r="N343" s="79"/>
      <c r="P343" s="80"/>
      <c r="Q343" s="60"/>
      <c r="R343" s="34"/>
    </row>
    <row r="344" spans="1:18" x14ac:dyDescent="0.2">
      <c r="A344" s="394"/>
      <c r="B344" s="63" t="s">
        <v>356</v>
      </c>
      <c r="C344" s="430">
        <f>TrialBalance!C344</f>
        <v>0</v>
      </c>
      <c r="D344" s="438"/>
      <c r="E344" s="438"/>
      <c r="F344" s="88">
        <f t="shared" ref="F344" si="109">K344</f>
        <v>0</v>
      </c>
      <c r="G344" s="56">
        <f>SUMIF(JournalsA!D$14:D$920,TrialBalanceA!M344,JournalsA!J$14:J$920)+SUMIF(JournalsA!E$14:E$920,TrialBalanceA!M344,JournalsA!J$14:J$920)</f>
        <v>0</v>
      </c>
      <c r="H344" s="443"/>
      <c r="I344" s="411">
        <f t="shared" ref="I344" si="110">ROUND(D344-E344+G344+F344,0)</f>
        <v>0</v>
      </c>
      <c r="J344" s="84"/>
      <c r="K344" s="57">
        <f t="shared" ref="K344" si="111">ROUND(SUM(A344),0)</f>
        <v>0</v>
      </c>
      <c r="M344" s="197" t="str">
        <f t="shared" ref="M344" si="112">CONCATENATE(B344,C344)</f>
        <v>7460/0020</v>
      </c>
      <c r="N344" s="79"/>
      <c r="P344" s="80"/>
      <c r="Q344" s="60"/>
      <c r="R344" s="34"/>
    </row>
    <row r="345" spans="1:18" x14ac:dyDescent="0.2">
      <c r="A345" s="394"/>
      <c r="B345" s="63" t="s">
        <v>357</v>
      </c>
      <c r="C345" s="430">
        <f>TrialBalance!C345</f>
        <v>0</v>
      </c>
      <c r="D345" s="436"/>
      <c r="E345" s="428"/>
      <c r="F345" s="88">
        <f t="shared" si="81"/>
        <v>0</v>
      </c>
      <c r="G345" s="56">
        <f>SUMIF(JournalsA!D$14:D$920,TrialBalanceA!M345,JournalsA!J$14:J$920)+SUMIF(JournalsA!E$14:E$920,TrialBalanceA!M345,JournalsA!J$14:J$920)</f>
        <v>0</v>
      </c>
      <c r="H345" s="443"/>
      <c r="I345" s="411">
        <f t="shared" si="82"/>
        <v>0</v>
      </c>
      <c r="J345" s="84"/>
      <c r="K345" s="57">
        <f t="shared" si="83"/>
        <v>0</v>
      </c>
      <c r="M345" s="197" t="str">
        <f t="shared" si="77"/>
        <v>7460/0030</v>
      </c>
      <c r="N345" s="79"/>
      <c r="P345" s="80"/>
      <c r="Q345" s="60"/>
      <c r="R345" s="34"/>
    </row>
    <row r="346" spans="1:18" x14ac:dyDescent="0.2">
      <c r="A346" s="394"/>
      <c r="B346" s="114" t="s">
        <v>747</v>
      </c>
      <c r="C346" s="430">
        <f>TrialBalance!C346</f>
        <v>0</v>
      </c>
      <c r="D346" s="436"/>
      <c r="E346" s="428"/>
      <c r="F346" s="88">
        <f t="shared" si="81"/>
        <v>0</v>
      </c>
      <c r="G346" s="56">
        <f>SUMIF(JournalsA!D$14:D$920,TrialBalanceA!M346,JournalsA!J$14:J$920)+SUMIF(JournalsA!E$14:E$920,TrialBalanceA!M346,JournalsA!J$14:J$920)</f>
        <v>0</v>
      </c>
      <c r="H346" s="443"/>
      <c r="I346" s="411">
        <f t="shared" si="82"/>
        <v>0</v>
      </c>
      <c r="J346" s="84"/>
      <c r="K346" s="57">
        <f t="shared" si="83"/>
        <v>0</v>
      </c>
      <c r="M346" s="197" t="str">
        <f t="shared" si="77"/>
        <v>7460/0040</v>
      </c>
      <c r="N346" s="79"/>
      <c r="P346" s="80"/>
      <c r="Q346" s="60"/>
      <c r="R346" s="34"/>
    </row>
    <row r="347" spans="1:18" x14ac:dyDescent="0.2">
      <c r="A347" s="394"/>
      <c r="B347" s="63" t="s">
        <v>353</v>
      </c>
      <c r="C347" s="398" t="s">
        <v>787</v>
      </c>
      <c r="D347" s="436"/>
      <c r="E347" s="428"/>
      <c r="F347" s="88"/>
      <c r="G347" s="56">
        <f>SUMIF(JournalsA!D$14:D$920,TrialBalanceA!M347,JournalsA!J$14:J$920)+SUMIF(JournalsA!E$14:E$920,TrialBalanceA!M347,JournalsA!J$14:J$920)</f>
        <v>0</v>
      </c>
      <c r="H347" s="443"/>
      <c r="I347" s="411">
        <f t="shared" ref="I347" si="113">ROUND(D347-E347+G347+F347,0)</f>
        <v>0</v>
      </c>
      <c r="J347" s="84"/>
      <c r="K347" s="57">
        <f t="shared" ref="K347" si="114">ROUND(SUM(A347),0)</f>
        <v>0</v>
      </c>
      <c r="M347" s="197" t="str">
        <f t="shared" ref="M347" si="115">CONCATENATE(B347,C347)</f>
        <v>7460/000Interest free</v>
      </c>
      <c r="N347" s="79"/>
      <c r="P347" s="80"/>
      <c r="Q347" s="60"/>
      <c r="R347" s="34"/>
    </row>
    <row r="348" spans="1:18" x14ac:dyDescent="0.2">
      <c r="A348" s="394"/>
      <c r="B348" s="114" t="s">
        <v>747</v>
      </c>
      <c r="C348" s="430">
        <f>TrialBalance!C348</f>
        <v>0</v>
      </c>
      <c r="D348" s="436"/>
      <c r="E348" s="428"/>
      <c r="F348" s="88">
        <f t="shared" si="81"/>
        <v>0</v>
      </c>
      <c r="G348" s="56">
        <f>SUMIF(JournalsA!D$14:D$920,TrialBalanceA!M348,JournalsA!J$14:J$920)+SUMIF(JournalsA!E$14:E$920,TrialBalanceA!M348,JournalsA!J$14:J$920)</f>
        <v>0</v>
      </c>
      <c r="H348" s="443"/>
      <c r="I348" s="411">
        <f t="shared" si="82"/>
        <v>0</v>
      </c>
      <c r="J348" s="84"/>
      <c r="K348" s="57">
        <f t="shared" si="83"/>
        <v>0</v>
      </c>
      <c r="M348" s="197" t="str">
        <f t="shared" si="77"/>
        <v>7460/0040</v>
      </c>
      <c r="N348" s="79"/>
      <c r="P348" s="80"/>
      <c r="Q348" s="60"/>
      <c r="R348" s="34"/>
    </row>
    <row r="349" spans="1:18" x14ac:dyDescent="0.2">
      <c r="A349" s="394"/>
      <c r="B349" s="114" t="s">
        <v>748</v>
      </c>
      <c r="C349" s="430">
        <f>TrialBalance!C349</f>
        <v>0</v>
      </c>
      <c r="D349" s="436"/>
      <c r="E349" s="428"/>
      <c r="F349" s="88">
        <f t="shared" si="81"/>
        <v>0</v>
      </c>
      <c r="G349" s="56">
        <f>SUMIF(JournalsA!D$14:D$920,TrialBalanceA!M349,JournalsA!J$14:J$920)+SUMIF(JournalsA!E$14:E$920,TrialBalanceA!M349,JournalsA!J$14:J$920)</f>
        <v>0</v>
      </c>
      <c r="H349" s="443"/>
      <c r="I349" s="411">
        <f t="shared" si="82"/>
        <v>0</v>
      </c>
      <c r="J349" s="84"/>
      <c r="K349" s="57">
        <f t="shared" si="83"/>
        <v>0</v>
      </c>
      <c r="M349" s="197" t="str">
        <f t="shared" si="77"/>
        <v>7460/0050</v>
      </c>
      <c r="N349" s="79"/>
      <c r="P349" s="80"/>
      <c r="Q349" s="60"/>
      <c r="R349" s="34"/>
    </row>
    <row r="350" spans="1:18" x14ac:dyDescent="0.2">
      <c r="A350" s="394"/>
      <c r="B350" s="114" t="s">
        <v>358</v>
      </c>
      <c r="C350" s="430">
        <f>TrialBalance!C350</f>
        <v>0</v>
      </c>
      <c r="D350" s="436"/>
      <c r="E350" s="428"/>
      <c r="F350" s="88">
        <f>K350</f>
        <v>0</v>
      </c>
      <c r="G350" s="56">
        <f>SUMIF(JournalsA!D$14:D$920,TrialBalanceA!M350,JournalsA!J$14:J$920)+SUMIF(JournalsA!E$14:E$920,TrialBalanceA!M350,JournalsA!J$14:J$920)</f>
        <v>0</v>
      </c>
      <c r="H350" s="443"/>
      <c r="I350" s="411">
        <f t="shared" si="82"/>
        <v>0</v>
      </c>
      <c r="J350" s="84"/>
      <c r="K350" s="57">
        <f t="shared" si="83"/>
        <v>0</v>
      </c>
      <c r="M350" s="197" t="str">
        <f t="shared" si="77"/>
        <v>7460/0060</v>
      </c>
      <c r="N350" s="79"/>
      <c r="P350" s="80"/>
      <c r="Q350" s="60"/>
      <c r="R350" s="34"/>
    </row>
    <row r="351" spans="1:18" x14ac:dyDescent="0.2">
      <c r="A351" s="394"/>
      <c r="B351" s="114" t="s">
        <v>359</v>
      </c>
      <c r="C351" s="430">
        <f>TrialBalance!C351</f>
        <v>0</v>
      </c>
      <c r="D351" s="436"/>
      <c r="E351" s="428"/>
      <c r="F351" s="88">
        <f>K351</f>
        <v>0</v>
      </c>
      <c r="G351" s="56">
        <f>SUMIF(JournalsA!D$14:D$920,TrialBalanceA!M351,JournalsA!J$14:J$920)+SUMIF(JournalsA!E$14:E$920,TrialBalanceA!M351,JournalsA!J$14:J$920)</f>
        <v>0</v>
      </c>
      <c r="H351" s="443"/>
      <c r="I351" s="411">
        <f t="shared" si="82"/>
        <v>0</v>
      </c>
      <c r="J351" s="84"/>
      <c r="K351" s="57">
        <f t="shared" si="83"/>
        <v>0</v>
      </c>
      <c r="M351" s="197" t="str">
        <f t="shared" si="77"/>
        <v>7460/0070</v>
      </c>
      <c r="N351" s="79"/>
      <c r="P351" s="80"/>
      <c r="Q351" s="60"/>
      <c r="R351" s="34"/>
    </row>
    <row r="352" spans="1:18" x14ac:dyDescent="0.2">
      <c r="A352" s="394"/>
      <c r="B352" s="114" t="s">
        <v>591</v>
      </c>
      <c r="C352" s="430">
        <f>TrialBalance!C352</f>
        <v>0</v>
      </c>
      <c r="D352" s="436"/>
      <c r="E352" s="428"/>
      <c r="F352" s="88">
        <f>K352</f>
        <v>0</v>
      </c>
      <c r="G352" s="56">
        <f>SUMIF(JournalsA!D$14:D$920,TrialBalanceA!M352,JournalsA!J$14:J$920)+SUMIF(JournalsA!E$14:E$920,TrialBalanceA!M352,JournalsA!J$14:J$920)</f>
        <v>0</v>
      </c>
      <c r="H352" s="443"/>
      <c r="I352" s="411">
        <f t="shared" si="82"/>
        <v>0</v>
      </c>
      <c r="J352" s="84"/>
      <c r="K352" s="57">
        <f t="shared" si="83"/>
        <v>0</v>
      </c>
      <c r="M352" s="197" t="str">
        <f t="shared" si="77"/>
        <v>7460/0080</v>
      </c>
      <c r="N352" s="79"/>
      <c r="P352" s="80"/>
      <c r="Q352" s="60"/>
      <c r="R352" s="34"/>
    </row>
    <row r="353" spans="1:18" x14ac:dyDescent="0.2">
      <c r="A353" s="394"/>
      <c r="B353" s="63" t="s">
        <v>492</v>
      </c>
      <c r="C353" s="397" t="s">
        <v>58</v>
      </c>
      <c r="D353" s="437"/>
      <c r="E353" s="428"/>
      <c r="F353" s="88"/>
      <c r="G353" s="56">
        <f>SUMIF(JournalsA!D$14:D$920,TrialBalanceA!M353,JournalsA!J$14:J$920)+SUMIF(JournalsA!E$14:E$920,TrialBalanceA!M353,JournalsA!J$14:J$920)</f>
        <v>0</v>
      </c>
      <c r="H353" s="443"/>
      <c r="I353" s="411">
        <f t="shared" si="82"/>
        <v>0</v>
      </c>
      <c r="J353" s="84"/>
      <c r="K353" s="57">
        <f t="shared" si="83"/>
        <v>0</v>
      </c>
      <c r="M353" s="197" t="str">
        <f t="shared" si="77"/>
        <v>7500/000INVENTORY</v>
      </c>
      <c r="N353" s="79"/>
      <c r="P353" s="80"/>
      <c r="Q353" s="60"/>
      <c r="R353" s="34"/>
    </row>
    <row r="354" spans="1:18" x14ac:dyDescent="0.2">
      <c r="A354" s="394"/>
      <c r="B354" s="63" t="s">
        <v>493</v>
      </c>
      <c r="C354" s="395" t="s">
        <v>494</v>
      </c>
      <c r="D354" s="436"/>
      <c r="E354" s="428"/>
      <c r="F354" s="88">
        <f t="shared" si="81"/>
        <v>0</v>
      </c>
      <c r="G354" s="56">
        <f>SUMIF(JournalsA!D$14:D$920,TrialBalanceA!M354,JournalsA!J$14:J$920)+SUMIF(JournalsA!E$14:E$920,TrialBalanceA!M354,JournalsA!J$14:J$920)</f>
        <v>0</v>
      </c>
      <c r="H354" s="443"/>
      <c r="I354" s="411">
        <f t="shared" si="82"/>
        <v>0</v>
      </c>
      <c r="J354" s="84"/>
      <c r="K354" s="57">
        <f t="shared" si="83"/>
        <v>0</v>
      </c>
      <c r="M354" s="197" t="str">
        <f t="shared" si="77"/>
        <v>7500/001Raw materials</v>
      </c>
      <c r="N354" s="79"/>
      <c r="P354" s="80"/>
      <c r="Q354" s="60"/>
      <c r="R354" s="34"/>
    </row>
    <row r="355" spans="1:18" x14ac:dyDescent="0.2">
      <c r="A355" s="394"/>
      <c r="B355" s="63" t="s">
        <v>23</v>
      </c>
      <c r="C355" s="395" t="s">
        <v>24</v>
      </c>
      <c r="D355" s="436"/>
      <c r="E355" s="428"/>
      <c r="F355" s="88">
        <f t="shared" si="81"/>
        <v>0</v>
      </c>
      <c r="G355" s="56">
        <f>SUMIF(JournalsA!D$14:D$920,TrialBalanceA!M355,JournalsA!J$14:J$920)+SUMIF(JournalsA!E$14:E$920,TrialBalanceA!M355,JournalsA!J$14:J$920)</f>
        <v>0</v>
      </c>
      <c r="H355" s="443"/>
      <c r="I355" s="411">
        <f t="shared" si="82"/>
        <v>0</v>
      </c>
      <c r="J355" s="84"/>
      <c r="K355" s="57">
        <f t="shared" si="83"/>
        <v>0</v>
      </c>
      <c r="M355" s="197" t="str">
        <f t="shared" si="77"/>
        <v>7500/002Work in progress</v>
      </c>
      <c r="N355" s="79"/>
      <c r="P355" s="80"/>
      <c r="Q355" s="60"/>
      <c r="R355" s="34"/>
    </row>
    <row r="356" spans="1:18" x14ac:dyDescent="0.2">
      <c r="A356" s="394"/>
      <c r="B356" s="63" t="s">
        <v>25</v>
      </c>
      <c r="C356" s="395" t="s">
        <v>26</v>
      </c>
      <c r="D356" s="436"/>
      <c r="E356" s="428"/>
      <c r="F356" s="88">
        <f t="shared" si="81"/>
        <v>0</v>
      </c>
      <c r="G356" s="56">
        <f>SUMIF(JournalsA!D$14:D$920,TrialBalanceA!M356,JournalsA!J$14:J$920)+SUMIF(JournalsA!E$14:E$920,TrialBalanceA!M356,JournalsA!J$14:J$920)</f>
        <v>0</v>
      </c>
      <c r="H356" s="443"/>
      <c r="I356" s="411">
        <f t="shared" si="82"/>
        <v>0</v>
      </c>
      <c r="J356" s="84"/>
      <c r="K356" s="57">
        <f t="shared" si="83"/>
        <v>0</v>
      </c>
      <c r="M356" s="197" t="str">
        <f t="shared" si="77"/>
        <v>7500/003Finished goods</v>
      </c>
      <c r="N356" s="79"/>
      <c r="P356" s="80"/>
      <c r="Q356" s="60"/>
      <c r="R356" s="34"/>
    </row>
    <row r="357" spans="1:18" x14ac:dyDescent="0.2">
      <c r="A357" s="394"/>
      <c r="B357" s="63" t="s">
        <v>29</v>
      </c>
      <c r="C357" s="395" t="s">
        <v>30</v>
      </c>
      <c r="D357" s="436"/>
      <c r="E357" s="428"/>
      <c r="F357" s="88">
        <f t="shared" si="81"/>
        <v>0</v>
      </c>
      <c r="G357" s="56">
        <f>SUMIF(JournalsA!D$14:D$920,TrialBalanceA!M357,JournalsA!J$14:J$920)+SUMIF(JournalsA!E$14:E$920,TrialBalanceA!M357,JournalsA!J$14:J$920)</f>
        <v>0</v>
      </c>
      <c r="H357" s="443"/>
      <c r="I357" s="411">
        <f t="shared" si="82"/>
        <v>0</v>
      </c>
      <c r="J357" s="84"/>
      <c r="K357" s="57">
        <f t="shared" si="83"/>
        <v>0</v>
      </c>
      <c r="M357" s="197" t="str">
        <f t="shared" si="77"/>
        <v>7500/004Trading stock</v>
      </c>
      <c r="N357" s="79"/>
      <c r="P357" s="80"/>
      <c r="Q357" s="60"/>
      <c r="R357" s="34"/>
    </row>
    <row r="358" spans="1:18" x14ac:dyDescent="0.2">
      <c r="A358" s="394"/>
      <c r="B358" s="63" t="s">
        <v>32</v>
      </c>
      <c r="C358" s="397" t="s">
        <v>33</v>
      </c>
      <c r="D358" s="437"/>
      <c r="E358" s="428"/>
      <c r="F358" s="88"/>
      <c r="G358" s="56">
        <f>SUMIF(JournalsA!D$14:D$920,TrialBalanceA!M358,JournalsA!J$14:J$920)+SUMIF(JournalsA!E$14:E$920,TrialBalanceA!M358,JournalsA!J$14:J$920)</f>
        <v>0</v>
      </c>
      <c r="H358" s="443"/>
      <c r="I358" s="411">
        <f t="shared" si="82"/>
        <v>0</v>
      </c>
      <c r="J358" s="84"/>
      <c r="K358" s="57">
        <f t="shared" si="83"/>
        <v>0</v>
      </c>
      <c r="M358" s="197" t="str">
        <f t="shared" si="77"/>
        <v>8000/000DEBTORS</v>
      </c>
      <c r="N358" s="79"/>
      <c r="P358" s="80"/>
      <c r="Q358" s="60"/>
      <c r="R358" s="34"/>
    </row>
    <row r="359" spans="1:18" x14ac:dyDescent="0.2">
      <c r="A359" s="394"/>
      <c r="B359" s="63" t="s">
        <v>34</v>
      </c>
      <c r="C359" s="395" t="s">
        <v>35</v>
      </c>
      <c r="D359" s="436"/>
      <c r="E359" s="428"/>
      <c r="F359" s="88">
        <f t="shared" si="81"/>
        <v>0</v>
      </c>
      <c r="G359" s="56">
        <f>SUMIF(JournalsA!D$14:D$920,TrialBalanceA!M359,JournalsA!J$14:J$920)+SUMIF(JournalsA!E$14:E$920,TrialBalanceA!M359,JournalsA!J$14:J$920)</f>
        <v>0</v>
      </c>
      <c r="H359" s="443"/>
      <c r="I359" s="411">
        <f t="shared" si="82"/>
        <v>0</v>
      </c>
      <c r="J359" s="84"/>
      <c r="K359" s="57">
        <f t="shared" si="83"/>
        <v>0</v>
      </c>
      <c r="M359" s="197" t="str">
        <f t="shared" si="77"/>
        <v>8010/000Trade debtors</v>
      </c>
      <c r="N359" s="79"/>
      <c r="P359" s="80"/>
      <c r="Q359" s="60"/>
      <c r="R359" s="34"/>
    </row>
    <row r="360" spans="1:18" x14ac:dyDescent="0.2">
      <c r="A360" s="394"/>
      <c r="B360" s="114" t="s">
        <v>36</v>
      </c>
      <c r="C360" s="398" t="s">
        <v>689</v>
      </c>
      <c r="D360" s="436"/>
      <c r="E360" s="428"/>
      <c r="F360" s="88">
        <f t="shared" si="81"/>
        <v>0</v>
      </c>
      <c r="G360" s="56">
        <f>SUMIF(JournalsA!D$14:D$920,TrialBalanceA!M360,JournalsA!J$14:J$920)+SUMIF(JournalsA!E$14:E$920,TrialBalanceA!M360,JournalsA!J$14:J$920)</f>
        <v>0</v>
      </c>
      <c r="H360" s="443"/>
      <c r="I360" s="411">
        <f t="shared" si="82"/>
        <v>0</v>
      </c>
      <c r="J360" s="84"/>
      <c r="K360" s="57">
        <f t="shared" si="83"/>
        <v>0</v>
      </c>
      <c r="M360" s="197" t="str">
        <f t="shared" si="77"/>
        <v>8020/000Less: Provision for doubtful debts</v>
      </c>
      <c r="N360" s="79"/>
      <c r="P360" s="80"/>
      <c r="Q360" s="60"/>
      <c r="R360" s="34"/>
    </row>
    <row r="361" spans="1:18" x14ac:dyDescent="0.2">
      <c r="A361" s="394"/>
      <c r="B361" s="114" t="s">
        <v>691</v>
      </c>
      <c r="C361" s="395" t="s">
        <v>394</v>
      </c>
      <c r="D361" s="436"/>
      <c r="E361" s="428"/>
      <c r="F361" s="88">
        <f t="shared" si="81"/>
        <v>0</v>
      </c>
      <c r="G361" s="56">
        <f>SUMIF(JournalsA!D$14:D$920,TrialBalanceA!M361,JournalsA!J$14:J$920)+SUMIF(JournalsA!E$14:E$920,TrialBalanceA!M361,JournalsA!J$14:J$920)</f>
        <v>0</v>
      </c>
      <c r="H361" s="443"/>
      <c r="I361" s="411">
        <f t="shared" si="82"/>
        <v>0</v>
      </c>
      <c r="J361" s="84"/>
      <c r="K361" s="57">
        <f t="shared" si="83"/>
        <v>0</v>
      </c>
      <c r="M361" s="197" t="str">
        <f t="shared" si="77"/>
        <v>8030/000Service deposits</v>
      </c>
      <c r="N361" s="79"/>
      <c r="P361" s="80"/>
      <c r="Q361" s="60"/>
      <c r="R361" s="34"/>
    </row>
    <row r="362" spans="1:18" x14ac:dyDescent="0.2">
      <c r="A362" s="394"/>
      <c r="B362" s="63" t="s">
        <v>554</v>
      </c>
      <c r="C362" s="398" t="s">
        <v>1034</v>
      </c>
      <c r="D362" s="436"/>
      <c r="E362" s="428"/>
      <c r="F362" s="88">
        <f t="shared" si="81"/>
        <v>0</v>
      </c>
      <c r="G362" s="56">
        <f>SUMIF(JournalsA!D$14:D$920,TrialBalanceA!M362,JournalsA!J$14:J$920)+SUMIF(JournalsA!E$14:E$920,TrialBalanceA!M362,JournalsA!J$14:J$920)</f>
        <v>0</v>
      </c>
      <c r="H362" s="443"/>
      <c r="I362" s="411">
        <f t="shared" si="82"/>
        <v>0</v>
      </c>
      <c r="J362" s="84"/>
      <c r="K362" s="57">
        <f t="shared" si="83"/>
        <v>0</v>
      </c>
      <c r="M362" s="197" t="str">
        <f t="shared" si="77"/>
        <v>8200/000Sundry customers</v>
      </c>
      <c r="N362" s="79"/>
      <c r="P362" s="80"/>
      <c r="Q362" s="60"/>
      <c r="R362" s="34"/>
    </row>
    <row r="363" spans="1:18" x14ac:dyDescent="0.2">
      <c r="A363" s="394"/>
      <c r="B363" s="63" t="s">
        <v>555</v>
      </c>
      <c r="C363" s="395" t="s">
        <v>450</v>
      </c>
      <c r="D363" s="436"/>
      <c r="E363" s="428"/>
      <c r="F363" s="88">
        <f t="shared" si="81"/>
        <v>0</v>
      </c>
      <c r="G363" s="56">
        <f>SUMIF(JournalsA!D$14:D$920,TrialBalanceA!M363,JournalsA!J$14:J$920)+SUMIF(JournalsA!E$14:E$920,TrialBalanceA!M363,JournalsA!J$14:J$920)</f>
        <v>0</v>
      </c>
      <c r="H363" s="443"/>
      <c r="I363" s="411">
        <f t="shared" si="82"/>
        <v>0</v>
      </c>
      <c r="J363" s="84"/>
      <c r="K363" s="57">
        <f t="shared" si="83"/>
        <v>0</v>
      </c>
      <c r="M363" s="197" t="str">
        <f t="shared" si="77"/>
        <v>8200/010Prepayments</v>
      </c>
      <c r="N363" s="79"/>
      <c r="P363" s="80"/>
      <c r="Q363" s="60"/>
      <c r="R363" s="34"/>
    </row>
    <row r="364" spans="1:18" x14ac:dyDescent="0.2">
      <c r="A364" s="394"/>
      <c r="B364" s="63" t="s">
        <v>293</v>
      </c>
      <c r="C364" s="396" t="s">
        <v>657</v>
      </c>
      <c r="D364" s="428"/>
      <c r="E364" s="428"/>
      <c r="F364" s="88">
        <f t="shared" si="81"/>
        <v>0</v>
      </c>
      <c r="G364" s="56">
        <f>SUMIF(JournalsA!D$14:D$920,TrialBalanceA!M364,JournalsA!J$14:J$920)+SUMIF(JournalsA!E$14:E$920,TrialBalanceA!M364,JournalsA!J$14:J$920)</f>
        <v>0</v>
      </c>
      <c r="H364" s="443"/>
      <c r="I364" s="411">
        <f t="shared" si="82"/>
        <v>0</v>
      </c>
      <c r="J364" s="84"/>
      <c r="K364" s="57">
        <f t="shared" si="83"/>
        <v>0</v>
      </c>
      <c r="M364" s="197" t="str">
        <f t="shared" si="77"/>
        <v>8200/020Staff loans</v>
      </c>
      <c r="N364" s="79"/>
      <c r="P364" s="80"/>
      <c r="Q364" s="60"/>
      <c r="R364" s="34"/>
    </row>
    <row r="365" spans="1:18" x14ac:dyDescent="0.2">
      <c r="A365" s="394"/>
      <c r="B365" s="63" t="s">
        <v>294</v>
      </c>
      <c r="C365" s="400" t="s">
        <v>154</v>
      </c>
      <c r="D365" s="426"/>
      <c r="E365" s="428"/>
      <c r="F365" s="88"/>
      <c r="G365" s="56">
        <f>SUMIF(JournalsA!D$14:D$920,TrialBalanceA!M365,JournalsA!J$14:J$920)+SUMIF(JournalsA!E$14:E$920,TrialBalanceA!M365,JournalsA!J$14:J$920)</f>
        <v>0</v>
      </c>
      <c r="H365" s="443"/>
      <c r="I365" s="411">
        <f t="shared" si="82"/>
        <v>0</v>
      </c>
      <c r="J365" s="84"/>
      <c r="K365" s="57">
        <f t="shared" si="83"/>
        <v>0</v>
      </c>
      <c r="M365" s="197" t="str">
        <f t="shared" si="77"/>
        <v>8400/000BANK ACCOUNTS</v>
      </c>
      <c r="N365" s="79"/>
      <c r="P365" s="80"/>
      <c r="Q365" s="60"/>
      <c r="R365" s="34"/>
    </row>
    <row r="366" spans="1:18" x14ac:dyDescent="0.2">
      <c r="A366" s="394"/>
      <c r="B366" s="63" t="s">
        <v>295</v>
      </c>
      <c r="C366" s="430">
        <f>TrialBalance!C366</f>
        <v>0</v>
      </c>
      <c r="D366" s="435"/>
      <c r="E366" s="428"/>
      <c r="F366" s="88">
        <f t="shared" si="81"/>
        <v>0</v>
      </c>
      <c r="G366" s="56">
        <f>SUMIF(JournalsA!D$14:D$920,TrialBalanceA!M366,JournalsA!J$14:J$920)+SUMIF(JournalsA!E$14:E$920,TrialBalanceA!M366,JournalsA!J$14:J$920)</f>
        <v>0</v>
      </c>
      <c r="H366" s="443"/>
      <c r="I366" s="411">
        <f t="shared" si="82"/>
        <v>0</v>
      </c>
      <c r="J366" s="84"/>
      <c r="K366" s="57">
        <f t="shared" si="83"/>
        <v>0</v>
      </c>
      <c r="M366" s="197" t="str">
        <f t="shared" si="77"/>
        <v>8410/0000</v>
      </c>
      <c r="N366" s="79"/>
      <c r="P366" s="80"/>
      <c r="Q366" s="60"/>
      <c r="R366" s="34"/>
    </row>
    <row r="367" spans="1:18" x14ac:dyDescent="0.2">
      <c r="A367" s="394"/>
      <c r="B367" s="63" t="s">
        <v>296</v>
      </c>
      <c r="C367" s="430">
        <f>TrialBalance!C367</f>
        <v>0</v>
      </c>
      <c r="D367" s="435"/>
      <c r="E367" s="435"/>
      <c r="F367" s="88">
        <f t="shared" si="81"/>
        <v>0</v>
      </c>
      <c r="G367" s="56">
        <f>SUMIF(JournalsA!D$14:D$920,TrialBalanceA!M367,JournalsA!J$14:J$920)+SUMIF(JournalsA!E$14:E$920,TrialBalanceA!M367,JournalsA!J$14:J$920)</f>
        <v>0</v>
      </c>
      <c r="H367" s="443"/>
      <c r="I367" s="411">
        <f t="shared" si="82"/>
        <v>0</v>
      </c>
      <c r="J367" s="84"/>
      <c r="K367" s="57">
        <f t="shared" si="83"/>
        <v>0</v>
      </c>
      <c r="M367" s="197" t="str">
        <f t="shared" si="77"/>
        <v>8420/0000</v>
      </c>
      <c r="N367" s="79"/>
      <c r="P367" s="80"/>
      <c r="Q367" s="60"/>
      <c r="R367" s="34"/>
    </row>
    <row r="368" spans="1:18" x14ac:dyDescent="0.2">
      <c r="A368" s="394"/>
      <c r="B368" s="63" t="s">
        <v>297</v>
      </c>
      <c r="C368" s="430">
        <f>TrialBalance!C368</f>
        <v>0</v>
      </c>
      <c r="D368" s="428"/>
      <c r="E368" s="428"/>
      <c r="F368" s="88">
        <f t="shared" si="81"/>
        <v>0</v>
      </c>
      <c r="G368" s="56">
        <f>SUMIF(JournalsA!D$14:D$920,TrialBalanceA!M368,JournalsA!J$14:J$920)+SUMIF(JournalsA!E$14:E$920,TrialBalanceA!M368,JournalsA!J$14:J$920)</f>
        <v>0</v>
      </c>
      <c r="H368" s="443"/>
      <c r="I368" s="411">
        <f t="shared" ref="I368:I400" si="116">ROUND(D368-E368+G368+F368,0)</f>
        <v>0</v>
      </c>
      <c r="J368" s="84"/>
      <c r="K368" s="57">
        <f t="shared" ref="K368:K400" si="117">ROUND(SUM(A368),0)</f>
        <v>0</v>
      </c>
      <c r="M368" s="197" t="str">
        <f t="shared" si="77"/>
        <v>8430/0000</v>
      </c>
      <c r="N368" s="79"/>
      <c r="P368" s="80"/>
      <c r="Q368" s="60"/>
      <c r="R368" s="34"/>
    </row>
    <row r="369" spans="1:18" x14ac:dyDescent="0.2">
      <c r="A369" s="394"/>
      <c r="B369" s="63" t="s">
        <v>298</v>
      </c>
      <c r="C369" s="430">
        <f>TrialBalance!C369</f>
        <v>0</v>
      </c>
      <c r="D369" s="436"/>
      <c r="E369" s="428"/>
      <c r="F369" s="88">
        <f t="shared" si="81"/>
        <v>0</v>
      </c>
      <c r="G369" s="56">
        <f>SUMIF(JournalsA!D$14:D$920,TrialBalanceA!M369,JournalsA!J$14:J$920)+SUMIF(JournalsA!E$14:E$920,TrialBalanceA!M369,JournalsA!J$14:J$920)</f>
        <v>0</v>
      </c>
      <c r="H369" s="443"/>
      <c r="I369" s="411">
        <f t="shared" si="116"/>
        <v>0</v>
      </c>
      <c r="J369" s="84"/>
      <c r="K369" s="57">
        <f t="shared" si="117"/>
        <v>0</v>
      </c>
      <c r="M369" s="197" t="str">
        <f t="shared" ref="M369:M400" si="118">CONCATENATE(B369,C369)</f>
        <v>8440/0000</v>
      </c>
      <c r="N369" s="79"/>
      <c r="P369" s="80"/>
      <c r="Q369" s="60"/>
      <c r="R369" s="34"/>
    </row>
    <row r="370" spans="1:18" x14ac:dyDescent="0.2">
      <c r="A370" s="394"/>
      <c r="B370" s="63" t="s">
        <v>299</v>
      </c>
      <c r="C370" s="430">
        <f>TrialBalance!C370</f>
        <v>0</v>
      </c>
      <c r="D370" s="436"/>
      <c r="E370" s="428"/>
      <c r="F370" s="88">
        <f t="shared" si="81"/>
        <v>0</v>
      </c>
      <c r="G370" s="56">
        <f>SUMIF(JournalsA!D$14:D$920,TrialBalanceA!M370,JournalsA!J$14:J$920)+SUMIF(JournalsA!E$14:E$920,TrialBalanceA!M370,JournalsA!J$14:J$920)</f>
        <v>0</v>
      </c>
      <c r="H370" s="443"/>
      <c r="I370" s="411">
        <f t="shared" si="116"/>
        <v>0</v>
      </c>
      <c r="J370" s="84"/>
      <c r="K370" s="57">
        <f t="shared" si="117"/>
        <v>0</v>
      </c>
      <c r="M370" s="197" t="str">
        <f t="shared" si="118"/>
        <v>8450/0000</v>
      </c>
      <c r="N370" s="79"/>
      <c r="P370" s="80"/>
      <c r="Q370" s="60"/>
      <c r="R370" s="34"/>
    </row>
    <row r="371" spans="1:18" x14ac:dyDescent="0.2">
      <c r="A371" s="394"/>
      <c r="B371" s="63" t="s">
        <v>155</v>
      </c>
      <c r="C371" s="430">
        <f>TrialBalance!C371</f>
        <v>0</v>
      </c>
      <c r="D371" s="436"/>
      <c r="E371" s="428"/>
      <c r="F371" s="88">
        <f t="shared" si="81"/>
        <v>0</v>
      </c>
      <c r="G371" s="56">
        <f>SUMIF(JournalsA!D$14:D$920,TrialBalanceA!M371,JournalsA!J$14:J$920)+SUMIF(JournalsA!E$14:E$920,TrialBalanceA!M371,JournalsA!J$14:J$920)</f>
        <v>0</v>
      </c>
      <c r="H371" s="443"/>
      <c r="I371" s="411">
        <f t="shared" si="116"/>
        <v>0</v>
      </c>
      <c r="J371" s="84"/>
      <c r="K371" s="57">
        <f t="shared" si="117"/>
        <v>0</v>
      </c>
      <c r="M371" s="197" t="str">
        <f t="shared" si="118"/>
        <v>8460/0000</v>
      </c>
      <c r="N371" s="79"/>
      <c r="P371" s="80"/>
      <c r="Q371" s="60"/>
      <c r="R371" s="34"/>
    </row>
    <row r="372" spans="1:18" x14ac:dyDescent="0.2">
      <c r="A372" s="394"/>
      <c r="B372" s="63" t="s">
        <v>501</v>
      </c>
      <c r="C372" s="402" t="s">
        <v>502</v>
      </c>
      <c r="D372" s="428"/>
      <c r="E372" s="428"/>
      <c r="F372" s="88">
        <f t="shared" si="81"/>
        <v>0</v>
      </c>
      <c r="G372" s="56">
        <f>SUMIF(JournalsA!D$14:D$920,TrialBalanceA!M372,JournalsA!J$14:J$920)+SUMIF(JournalsA!E$14:E$920,TrialBalanceA!M372,JournalsA!J$14:J$920)</f>
        <v>0</v>
      </c>
      <c r="H372" s="443"/>
      <c r="I372" s="411">
        <f t="shared" si="116"/>
        <v>0</v>
      </c>
      <c r="J372" s="84"/>
      <c r="K372" s="57">
        <f t="shared" si="117"/>
        <v>0</v>
      </c>
      <c r="M372" s="197" t="str">
        <f t="shared" si="118"/>
        <v>8500/000Cash on hand</v>
      </c>
      <c r="N372" s="79"/>
      <c r="P372" s="80"/>
      <c r="Q372" s="60"/>
      <c r="R372" s="34"/>
    </row>
    <row r="373" spans="1:18" x14ac:dyDescent="0.2">
      <c r="A373" s="394"/>
      <c r="B373" s="63" t="s">
        <v>503</v>
      </c>
      <c r="C373" s="400" t="s">
        <v>347</v>
      </c>
      <c r="D373" s="426"/>
      <c r="E373" s="428"/>
      <c r="F373" s="88"/>
      <c r="G373" s="56">
        <f>SUMIF(JournalsA!D$14:D$920,TrialBalanceA!M373,JournalsA!J$14:J$920)+SUMIF(JournalsA!E$14:E$920,TrialBalanceA!M373,JournalsA!J$14:J$920)</f>
        <v>0</v>
      </c>
      <c r="H373" s="443"/>
      <c r="I373" s="411">
        <f t="shared" si="116"/>
        <v>0</v>
      </c>
      <c r="J373" s="84"/>
      <c r="K373" s="57">
        <f t="shared" si="117"/>
        <v>0</v>
      </c>
      <c r="M373" s="197" t="str">
        <f t="shared" si="118"/>
        <v>8900/000SHORT TERM LOANS</v>
      </c>
      <c r="N373" s="79"/>
      <c r="P373" s="80"/>
      <c r="Q373" s="60"/>
      <c r="R373" s="34"/>
    </row>
    <row r="374" spans="1:18" x14ac:dyDescent="0.2">
      <c r="A374" s="394"/>
      <c r="B374" s="63" t="s">
        <v>504</v>
      </c>
      <c r="C374" s="430">
        <f>TrialBalance!C374</f>
        <v>0</v>
      </c>
      <c r="D374" s="428"/>
      <c r="E374" s="428"/>
      <c r="F374" s="88">
        <f t="shared" si="81"/>
        <v>0</v>
      </c>
      <c r="G374" s="56">
        <f>SUMIF(JournalsA!D$14:D$920,TrialBalanceA!M374,JournalsA!J$14:J$920)+SUMIF(JournalsA!E$14:E$920,TrialBalanceA!M374,JournalsA!J$14:J$920)</f>
        <v>0</v>
      </c>
      <c r="H374" s="443"/>
      <c r="I374" s="411">
        <f t="shared" si="116"/>
        <v>0</v>
      </c>
      <c r="J374" s="84"/>
      <c r="K374" s="57">
        <f t="shared" si="117"/>
        <v>0</v>
      </c>
      <c r="M374" s="197" t="str">
        <f t="shared" si="118"/>
        <v>8900/0010</v>
      </c>
      <c r="N374" s="79"/>
      <c r="P374" s="80"/>
      <c r="Q374" s="60"/>
      <c r="R374" s="34"/>
    </row>
    <row r="375" spans="1:18" x14ac:dyDescent="0.2">
      <c r="A375" s="394"/>
      <c r="B375" s="63" t="s">
        <v>505</v>
      </c>
      <c r="C375" s="430">
        <f>TrialBalance!C375</f>
        <v>0</v>
      </c>
      <c r="D375" s="436"/>
      <c r="E375" s="428"/>
      <c r="F375" s="88">
        <f t="shared" si="81"/>
        <v>0</v>
      </c>
      <c r="G375" s="56">
        <f>SUMIF(JournalsA!D$14:D$920,TrialBalanceA!M375,JournalsA!J$14:J$920)+SUMIF(JournalsA!E$14:E$920,TrialBalanceA!M375,JournalsA!J$14:J$920)</f>
        <v>0</v>
      </c>
      <c r="H375" s="443"/>
      <c r="I375" s="411">
        <f t="shared" si="116"/>
        <v>0</v>
      </c>
      <c r="J375" s="84"/>
      <c r="K375" s="57">
        <f t="shared" si="117"/>
        <v>0</v>
      </c>
      <c r="M375" s="197" t="str">
        <f t="shared" si="118"/>
        <v>8900/0020</v>
      </c>
      <c r="N375" s="79"/>
      <c r="P375" s="80"/>
      <c r="Q375" s="60"/>
      <c r="R375" s="34"/>
    </row>
    <row r="376" spans="1:18" x14ac:dyDescent="0.2">
      <c r="A376" s="394"/>
      <c r="B376" s="63" t="s">
        <v>506</v>
      </c>
      <c r="C376" s="430">
        <f>TrialBalance!C376</f>
        <v>0</v>
      </c>
      <c r="D376" s="436"/>
      <c r="E376" s="428"/>
      <c r="F376" s="88">
        <f t="shared" si="81"/>
        <v>0</v>
      </c>
      <c r="G376" s="56">
        <f>SUMIF(JournalsA!D$14:D$920,TrialBalanceA!M376,JournalsA!J$14:J$920)+SUMIF(JournalsA!E$14:E$920,TrialBalanceA!M376,JournalsA!J$14:J$920)</f>
        <v>0</v>
      </c>
      <c r="H376" s="443"/>
      <c r="I376" s="411">
        <f t="shared" si="116"/>
        <v>0</v>
      </c>
      <c r="J376" s="84"/>
      <c r="K376" s="57">
        <f t="shared" si="117"/>
        <v>0</v>
      </c>
      <c r="M376" s="197" t="str">
        <f t="shared" si="118"/>
        <v>8900/0030</v>
      </c>
      <c r="N376" s="79"/>
      <c r="P376" s="80"/>
      <c r="Q376" s="60"/>
      <c r="R376" s="34"/>
    </row>
    <row r="377" spans="1:18" x14ac:dyDescent="0.2">
      <c r="A377" s="394"/>
      <c r="B377" s="63" t="s">
        <v>507</v>
      </c>
      <c r="C377" s="397" t="s">
        <v>311</v>
      </c>
      <c r="D377" s="437"/>
      <c r="E377" s="428"/>
      <c r="F377" s="88"/>
      <c r="G377" s="56">
        <f>SUMIF(JournalsA!D$14:D$920,TrialBalanceA!M377,JournalsA!J$14:J$920)+SUMIF(JournalsA!E$14:E$920,TrialBalanceA!M377,JournalsA!J$14:J$920)</f>
        <v>0</v>
      </c>
      <c r="H377" s="443"/>
      <c r="I377" s="411">
        <f t="shared" si="116"/>
        <v>0</v>
      </c>
      <c r="J377" s="84"/>
      <c r="K377" s="57">
        <f t="shared" si="117"/>
        <v>0</v>
      </c>
      <c r="M377" s="197" t="str">
        <f t="shared" si="118"/>
        <v>8900/004Short term portion of long term loans</v>
      </c>
      <c r="N377" s="79"/>
      <c r="P377" s="80"/>
      <c r="Q377" s="60"/>
      <c r="R377" s="34"/>
    </row>
    <row r="378" spans="1:18" x14ac:dyDescent="0.2">
      <c r="A378" s="394"/>
      <c r="B378" s="63" t="s">
        <v>508</v>
      </c>
      <c r="C378" s="397" t="s">
        <v>509</v>
      </c>
      <c r="D378" s="437"/>
      <c r="E378" s="428"/>
      <c r="F378" s="88"/>
      <c r="G378" s="56">
        <f>SUMIF(JournalsA!D$14:D$920,TrialBalanceA!M378,JournalsA!J$14:J$920)+SUMIF(JournalsA!E$14:E$920,TrialBalanceA!M378,JournalsA!J$14:J$920)</f>
        <v>0</v>
      </c>
      <c r="H378" s="443"/>
      <c r="I378" s="411">
        <f t="shared" si="116"/>
        <v>0</v>
      </c>
      <c r="J378" s="84"/>
      <c r="K378" s="57">
        <f t="shared" si="117"/>
        <v>0</v>
      </c>
      <c r="M378" s="197" t="str">
        <f t="shared" si="118"/>
        <v>9000/000CREDITORS</v>
      </c>
      <c r="N378" s="79"/>
      <c r="P378" s="80"/>
      <c r="Q378" s="60"/>
      <c r="R378" s="34"/>
    </row>
    <row r="379" spans="1:18" x14ac:dyDescent="0.2">
      <c r="A379" s="394"/>
      <c r="B379" s="63" t="s">
        <v>510</v>
      </c>
      <c r="C379" s="395" t="s">
        <v>511</v>
      </c>
      <c r="D379" s="436"/>
      <c r="E379" s="428"/>
      <c r="F379" s="88">
        <f>K379</f>
        <v>0</v>
      </c>
      <c r="G379" s="56">
        <f>SUMIF(JournalsA!D$14:D$920,TrialBalanceA!M379,JournalsA!J$14:J$920)+SUMIF(JournalsA!E$14:E$920,TrialBalanceA!M379,JournalsA!J$14:J$920)</f>
        <v>0</v>
      </c>
      <c r="H379" s="443"/>
      <c r="I379" s="411">
        <f t="shared" si="116"/>
        <v>0</v>
      </c>
      <c r="J379" s="84"/>
      <c r="K379" s="57">
        <f t="shared" si="117"/>
        <v>0</v>
      </c>
      <c r="M379" s="197" t="str">
        <f t="shared" si="118"/>
        <v>9010/000Trade creditors</v>
      </c>
      <c r="N379" s="79"/>
      <c r="P379" s="80"/>
      <c r="Q379" s="60"/>
      <c r="R379" s="34"/>
    </row>
    <row r="380" spans="1:18" x14ac:dyDescent="0.2">
      <c r="A380" s="394"/>
      <c r="B380" s="63" t="s">
        <v>512</v>
      </c>
      <c r="C380" s="398" t="s">
        <v>676</v>
      </c>
      <c r="D380" s="436"/>
      <c r="E380" s="428"/>
      <c r="F380" s="88">
        <f>K380</f>
        <v>0</v>
      </c>
      <c r="G380" s="56">
        <f>SUMIF(JournalsA!D$14:D$920,TrialBalanceA!M380,JournalsA!J$14:J$920)+SUMIF(JournalsA!E$14:E$920,TrialBalanceA!M380,JournalsA!J$14:J$920)</f>
        <v>0</v>
      </c>
      <c r="H380" s="443"/>
      <c r="I380" s="411">
        <f t="shared" si="116"/>
        <v>0</v>
      </c>
      <c r="J380" s="84"/>
      <c r="K380" s="57">
        <f t="shared" si="117"/>
        <v>0</v>
      </c>
      <c r="M380" s="197" t="str">
        <f t="shared" si="118"/>
        <v>9200/000Sundry suppliers</v>
      </c>
      <c r="N380" s="79"/>
      <c r="P380" s="80"/>
      <c r="Q380" s="60"/>
      <c r="R380" s="34"/>
    </row>
    <row r="381" spans="1:18" x14ac:dyDescent="0.2">
      <c r="A381" s="394"/>
      <c r="B381" s="63" t="s">
        <v>513</v>
      </c>
      <c r="C381" s="398" t="s">
        <v>984</v>
      </c>
      <c r="D381" s="438"/>
      <c r="E381" s="428"/>
      <c r="F381" s="88">
        <f>K381</f>
        <v>0</v>
      </c>
      <c r="G381" s="56">
        <f>SUMIF(JournalsA!D$14:D$920,TrialBalanceA!M381,JournalsA!J$14:J$920)+SUMIF(JournalsA!E$14:E$920,TrialBalanceA!M381,JournalsA!J$14:J$920)</f>
        <v>0</v>
      </c>
      <c r="H381" s="443"/>
      <c r="I381" s="411">
        <f t="shared" si="116"/>
        <v>0</v>
      </c>
      <c r="J381" s="84"/>
      <c r="K381" s="57">
        <f t="shared" si="117"/>
        <v>0</v>
      </c>
      <c r="M381" s="197" t="str">
        <f t="shared" si="118"/>
        <v>9200/010Audit and accounting fee accrual</v>
      </c>
      <c r="N381" s="79"/>
      <c r="P381" s="80"/>
      <c r="Q381" s="60"/>
      <c r="R381" s="34"/>
    </row>
    <row r="382" spans="1:18" x14ac:dyDescent="0.2">
      <c r="A382" s="394"/>
      <c r="B382" s="63" t="s">
        <v>514</v>
      </c>
      <c r="C382" s="398" t="s">
        <v>677</v>
      </c>
      <c r="D382" s="436"/>
      <c r="E382" s="428"/>
      <c r="F382" s="88">
        <f>K382</f>
        <v>0</v>
      </c>
      <c r="G382" s="56">
        <f>SUMIF(JournalsA!D$14:D$920,TrialBalanceA!M382,JournalsA!J$14:J$920)+SUMIF(JournalsA!E$14:E$920,TrialBalanceA!M382,JournalsA!J$14:J$920)</f>
        <v>0</v>
      </c>
      <c r="H382" s="443"/>
      <c r="I382" s="411">
        <f t="shared" si="116"/>
        <v>0</v>
      </c>
      <c r="J382" s="84"/>
      <c r="K382" s="57">
        <f t="shared" si="117"/>
        <v>0</v>
      </c>
      <c r="M382" s="197" t="str">
        <f t="shared" si="118"/>
        <v>9200/020Other accruals</v>
      </c>
      <c r="N382" s="79"/>
      <c r="P382" s="80"/>
      <c r="Q382" s="60"/>
      <c r="R382" s="34"/>
    </row>
    <row r="383" spans="1:18" x14ac:dyDescent="0.2">
      <c r="A383" s="394"/>
      <c r="B383" s="63" t="s">
        <v>515</v>
      </c>
      <c r="C383" s="398" t="s">
        <v>963</v>
      </c>
      <c r="D383" s="436"/>
      <c r="E383" s="428"/>
      <c r="F383" s="88">
        <f>K383</f>
        <v>0</v>
      </c>
      <c r="G383" s="56">
        <f>SUMIF(JournalsA!D$14:D$920,TrialBalanceA!M383,JournalsA!J$14:J$920)+SUMIF(JournalsA!E$14:E$920,TrialBalanceA!M383,JournalsA!J$14:J$920)</f>
        <v>0</v>
      </c>
      <c r="H383" s="443"/>
      <c r="I383" s="411">
        <f t="shared" si="116"/>
        <v>0</v>
      </c>
      <c r="J383" s="84"/>
      <c r="K383" s="57">
        <f t="shared" si="117"/>
        <v>0</v>
      </c>
      <c r="M383" s="197" t="str">
        <f t="shared" si="118"/>
        <v>9250/000Salary and wages control</v>
      </c>
      <c r="N383" s="79"/>
      <c r="P383" s="80"/>
      <c r="Q383" s="60"/>
      <c r="R383" s="34"/>
    </row>
    <row r="384" spans="1:18" x14ac:dyDescent="0.2">
      <c r="A384" s="394"/>
      <c r="B384" s="63" t="s">
        <v>403</v>
      </c>
      <c r="C384" s="397" t="s">
        <v>141</v>
      </c>
      <c r="D384" s="437"/>
      <c r="E384" s="428"/>
      <c r="F384" s="88"/>
      <c r="G384" s="56">
        <f>SUMIF(JournalsA!D$14:D$920,TrialBalanceA!M384,JournalsA!J$14:J$920)+SUMIF(JournalsA!E$14:E$920,TrialBalanceA!M384,JournalsA!J$14:J$920)</f>
        <v>0</v>
      </c>
      <c r="H384" s="443"/>
      <c r="I384" s="411">
        <f t="shared" si="116"/>
        <v>0</v>
      </c>
      <c r="J384" s="84"/>
      <c r="K384" s="57">
        <f t="shared" si="117"/>
        <v>0</v>
      </c>
      <c r="M384" s="197" t="str">
        <f t="shared" si="118"/>
        <v>9300/000TAXATION</v>
      </c>
      <c r="N384" s="79"/>
      <c r="P384" s="80"/>
      <c r="Q384" s="60"/>
      <c r="R384" s="34"/>
    </row>
    <row r="385" spans="1:18" x14ac:dyDescent="0.2">
      <c r="A385" s="394"/>
      <c r="B385" s="63" t="s">
        <v>526</v>
      </c>
      <c r="C385" s="395" t="s">
        <v>103</v>
      </c>
      <c r="D385" s="436"/>
      <c r="E385" s="428"/>
      <c r="F385" s="88">
        <f>SUM(K385:K392)</f>
        <v>0</v>
      </c>
      <c r="G385" s="56">
        <f>SUMIF(JournalsA!D$14:D$920,TrialBalanceA!M385,JournalsA!J$14:J$920)+SUMIF(JournalsA!E$14:E$920,TrialBalanceA!M385,JournalsA!J$14:J$920)</f>
        <v>0</v>
      </c>
      <c r="H385" s="443"/>
      <c r="I385" s="411">
        <f t="shared" si="116"/>
        <v>0</v>
      </c>
      <c r="J385" s="84"/>
      <c r="K385" s="57">
        <f t="shared" si="117"/>
        <v>0</v>
      </c>
      <c r="M385" s="197" t="str">
        <f t="shared" si="118"/>
        <v>9300/010Balance b/fwd</v>
      </c>
      <c r="N385" s="79"/>
      <c r="P385" s="80"/>
      <c r="Q385" s="60"/>
      <c r="R385" s="34"/>
    </row>
    <row r="386" spans="1:18" x14ac:dyDescent="0.2">
      <c r="A386" s="394"/>
      <c r="B386" s="63" t="s">
        <v>527</v>
      </c>
      <c r="C386" s="402" t="s">
        <v>152</v>
      </c>
      <c r="D386" s="428"/>
      <c r="E386" s="428"/>
      <c r="F386" s="88"/>
      <c r="G386" s="56">
        <f>SUMIF(JournalsA!D$14:D$920,TrialBalanceA!M386,JournalsA!J$14:J$920)+SUMIF(JournalsA!E$14:E$920,TrialBalanceA!M386,JournalsA!J$14:J$920)</f>
        <v>0</v>
      </c>
      <c r="H386" s="443"/>
      <c r="I386" s="411">
        <f t="shared" si="116"/>
        <v>0</v>
      </c>
      <c r="J386" s="84"/>
      <c r="K386" s="57">
        <f t="shared" si="117"/>
        <v>0</v>
      </c>
      <c r="M386" s="197" t="str">
        <f t="shared" si="118"/>
        <v>9300/020Tax provision this year</v>
      </c>
      <c r="N386" s="79"/>
      <c r="P386" s="80"/>
      <c r="Q386" s="60"/>
      <c r="R386" s="34"/>
    </row>
    <row r="387" spans="1:18" x14ac:dyDescent="0.2">
      <c r="A387" s="394"/>
      <c r="B387" s="63" t="s">
        <v>528</v>
      </c>
      <c r="C387" s="398" t="s">
        <v>1165</v>
      </c>
      <c r="D387" s="436"/>
      <c r="E387" s="428"/>
      <c r="F387" s="88"/>
      <c r="G387" s="56">
        <f>SUMIF(JournalsA!D$14:D$920,TrialBalanceA!M387,JournalsA!J$14:J$920)+SUMIF(JournalsA!E$14:E$920,TrialBalanceA!M387,JournalsA!J$14:J$920)</f>
        <v>0</v>
      </c>
      <c r="H387" s="443"/>
      <c r="I387" s="411">
        <f t="shared" si="116"/>
        <v>0</v>
      </c>
      <c r="J387" s="84"/>
      <c r="K387" s="57">
        <f t="shared" si="117"/>
        <v>0</v>
      </c>
      <c r="M387" s="197" t="str">
        <f t="shared" si="118"/>
        <v>9300/030Over-/(Under) provision previous year</v>
      </c>
      <c r="N387" s="79"/>
      <c r="P387" s="80"/>
      <c r="Q387" s="60"/>
      <c r="R387" s="34"/>
    </row>
    <row r="388" spans="1:18" x14ac:dyDescent="0.2">
      <c r="A388" s="394"/>
      <c r="B388" s="63" t="s">
        <v>529</v>
      </c>
      <c r="C388" s="398" t="s">
        <v>1166</v>
      </c>
      <c r="D388" s="436"/>
      <c r="E388" s="428"/>
      <c r="F388" s="88"/>
      <c r="G388" s="56">
        <f>SUMIF(JournalsA!D$14:D$920,TrialBalanceA!M388,JournalsA!J$14:J$920)+SUMIF(JournalsA!E$14:E$920,TrialBalanceA!M388,JournalsA!J$14:J$920)</f>
        <v>0</v>
      </c>
      <c r="H388" s="443"/>
      <c r="I388" s="411">
        <f t="shared" si="116"/>
        <v>0</v>
      </c>
      <c r="J388" s="84"/>
      <c r="K388" s="57">
        <f t="shared" si="117"/>
        <v>0</v>
      </c>
      <c r="M388" s="197" t="str">
        <f t="shared" si="118"/>
        <v>9300/040Tax paid/(refund) for previous year provisions</v>
      </c>
      <c r="N388" s="79"/>
      <c r="P388" s="80"/>
      <c r="Q388" s="60"/>
      <c r="R388" s="34"/>
    </row>
    <row r="389" spans="1:18" x14ac:dyDescent="0.2">
      <c r="A389" s="394"/>
      <c r="B389" s="63" t="s">
        <v>530</v>
      </c>
      <c r="C389" s="398" t="s">
        <v>1035</v>
      </c>
      <c r="D389" s="436"/>
      <c r="E389" s="428"/>
      <c r="F389" s="88"/>
      <c r="G389" s="56">
        <f>SUMIF(JournalsA!D$14:D$920,TrialBalanceA!M389,JournalsA!J$14:J$920)+SUMIF(JournalsA!E$14:E$920,TrialBalanceA!M389,JournalsA!J$14:J$920)</f>
        <v>0</v>
      </c>
      <c r="H389" s="443"/>
      <c r="I389" s="411">
        <f t="shared" si="116"/>
        <v>0</v>
      </c>
      <c r="J389" s="84"/>
      <c r="K389" s="57">
        <f t="shared" si="117"/>
        <v>0</v>
      </c>
      <c r="M389" s="197" t="str">
        <f t="shared" si="118"/>
        <v>9300/0501st Provisional paid</v>
      </c>
      <c r="N389" s="79"/>
      <c r="P389" s="80"/>
      <c r="Q389" s="60"/>
      <c r="R389" s="34"/>
    </row>
    <row r="390" spans="1:18" x14ac:dyDescent="0.2">
      <c r="A390" s="394"/>
      <c r="B390" s="63" t="s">
        <v>531</v>
      </c>
      <c r="C390" s="398" t="s">
        <v>1036</v>
      </c>
      <c r="D390" s="436"/>
      <c r="E390" s="428"/>
      <c r="F390" s="88"/>
      <c r="G390" s="56">
        <f>SUMIF(JournalsA!D$14:D$920,TrialBalanceA!M390,JournalsA!J$14:J$920)+SUMIF(JournalsA!E$14:E$920,TrialBalanceA!M390,JournalsA!J$14:J$920)</f>
        <v>0</v>
      </c>
      <c r="H390" s="443"/>
      <c r="I390" s="411">
        <f t="shared" si="116"/>
        <v>0</v>
      </c>
      <c r="J390" s="84"/>
      <c r="K390" s="57">
        <f t="shared" si="117"/>
        <v>0</v>
      </c>
      <c r="M390" s="197" t="str">
        <f t="shared" si="118"/>
        <v>9300/0602nd Provisional paid</v>
      </c>
      <c r="N390" s="79"/>
      <c r="P390" s="80"/>
      <c r="Q390" s="60"/>
      <c r="R390" s="34"/>
    </row>
    <row r="391" spans="1:18" x14ac:dyDescent="0.2">
      <c r="A391" s="394"/>
      <c r="B391" s="63" t="s">
        <v>532</v>
      </c>
      <c r="C391" s="395" t="s">
        <v>153</v>
      </c>
      <c r="D391" s="436"/>
      <c r="E391" s="428"/>
      <c r="F391" s="88"/>
      <c r="G391" s="56">
        <f>SUMIF(JournalsA!D$14:D$920,TrialBalanceA!M391,JournalsA!J$14:J$920)+SUMIF(JournalsA!E$14:E$920,TrialBalanceA!M391,JournalsA!J$14:J$920)</f>
        <v>0</v>
      </c>
      <c r="H391" s="443"/>
      <c r="I391" s="411">
        <f t="shared" si="116"/>
        <v>0</v>
      </c>
      <c r="J391" s="84"/>
      <c r="K391" s="57">
        <f t="shared" si="117"/>
        <v>0</v>
      </c>
      <c r="M391" s="197" t="str">
        <f t="shared" si="118"/>
        <v>9300/0703rd Provisional paid</v>
      </c>
      <c r="N391" s="79"/>
      <c r="P391" s="80"/>
      <c r="Q391" s="60"/>
      <c r="R391" s="34"/>
    </row>
    <row r="392" spans="1:18" x14ac:dyDescent="0.2">
      <c r="A392" s="394"/>
      <c r="B392" s="63" t="s">
        <v>533</v>
      </c>
      <c r="C392" s="398" t="s">
        <v>1168</v>
      </c>
      <c r="D392" s="436"/>
      <c r="E392" s="428"/>
      <c r="F392" s="88"/>
      <c r="G392" s="56">
        <f>SUMIF(JournalsA!D$14:D$920,TrialBalanceA!M392,JournalsA!J$14:J$920)+SUMIF(JournalsA!E$14:E$920,TrialBalanceA!M392,JournalsA!J$14:J$920)</f>
        <v>0</v>
      </c>
      <c r="H392" s="443"/>
      <c r="I392" s="411">
        <f t="shared" si="116"/>
        <v>0</v>
      </c>
      <c r="J392" s="84"/>
      <c r="K392" s="57">
        <f t="shared" si="117"/>
        <v>0</v>
      </c>
      <c r="M392" s="197" t="str">
        <f t="shared" si="118"/>
        <v>9300/090Dividends tax provision</v>
      </c>
      <c r="N392" s="79"/>
      <c r="P392" s="80"/>
      <c r="Q392" s="60"/>
      <c r="R392" s="34"/>
    </row>
    <row r="393" spans="1:18" x14ac:dyDescent="0.2">
      <c r="A393" s="394"/>
      <c r="B393" s="63" t="s">
        <v>404</v>
      </c>
      <c r="C393" s="398" t="s">
        <v>659</v>
      </c>
      <c r="D393" s="438"/>
      <c r="E393" s="428"/>
      <c r="F393" s="88">
        <f>K393</f>
        <v>0</v>
      </c>
      <c r="G393" s="56">
        <f>SUMIF(JournalsA!D$14:D$920,TrialBalanceA!M393,JournalsA!J$14:J$920)+SUMIF(JournalsA!E$14:E$920,TrialBalanceA!M393,JournalsA!J$14:J$920)</f>
        <v>0</v>
      </c>
      <c r="H393" s="443"/>
      <c r="I393" s="411">
        <f t="shared" si="116"/>
        <v>0</v>
      </c>
      <c r="J393" s="84"/>
      <c r="K393" s="57">
        <f t="shared" si="117"/>
        <v>0</v>
      </c>
      <c r="M393" s="197" t="str">
        <f t="shared" si="118"/>
        <v>9350/000Dividends payable</v>
      </c>
      <c r="N393" s="79"/>
      <c r="P393" s="80"/>
      <c r="Q393" s="60"/>
      <c r="R393" s="34"/>
    </row>
    <row r="394" spans="1:18" x14ac:dyDescent="0.2">
      <c r="A394" s="394"/>
      <c r="B394" s="63" t="s">
        <v>405</v>
      </c>
      <c r="C394" s="398" t="s">
        <v>660</v>
      </c>
      <c r="D394" s="438"/>
      <c r="E394" s="428"/>
      <c r="F394" s="88">
        <f>K394</f>
        <v>0</v>
      </c>
      <c r="G394" s="56">
        <f>SUMIF(JournalsA!D$14:D$920,TrialBalanceA!M394,JournalsA!J$14:J$920)+SUMIF(JournalsA!E$14:E$920,TrialBalanceA!M394,JournalsA!J$14:J$920)</f>
        <v>0</v>
      </c>
      <c r="H394" s="443"/>
      <c r="I394" s="411">
        <f t="shared" si="116"/>
        <v>0</v>
      </c>
      <c r="J394" s="84"/>
      <c r="K394" s="57">
        <f t="shared" si="117"/>
        <v>0</v>
      </c>
      <c r="M394" s="197" t="str">
        <f t="shared" si="118"/>
        <v>9400/000Provision for future expenses</v>
      </c>
      <c r="N394" s="79"/>
      <c r="P394" s="80"/>
      <c r="Q394" s="60"/>
      <c r="R394" s="34"/>
    </row>
    <row r="395" spans="1:18" x14ac:dyDescent="0.2">
      <c r="A395" s="394"/>
      <c r="B395" s="63" t="s">
        <v>406</v>
      </c>
      <c r="C395" s="398" t="s">
        <v>661</v>
      </c>
      <c r="D395" s="438"/>
      <c r="E395" s="428"/>
      <c r="F395" s="88">
        <f>K395</f>
        <v>0</v>
      </c>
      <c r="G395" s="56">
        <f>SUMIF(JournalsA!D$14:D$920,TrialBalanceA!M395,JournalsA!J$14:J$920)+SUMIF(JournalsA!E$14:E$920,TrialBalanceA!M395,JournalsA!J$14:J$920)</f>
        <v>0</v>
      </c>
      <c r="H395" s="443"/>
      <c r="I395" s="411">
        <f t="shared" si="116"/>
        <v>0</v>
      </c>
      <c r="J395" s="84"/>
      <c r="K395" s="57">
        <f t="shared" si="117"/>
        <v>0</v>
      </c>
      <c r="M395" s="197" t="str">
        <f t="shared" si="118"/>
        <v>9400/010Provision for insurance</v>
      </c>
      <c r="N395" s="79"/>
      <c r="P395" s="80"/>
      <c r="Q395" s="60"/>
      <c r="R395" s="34"/>
    </row>
    <row r="396" spans="1:18" x14ac:dyDescent="0.2">
      <c r="A396" s="394"/>
      <c r="B396" s="63" t="s">
        <v>407</v>
      </c>
      <c r="C396" s="398" t="s">
        <v>662</v>
      </c>
      <c r="D396" s="438"/>
      <c r="E396" s="428"/>
      <c r="F396" s="88">
        <f>K396</f>
        <v>0</v>
      </c>
      <c r="G396" s="56">
        <f>SUMIF(JournalsA!D$14:D$920,TrialBalanceA!M396,JournalsA!J$14:J$920)+SUMIF(JournalsA!E$14:E$920,TrialBalanceA!M396,JournalsA!J$14:J$920)</f>
        <v>0</v>
      </c>
      <c r="H396" s="443"/>
      <c r="I396" s="411">
        <f t="shared" si="116"/>
        <v>0</v>
      </c>
      <c r="J396" s="84"/>
      <c r="K396" s="57">
        <f t="shared" si="117"/>
        <v>0</v>
      </c>
      <c r="M396" s="197" t="str">
        <f t="shared" si="118"/>
        <v>9400/020Provision for salary bonus</v>
      </c>
      <c r="N396" s="79"/>
      <c r="P396" s="80"/>
      <c r="Q396" s="60"/>
      <c r="R396" s="34"/>
    </row>
    <row r="397" spans="1:18" x14ac:dyDescent="0.2">
      <c r="A397" s="394"/>
      <c r="B397" s="63" t="s">
        <v>408</v>
      </c>
      <c r="C397" s="397" t="s">
        <v>409</v>
      </c>
      <c r="D397" s="437"/>
      <c r="E397" s="428"/>
      <c r="F397" s="88"/>
      <c r="G397" s="56">
        <f>SUMIF(JournalsA!D$14:D$920,TrialBalanceA!M397,JournalsA!J$14:J$920)+SUMIF(JournalsA!E$14:E$920,TrialBalanceA!M397,JournalsA!J$14:J$920)</f>
        <v>0</v>
      </c>
      <c r="H397" s="443"/>
      <c r="I397" s="411">
        <f t="shared" si="116"/>
        <v>0</v>
      </c>
      <c r="J397" s="84"/>
      <c r="K397" s="57">
        <f t="shared" si="117"/>
        <v>0</v>
      </c>
      <c r="M397" s="197" t="str">
        <f t="shared" si="118"/>
        <v>9500/000VALUE ADDED TAX</v>
      </c>
      <c r="N397" s="79"/>
      <c r="P397" s="80"/>
      <c r="Q397" s="60"/>
      <c r="R397" s="34"/>
    </row>
    <row r="398" spans="1:18" x14ac:dyDescent="0.2">
      <c r="A398" s="394"/>
      <c r="B398" s="63" t="s">
        <v>410</v>
      </c>
      <c r="C398" s="395" t="s">
        <v>411</v>
      </c>
      <c r="D398" s="436"/>
      <c r="E398" s="436"/>
      <c r="F398" s="88">
        <f>K398</f>
        <v>0</v>
      </c>
      <c r="G398" s="56">
        <f>SUMIF(JournalsA!D$14:D$920,TrialBalanceA!M398,JournalsA!J$14:J$920)+SUMIF(JournalsA!E$14:E$920,TrialBalanceA!M398,JournalsA!J$14:J$920)</f>
        <v>0</v>
      </c>
      <c r="H398" s="443"/>
      <c r="I398" s="411">
        <f t="shared" si="116"/>
        <v>0</v>
      </c>
      <c r="J398" s="84"/>
      <c r="K398" s="57">
        <f t="shared" si="117"/>
        <v>0</v>
      </c>
      <c r="M398" s="197" t="str">
        <f t="shared" si="118"/>
        <v>9501/000VAT account</v>
      </c>
      <c r="N398" s="79"/>
      <c r="P398" s="80"/>
      <c r="Q398" s="60"/>
      <c r="R398" s="34"/>
    </row>
    <row r="399" spans="1:18" x14ac:dyDescent="0.2">
      <c r="A399" s="394"/>
      <c r="B399" s="63" t="s">
        <v>412</v>
      </c>
      <c r="C399" s="395" t="s">
        <v>31</v>
      </c>
      <c r="D399" s="438"/>
      <c r="E399" s="428"/>
      <c r="F399" s="88"/>
      <c r="G399" s="56">
        <f>SUMIF(JournalsA!D$14:D$920,TrialBalanceA!M399,JournalsA!J$14:J$920)+SUMIF(JournalsA!E$14:E$920,TrialBalanceA!M399,JournalsA!J$14:J$920)</f>
        <v>0</v>
      </c>
      <c r="H399" s="443"/>
      <c r="I399" s="411">
        <f t="shared" si="116"/>
        <v>0</v>
      </c>
      <c r="J399" s="84"/>
      <c r="K399" s="57">
        <f t="shared" si="117"/>
        <v>0</v>
      </c>
      <c r="M399" s="197" t="str">
        <f t="shared" si="118"/>
        <v>9510/000----------------------------------------</v>
      </c>
      <c r="N399" s="79"/>
      <c r="P399" s="80"/>
      <c r="Q399" s="60"/>
      <c r="R399" s="34"/>
    </row>
    <row r="400" spans="1:18" x14ac:dyDescent="0.2">
      <c r="A400" s="394"/>
      <c r="B400" s="63" t="s">
        <v>413</v>
      </c>
      <c r="C400" s="397" t="s">
        <v>1037</v>
      </c>
      <c r="D400" s="437"/>
      <c r="E400" s="428"/>
      <c r="F400" s="88">
        <f>K400</f>
        <v>0</v>
      </c>
      <c r="G400" s="56">
        <f>SUMIF(JournalsA!D$14:D$920,TrialBalanceA!M400,JournalsA!J$14:J$920)+SUMIF(JournalsA!E$14:E$920,TrialBalanceA!M400,JournalsA!J$14:J$920)</f>
        <v>0</v>
      </c>
      <c r="H400" s="443"/>
      <c r="I400" s="411">
        <f t="shared" si="116"/>
        <v>0</v>
      </c>
      <c r="J400" s="84"/>
      <c r="K400" s="57">
        <f t="shared" si="117"/>
        <v>0</v>
      </c>
      <c r="M400" s="197" t="str">
        <f t="shared" si="118"/>
        <v>9990/000Suspense account</v>
      </c>
      <c r="N400" s="79"/>
      <c r="P400" s="80"/>
      <c r="Q400" s="60"/>
      <c r="R400" s="34"/>
    </row>
    <row r="401" spans="1:18" x14ac:dyDescent="0.2">
      <c r="A401" s="394"/>
      <c r="B401" s="63"/>
      <c r="C401" s="63"/>
      <c r="D401" s="436"/>
      <c r="E401" s="428"/>
      <c r="F401" s="88"/>
      <c r="G401" s="56"/>
      <c r="H401" s="443"/>
      <c r="I401" s="411"/>
      <c r="J401" s="84"/>
      <c r="K401" s="57"/>
      <c r="M401" s="197"/>
      <c r="N401" s="79"/>
      <c r="P401" s="80"/>
      <c r="Q401" s="60"/>
      <c r="R401" s="34"/>
    </row>
    <row r="402" spans="1:18" x14ac:dyDescent="0.2">
      <c r="A402" s="394"/>
      <c r="B402" s="63" t="s">
        <v>284</v>
      </c>
      <c r="C402" s="64" t="s">
        <v>284</v>
      </c>
      <c r="D402" s="419"/>
      <c r="E402" s="419"/>
      <c r="F402" s="91"/>
      <c r="G402" s="56"/>
      <c r="H402" s="443"/>
      <c r="I402" s="411"/>
      <c r="J402" s="84"/>
      <c r="K402" s="57"/>
      <c r="M402" s="197">
        <v>0</v>
      </c>
      <c r="N402" s="79"/>
      <c r="P402" s="82"/>
      <c r="Q402" s="82"/>
      <c r="R402" s="34"/>
    </row>
    <row r="403" spans="1:18" ht="13.5" thickBot="1" x14ac:dyDescent="0.25">
      <c r="A403" s="50">
        <f>SUM(A5:A402)</f>
        <v>0</v>
      </c>
      <c r="B403" s="63" t="s">
        <v>284</v>
      </c>
      <c r="C403" s="64" t="s">
        <v>284</v>
      </c>
      <c r="D403" s="50">
        <f>SUM(D5:D402)</f>
        <v>0</v>
      </c>
      <c r="E403" s="50">
        <f>SUM(E5:E402)</f>
        <v>0</v>
      </c>
      <c r="F403" s="50">
        <f>SUM(F5:F402)</f>
        <v>0</v>
      </c>
      <c r="G403" s="50">
        <f>SUM(G5:G402)</f>
        <v>0</v>
      </c>
      <c r="H403" s="50"/>
      <c r="I403" s="167">
        <f>SUM(I5:I402)</f>
        <v>0</v>
      </c>
      <c r="J403" s="50"/>
      <c r="K403" s="50">
        <f>SUM(K5:K402)</f>
        <v>0</v>
      </c>
      <c r="M403" s="197">
        <v>0</v>
      </c>
      <c r="N403" s="83"/>
      <c r="O403" s="83"/>
      <c r="P403" s="83"/>
      <c r="Q403" s="83"/>
      <c r="R403" s="83"/>
    </row>
    <row r="404" spans="1:18" ht="13.5" thickTop="1" x14ac:dyDescent="0.2">
      <c r="A404" s="47"/>
      <c r="B404" s="51"/>
      <c r="C404" s="54"/>
      <c r="D404" s="48"/>
      <c r="E404" s="48"/>
      <c r="F404" s="48"/>
      <c r="G404" s="48"/>
      <c r="H404" s="48"/>
      <c r="I404" s="212"/>
      <c r="J404" s="68"/>
      <c r="K404" s="47"/>
      <c r="P404" s="48"/>
      <c r="Q404" s="48"/>
    </row>
    <row r="405" spans="1:18" x14ac:dyDescent="0.2">
      <c r="A405" s="47"/>
      <c r="B405" s="51"/>
      <c r="C405" s="54"/>
      <c r="D405" s="48"/>
      <c r="E405" s="48"/>
      <c r="F405" s="48"/>
      <c r="G405" s="48"/>
      <c r="H405" s="48"/>
      <c r="K405" s="51"/>
      <c r="P405" s="48"/>
      <c r="Q405" s="48"/>
    </row>
    <row r="406" spans="1:18" x14ac:dyDescent="0.2">
      <c r="A406" s="47"/>
      <c r="B406" s="51"/>
      <c r="C406" s="54"/>
      <c r="D406" s="48"/>
      <c r="E406" s="48"/>
      <c r="F406" s="48"/>
      <c r="G406" s="48"/>
      <c r="H406" s="48"/>
      <c r="K406" s="51"/>
      <c r="P406" s="48"/>
      <c r="Q406" s="48"/>
    </row>
    <row r="407" spans="1:18" x14ac:dyDescent="0.2">
      <c r="A407" s="47"/>
      <c r="B407" s="51"/>
      <c r="C407" s="54"/>
      <c r="D407" s="48"/>
      <c r="E407" s="48"/>
      <c r="F407" s="48"/>
      <c r="G407" s="48"/>
      <c r="H407" s="48"/>
      <c r="K407" s="51"/>
      <c r="P407" s="48"/>
      <c r="Q407" s="48"/>
    </row>
    <row r="408" spans="1:18" x14ac:dyDescent="0.2">
      <c r="A408" s="47"/>
      <c r="B408" s="51"/>
      <c r="C408" s="54"/>
      <c r="D408" s="48"/>
      <c r="E408" s="48"/>
      <c r="F408" s="48"/>
      <c r="G408" s="48"/>
      <c r="H408" s="48"/>
      <c r="K408" s="51"/>
      <c r="P408" s="48"/>
      <c r="Q408" s="48"/>
    </row>
    <row r="409" spans="1:18" x14ac:dyDescent="0.2">
      <c r="A409" s="47"/>
      <c r="B409" s="51"/>
      <c r="C409" s="54"/>
      <c r="D409" s="48"/>
      <c r="E409" s="48"/>
      <c r="F409" s="48"/>
      <c r="G409" s="48"/>
      <c r="H409" s="48"/>
      <c r="K409" s="51"/>
      <c r="P409" s="48"/>
      <c r="Q409" s="48"/>
    </row>
    <row r="410" spans="1:18" x14ac:dyDescent="0.2">
      <c r="A410" s="47"/>
      <c r="B410" s="51"/>
      <c r="C410" s="54"/>
      <c r="D410" s="48"/>
      <c r="E410" s="48"/>
      <c r="F410" s="48"/>
      <c r="G410" s="48"/>
      <c r="H410" s="48"/>
      <c r="K410" s="51"/>
      <c r="P410" s="48"/>
      <c r="Q410" s="48"/>
    </row>
    <row r="411" spans="1:18" x14ac:dyDescent="0.2">
      <c r="A411" s="47"/>
      <c r="B411" s="51"/>
      <c r="C411" s="54"/>
      <c r="D411" s="48"/>
      <c r="E411" s="48"/>
      <c r="F411" s="48"/>
      <c r="G411" s="48"/>
      <c r="H411" s="48"/>
      <c r="K411" s="51"/>
      <c r="P411" s="48" t="s">
        <v>120</v>
      </c>
      <c r="Q411" s="48" t="s">
        <v>120</v>
      </c>
    </row>
    <row r="412" spans="1:18" x14ac:dyDescent="0.2">
      <c r="A412" s="47"/>
      <c r="B412" s="51"/>
      <c r="C412" s="54"/>
      <c r="D412" s="48"/>
      <c r="E412" s="48"/>
      <c r="F412" s="48"/>
      <c r="G412" s="48"/>
      <c r="H412" s="48"/>
      <c r="K412" s="51"/>
      <c r="P412" s="48" t="s">
        <v>120</v>
      </c>
      <c r="Q412" s="48" t="s">
        <v>120</v>
      </c>
    </row>
    <row r="413" spans="1:18" x14ac:dyDescent="0.2">
      <c r="A413" s="47"/>
      <c r="B413" s="51"/>
      <c r="C413" s="54"/>
      <c r="D413" s="48"/>
      <c r="E413" s="48"/>
      <c r="F413" s="48"/>
      <c r="G413" s="48"/>
      <c r="H413" s="48"/>
      <c r="K413" s="51"/>
      <c r="P413" s="48" t="s">
        <v>120</v>
      </c>
      <c r="Q413" s="48" t="s">
        <v>120</v>
      </c>
    </row>
    <row r="414" spans="1:18" x14ac:dyDescent="0.2">
      <c r="A414" s="47"/>
      <c r="B414" s="51"/>
      <c r="C414" s="54"/>
      <c r="D414" s="48"/>
      <c r="E414" s="48"/>
      <c r="F414" s="48"/>
      <c r="G414" s="48"/>
      <c r="H414" s="48"/>
      <c r="K414" s="51"/>
      <c r="P414" s="48" t="s">
        <v>120</v>
      </c>
      <c r="Q414" s="48" t="s">
        <v>120</v>
      </c>
    </row>
    <row r="415" spans="1:18" x14ac:dyDescent="0.2">
      <c r="A415" s="47"/>
      <c r="B415" s="51"/>
      <c r="C415" s="54"/>
      <c r="D415" s="48"/>
      <c r="E415" s="48"/>
      <c r="F415" s="48"/>
      <c r="G415" s="48"/>
      <c r="H415" s="48"/>
      <c r="K415" s="51"/>
      <c r="P415" s="48" t="s">
        <v>120</v>
      </c>
      <c r="Q415" s="48" t="s">
        <v>120</v>
      </c>
    </row>
    <row r="416" spans="1:18" x14ac:dyDescent="0.2">
      <c r="A416" s="47"/>
      <c r="B416" s="51"/>
      <c r="C416" s="54"/>
      <c r="D416" s="48"/>
      <c r="E416" s="48"/>
      <c r="F416" s="48"/>
      <c r="G416" s="48"/>
      <c r="H416" s="48"/>
      <c r="K416" s="51"/>
      <c r="P416" s="48"/>
      <c r="Q416" s="48"/>
    </row>
    <row r="417" spans="1:17" x14ac:dyDescent="0.2">
      <c r="A417" s="47"/>
      <c r="B417" s="51"/>
      <c r="C417" s="54"/>
      <c r="D417" s="48"/>
      <c r="E417" s="48"/>
      <c r="F417" s="48"/>
      <c r="G417" s="48"/>
      <c r="H417" s="48"/>
      <c r="K417" s="51"/>
      <c r="P417" s="48"/>
      <c r="Q417" s="48"/>
    </row>
    <row r="418" spans="1:17" x14ac:dyDescent="0.2">
      <c r="A418" s="47"/>
      <c r="B418" s="51"/>
      <c r="C418" s="54"/>
      <c r="D418" s="48"/>
      <c r="E418" s="48"/>
      <c r="F418" s="48"/>
      <c r="G418" s="48"/>
      <c r="H418" s="48"/>
      <c r="K418" s="51"/>
      <c r="P418" s="48"/>
      <c r="Q418" s="48"/>
    </row>
    <row r="419" spans="1:17" x14ac:dyDescent="0.2">
      <c r="A419" s="47"/>
      <c r="B419" s="51"/>
      <c r="C419" s="54"/>
      <c r="D419" s="48"/>
      <c r="E419" s="48"/>
      <c r="F419" s="48"/>
      <c r="G419" s="48"/>
      <c r="H419" s="48"/>
      <c r="K419" s="51"/>
      <c r="P419" s="48"/>
      <c r="Q419" s="48"/>
    </row>
    <row r="420" spans="1:17" x14ac:dyDescent="0.2">
      <c r="A420" s="47"/>
      <c r="B420" s="51"/>
      <c r="C420" s="54"/>
      <c r="D420" s="48"/>
      <c r="E420" s="48"/>
      <c r="F420" s="48"/>
      <c r="G420" s="48"/>
      <c r="H420" s="48"/>
      <c r="K420" s="51"/>
      <c r="P420" s="48"/>
      <c r="Q420" s="48"/>
    </row>
    <row r="421" spans="1:17" x14ac:dyDescent="0.2">
      <c r="A421" s="47"/>
      <c r="B421" s="51"/>
      <c r="C421" s="54"/>
      <c r="D421" s="48"/>
      <c r="E421" s="48"/>
      <c r="F421" s="48"/>
      <c r="G421" s="48"/>
      <c r="H421" s="48"/>
      <c r="K421" s="51"/>
      <c r="P421" s="48"/>
      <c r="Q421" s="48"/>
    </row>
    <row r="422" spans="1:17" x14ac:dyDescent="0.2">
      <c r="A422" s="47"/>
      <c r="B422" s="51"/>
      <c r="C422" s="54"/>
      <c r="D422" s="48"/>
      <c r="E422" s="48"/>
      <c r="F422" s="48"/>
      <c r="G422" s="48"/>
      <c r="H422" s="48"/>
      <c r="K422" s="51"/>
      <c r="P422" s="48"/>
      <c r="Q422" s="48"/>
    </row>
    <row r="423" spans="1:17" x14ac:dyDescent="0.2">
      <c r="A423" s="47"/>
      <c r="B423" s="51"/>
      <c r="C423" s="54"/>
      <c r="D423" s="48"/>
      <c r="E423" s="48"/>
      <c r="F423" s="48"/>
      <c r="G423" s="48"/>
      <c r="H423" s="48"/>
      <c r="K423" s="51"/>
      <c r="P423" s="48"/>
      <c r="Q423" s="48"/>
    </row>
    <row r="424" spans="1:17" x14ac:dyDescent="0.2">
      <c r="A424" s="47"/>
      <c r="B424" s="51"/>
      <c r="C424" s="54"/>
      <c r="D424" s="48"/>
      <c r="E424" s="48"/>
      <c r="F424" s="48"/>
      <c r="G424" s="48"/>
      <c r="H424" s="48"/>
      <c r="K424" s="51"/>
      <c r="P424" s="48"/>
      <c r="Q424" s="48"/>
    </row>
    <row r="425" spans="1:17" x14ac:dyDescent="0.2">
      <c r="A425" s="47"/>
      <c r="B425" s="51"/>
      <c r="C425" s="54"/>
      <c r="D425" s="48"/>
      <c r="E425" s="48"/>
      <c r="F425" s="48"/>
      <c r="G425" s="48"/>
      <c r="H425" s="48"/>
      <c r="K425" s="51"/>
      <c r="P425" s="48"/>
      <c r="Q425" s="48"/>
    </row>
    <row r="426" spans="1:17" x14ac:dyDescent="0.2">
      <c r="A426" s="47"/>
      <c r="B426" s="51"/>
      <c r="C426" s="54"/>
      <c r="D426" s="48"/>
      <c r="E426" s="48"/>
      <c r="F426" s="48"/>
      <c r="G426" s="48"/>
      <c r="H426" s="48"/>
      <c r="K426" s="51"/>
      <c r="P426" s="48"/>
      <c r="Q426" s="48"/>
    </row>
    <row r="427" spans="1:17" x14ac:dyDescent="0.2">
      <c r="A427" s="47"/>
      <c r="B427" s="51"/>
      <c r="C427" s="54"/>
      <c r="D427" s="48"/>
      <c r="E427" s="48"/>
      <c r="F427" s="48"/>
      <c r="G427" s="48"/>
      <c r="H427" s="48"/>
      <c r="K427" s="51"/>
      <c r="P427" s="48"/>
      <c r="Q427" s="48"/>
    </row>
    <row r="428" spans="1:17" x14ac:dyDescent="0.2">
      <c r="A428" s="47"/>
      <c r="B428" s="51"/>
      <c r="C428" s="54"/>
      <c r="D428" s="48"/>
      <c r="E428" s="48"/>
      <c r="F428" s="48"/>
      <c r="G428" s="48"/>
      <c r="H428" s="48"/>
      <c r="K428" s="51"/>
      <c r="P428" s="48"/>
      <c r="Q428" s="48"/>
    </row>
    <row r="429" spans="1:17" x14ac:dyDescent="0.2">
      <c r="A429" s="47"/>
      <c r="B429" s="51"/>
      <c r="C429" s="54"/>
      <c r="D429" s="48"/>
      <c r="E429" s="48"/>
      <c r="F429" s="48"/>
      <c r="G429" s="48"/>
      <c r="H429" s="48"/>
      <c r="K429" s="51"/>
      <c r="P429" s="48"/>
      <c r="Q429" s="48"/>
    </row>
    <row r="430" spans="1:17" x14ac:dyDescent="0.2">
      <c r="A430" s="47"/>
      <c r="B430" s="51"/>
      <c r="C430" s="54"/>
      <c r="G430" s="48"/>
      <c r="H430" s="48"/>
      <c r="K430" s="51"/>
      <c r="P430" s="48"/>
      <c r="Q430" s="48"/>
    </row>
    <row r="431" spans="1:17" x14ac:dyDescent="0.2">
      <c r="P431" s="16"/>
      <c r="Q431" s="16"/>
    </row>
  </sheetData>
  <sheetProtection algorithmName="SHA-512" hashValue="VzVOVGOde2+AKo4fGR+P9BogClvCACREPf2968ltYjEOvPlU2KxHxbwPPRXJ3QAQ2HXDEzchCAQFq7qMYMbj4g==" saltValue="sqMhwNMG9/Zt7ma/W0aIPg=="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31B42A9B-C1A4-44A7-BEF7-F9747CCBC854}"/>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4"/>
      <c r="I1" s="44"/>
    </row>
    <row r="2" spans="1:13" x14ac:dyDescent="0.25">
      <c r="C2" s="3" t="str">
        <f>Criteria!E9</f>
        <v>ABC COMPANY (PROPRIETARY) LIMITED</v>
      </c>
    </row>
    <row r="3" spans="1:13" x14ac:dyDescent="0.25">
      <c r="H3" s="86" t="s">
        <v>101</v>
      </c>
      <c r="I3" s="86"/>
    </row>
    <row r="4" spans="1:13" x14ac:dyDescent="0.25">
      <c r="C4" s="3" t="s">
        <v>100</v>
      </c>
      <c r="D4" s="44" t="str">
        <f>Criteria!E20</f>
        <v>29 FEBRUARY 2024</v>
      </c>
    </row>
    <row r="5" spans="1:13" x14ac:dyDescent="0.25">
      <c r="H5" s="86" t="s">
        <v>102</v>
      </c>
      <c r="I5" s="86"/>
    </row>
    <row r="6" spans="1:13" x14ac:dyDescent="0.25">
      <c r="C6" s="3" t="s">
        <v>204</v>
      </c>
      <c r="H6" s="44"/>
      <c r="I6" s="44"/>
    </row>
    <row r="7" spans="1:13" x14ac:dyDescent="0.25">
      <c r="C7" s="7"/>
      <c r="D7" s="7"/>
      <c r="E7" s="7"/>
      <c r="F7" s="87"/>
      <c r="G7" s="87"/>
      <c r="H7" s="87"/>
      <c r="I7" s="87"/>
    </row>
    <row r="8" spans="1:13" x14ac:dyDescent="0.25">
      <c r="D8" s="9" t="str">
        <f>IF(F8=0," ","OUT OF BALANCE")</f>
        <v xml:space="preserve"> </v>
      </c>
      <c r="E8" s="9"/>
      <c r="F8" s="4">
        <f>ROUND(F484-G484+H484-I484,2)</f>
        <v>0</v>
      </c>
    </row>
    <row r="9" spans="1:13" x14ac:dyDescent="0.25">
      <c r="D9" s="9" t="s">
        <v>354</v>
      </c>
      <c r="E9" s="9"/>
      <c r="F9" s="4">
        <f>F486</f>
        <v>0</v>
      </c>
    </row>
    <row r="10" spans="1:13" x14ac:dyDescent="0.25">
      <c r="D10" s="9"/>
      <c r="E10" s="9"/>
    </row>
    <row r="11" spans="1:13" x14ac:dyDescent="0.25">
      <c r="A11" s="43" t="s">
        <v>328</v>
      </c>
      <c r="F11" s="708"/>
      <c r="G11" s="708"/>
      <c r="H11" s="708"/>
      <c r="I11" s="708"/>
    </row>
    <row r="12" spans="1:13" x14ac:dyDescent="0.25">
      <c r="A12" s="43" t="s">
        <v>772</v>
      </c>
      <c r="F12" s="708" t="s">
        <v>417</v>
      </c>
      <c r="G12" s="708"/>
      <c r="H12" s="708" t="s">
        <v>116</v>
      </c>
      <c r="I12" s="708"/>
    </row>
    <row r="13" spans="1:13" x14ac:dyDescent="0.25">
      <c r="A13" s="43" t="s">
        <v>329</v>
      </c>
      <c r="B13" s="35" t="s">
        <v>882</v>
      </c>
      <c r="C13" s="35" t="s">
        <v>282</v>
      </c>
      <c r="D13" s="35" t="s">
        <v>301</v>
      </c>
      <c r="E13" s="35" t="s">
        <v>490</v>
      </c>
      <c r="F13" s="25" t="s">
        <v>285</v>
      </c>
      <c r="G13" s="25" t="s">
        <v>286</v>
      </c>
      <c r="H13" s="25" t="s">
        <v>285</v>
      </c>
      <c r="I13" s="25" t="s">
        <v>286</v>
      </c>
    </row>
    <row r="14" spans="1:13" x14ac:dyDescent="0.25">
      <c r="A14" s="43"/>
    </row>
    <row r="15" spans="1:13" x14ac:dyDescent="0.25">
      <c r="A15" s="43" t="str">
        <f t="shared" ref="A15:A78" si="0">IF(COUNTIF(K15:M15,"ERROR")&gt;0,"ERROR"," ")</f>
        <v xml:space="preserve"> </v>
      </c>
      <c r="B15" s="5">
        <v>1</v>
      </c>
      <c r="D15" s="42"/>
      <c r="E15" s="42"/>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43" t="str">
        <f t="shared" si="0"/>
        <v xml:space="preserve"> </v>
      </c>
      <c r="B16" s="28"/>
      <c r="D16" s="42"/>
      <c r="E16" s="42"/>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3" t="str">
        <f t="shared" si="0"/>
        <v xml:space="preserve"> </v>
      </c>
      <c r="D17" s="42"/>
      <c r="E17" s="42"/>
      <c r="J17" s="17">
        <f t="shared" si="3"/>
        <v>0</v>
      </c>
      <c r="K17" s="2" t="str">
        <f t="shared" si="4"/>
        <v xml:space="preserve"> </v>
      </c>
      <c r="L17" s="2" t="str">
        <f t="shared" si="1"/>
        <v xml:space="preserve"> </v>
      </c>
      <c r="M17" s="2" t="str">
        <f t="shared" si="2"/>
        <v xml:space="preserve"> </v>
      </c>
    </row>
    <row r="18" spans="1:13" x14ac:dyDescent="0.25">
      <c r="A18" s="43" t="str">
        <f t="shared" si="0"/>
        <v xml:space="preserve"> </v>
      </c>
      <c r="D18" s="42"/>
      <c r="E18" s="42"/>
      <c r="J18" s="17">
        <f t="shared" si="3"/>
        <v>0</v>
      </c>
      <c r="K18" s="2" t="str">
        <f t="shared" si="4"/>
        <v xml:space="preserve"> </v>
      </c>
      <c r="L18" s="2" t="str">
        <f t="shared" si="1"/>
        <v xml:space="preserve"> </v>
      </c>
      <c r="M18" s="2" t="str">
        <f t="shared" si="2"/>
        <v xml:space="preserve"> </v>
      </c>
    </row>
    <row r="19" spans="1:13" x14ac:dyDescent="0.25">
      <c r="A19" s="43" t="str">
        <f t="shared" si="0"/>
        <v xml:space="preserve"> </v>
      </c>
      <c r="D19" s="42"/>
      <c r="E19" s="42"/>
      <c r="J19" s="17">
        <f t="shared" si="3"/>
        <v>0</v>
      </c>
      <c r="K19" s="2" t="str">
        <f t="shared" si="4"/>
        <v xml:space="preserve"> </v>
      </c>
      <c r="L19" s="2" t="str">
        <f t="shared" si="1"/>
        <v xml:space="preserve"> </v>
      </c>
      <c r="M19" s="2" t="str">
        <f t="shared" si="2"/>
        <v xml:space="preserve"> </v>
      </c>
    </row>
    <row r="20" spans="1:13" x14ac:dyDescent="0.25">
      <c r="A20" s="43" t="str">
        <f t="shared" si="0"/>
        <v xml:space="preserve"> </v>
      </c>
      <c r="D20" s="42"/>
      <c r="E20" s="42"/>
      <c r="J20" s="17">
        <f t="shared" si="3"/>
        <v>0</v>
      </c>
      <c r="K20" s="2" t="str">
        <f t="shared" si="4"/>
        <v xml:space="preserve"> </v>
      </c>
      <c r="L20" s="2" t="str">
        <f t="shared" si="1"/>
        <v xml:space="preserve"> </v>
      </c>
      <c r="M20" s="2" t="str">
        <f t="shared" si="2"/>
        <v xml:space="preserve"> </v>
      </c>
    </row>
    <row r="21" spans="1:13" x14ac:dyDescent="0.25">
      <c r="A21" s="43" t="str">
        <f t="shared" si="0"/>
        <v xml:space="preserve"> </v>
      </c>
      <c r="D21" s="42"/>
      <c r="E21" s="42"/>
      <c r="J21" s="17">
        <f t="shared" si="3"/>
        <v>0</v>
      </c>
      <c r="K21" s="2" t="str">
        <f t="shared" si="4"/>
        <v xml:space="preserve"> </v>
      </c>
      <c r="L21" s="2" t="str">
        <f t="shared" si="1"/>
        <v xml:space="preserve"> </v>
      </c>
      <c r="M21" s="2" t="str">
        <f t="shared" si="2"/>
        <v xml:space="preserve"> </v>
      </c>
    </row>
    <row r="22" spans="1:13" x14ac:dyDescent="0.25">
      <c r="A22" s="43" t="str">
        <f t="shared" si="0"/>
        <v xml:space="preserve"> </v>
      </c>
      <c r="D22" s="42"/>
      <c r="E22" s="42"/>
      <c r="J22" s="17">
        <f t="shared" si="3"/>
        <v>0</v>
      </c>
      <c r="K22" s="2" t="str">
        <f t="shared" si="4"/>
        <v xml:space="preserve"> </v>
      </c>
      <c r="L22" s="2" t="str">
        <f t="shared" si="1"/>
        <v xml:space="preserve"> </v>
      </c>
      <c r="M22" s="2" t="str">
        <f t="shared" si="2"/>
        <v xml:space="preserve"> </v>
      </c>
    </row>
    <row r="23" spans="1:13" x14ac:dyDescent="0.25">
      <c r="A23" s="43" t="str">
        <f t="shared" si="0"/>
        <v xml:space="preserve"> </v>
      </c>
      <c r="D23" s="42"/>
      <c r="E23" s="42"/>
      <c r="J23" s="17">
        <f t="shared" si="3"/>
        <v>0</v>
      </c>
      <c r="K23" s="2" t="str">
        <f t="shared" si="4"/>
        <v xml:space="preserve"> </v>
      </c>
      <c r="L23" s="2" t="str">
        <f t="shared" si="1"/>
        <v xml:space="preserve"> </v>
      </c>
      <c r="M23" s="2" t="str">
        <f t="shared" si="2"/>
        <v xml:space="preserve"> </v>
      </c>
    </row>
    <row r="24" spans="1:13" x14ac:dyDescent="0.25">
      <c r="A24" s="43" t="str">
        <f t="shared" si="0"/>
        <v xml:space="preserve"> </v>
      </c>
      <c r="D24" s="42"/>
      <c r="E24" s="42"/>
      <c r="J24" s="17">
        <f t="shared" si="3"/>
        <v>0</v>
      </c>
      <c r="K24" s="2" t="str">
        <f t="shared" si="4"/>
        <v xml:space="preserve"> </v>
      </c>
      <c r="L24" s="2" t="str">
        <f t="shared" si="1"/>
        <v xml:space="preserve"> </v>
      </c>
      <c r="M24" s="2" t="str">
        <f t="shared" si="2"/>
        <v xml:space="preserve"> </v>
      </c>
    </row>
    <row r="25" spans="1:13" x14ac:dyDescent="0.25">
      <c r="A25" s="43" t="str">
        <f t="shared" si="0"/>
        <v xml:space="preserve"> </v>
      </c>
      <c r="C25" s="61"/>
      <c r="D25" s="42"/>
      <c r="E25" s="42"/>
      <c r="J25" s="17">
        <f t="shared" si="3"/>
        <v>0</v>
      </c>
      <c r="K25" s="2" t="str">
        <f t="shared" si="4"/>
        <v xml:space="preserve"> </v>
      </c>
      <c r="L25" s="2" t="str">
        <f t="shared" si="1"/>
        <v xml:space="preserve"> </v>
      </c>
      <c r="M25" s="2" t="str">
        <f t="shared" si="2"/>
        <v xml:space="preserve"> </v>
      </c>
    </row>
    <row r="26" spans="1:13" x14ac:dyDescent="0.25">
      <c r="A26" s="43" t="str">
        <f t="shared" si="0"/>
        <v xml:space="preserve"> </v>
      </c>
      <c r="D26" s="42"/>
      <c r="E26" s="42"/>
      <c r="J26" s="17">
        <f t="shared" si="3"/>
        <v>0</v>
      </c>
      <c r="K26" s="2" t="str">
        <f t="shared" si="4"/>
        <v xml:space="preserve"> </v>
      </c>
      <c r="L26" s="2" t="str">
        <f t="shared" si="1"/>
        <v xml:space="preserve"> </v>
      </c>
      <c r="M26" s="2" t="str">
        <f t="shared" si="2"/>
        <v xml:space="preserve"> </v>
      </c>
    </row>
    <row r="27" spans="1:13" x14ac:dyDescent="0.25">
      <c r="A27" s="43" t="str">
        <f t="shared" si="0"/>
        <v xml:space="preserve"> </v>
      </c>
      <c r="D27" s="42"/>
      <c r="E27" s="42"/>
      <c r="J27" s="17">
        <f t="shared" si="3"/>
        <v>0</v>
      </c>
      <c r="K27" s="2" t="str">
        <f t="shared" si="4"/>
        <v xml:space="preserve"> </v>
      </c>
      <c r="L27" s="2" t="str">
        <f t="shared" si="1"/>
        <v xml:space="preserve"> </v>
      </c>
      <c r="M27" s="2" t="str">
        <f t="shared" si="2"/>
        <v xml:space="preserve"> </v>
      </c>
    </row>
    <row r="28" spans="1:13" x14ac:dyDescent="0.25">
      <c r="A28" s="43" t="str">
        <f t="shared" si="0"/>
        <v xml:space="preserve"> </v>
      </c>
      <c r="D28" s="42"/>
      <c r="E28" s="42"/>
      <c r="J28" s="17">
        <f t="shared" si="3"/>
        <v>0</v>
      </c>
      <c r="K28" s="2" t="str">
        <f t="shared" si="4"/>
        <v xml:space="preserve"> </v>
      </c>
      <c r="L28" s="2" t="str">
        <f t="shared" si="1"/>
        <v xml:space="preserve"> </v>
      </c>
      <c r="M28" s="2" t="str">
        <f t="shared" si="2"/>
        <v xml:space="preserve"> </v>
      </c>
    </row>
    <row r="29" spans="1:13" x14ac:dyDescent="0.25">
      <c r="A29" s="43" t="str">
        <f t="shared" si="0"/>
        <v xml:space="preserve"> </v>
      </c>
      <c r="D29" s="42"/>
      <c r="E29" s="42"/>
      <c r="J29" s="17">
        <f t="shared" si="3"/>
        <v>0</v>
      </c>
      <c r="K29" s="2" t="str">
        <f t="shared" si="4"/>
        <v xml:space="preserve"> </v>
      </c>
      <c r="L29" s="2" t="str">
        <f t="shared" si="1"/>
        <v xml:space="preserve"> </v>
      </c>
      <c r="M29" s="2" t="str">
        <f t="shared" si="2"/>
        <v xml:space="preserve"> </v>
      </c>
    </row>
    <row r="30" spans="1:13" x14ac:dyDescent="0.25">
      <c r="A30" s="43" t="str">
        <f t="shared" si="0"/>
        <v xml:space="preserve"> </v>
      </c>
      <c r="D30" s="42"/>
      <c r="E30" s="42"/>
      <c r="J30" s="17">
        <f t="shared" si="3"/>
        <v>0</v>
      </c>
      <c r="K30" s="2" t="str">
        <f t="shared" si="4"/>
        <v xml:space="preserve"> </v>
      </c>
      <c r="L30" s="2" t="str">
        <f t="shared" si="1"/>
        <v xml:space="preserve"> </v>
      </c>
      <c r="M30" s="2" t="str">
        <f t="shared" si="2"/>
        <v xml:space="preserve"> </v>
      </c>
    </row>
    <row r="31" spans="1:13" x14ac:dyDescent="0.25">
      <c r="A31" s="43" t="str">
        <f t="shared" si="0"/>
        <v xml:space="preserve"> </v>
      </c>
      <c r="D31" s="42"/>
      <c r="E31" s="42"/>
      <c r="J31" s="17">
        <f t="shared" si="3"/>
        <v>0</v>
      </c>
      <c r="K31" s="2" t="str">
        <f t="shared" si="4"/>
        <v xml:space="preserve"> </v>
      </c>
      <c r="L31" s="2" t="str">
        <f t="shared" si="1"/>
        <v xml:space="preserve"> </v>
      </c>
      <c r="M31" s="2" t="str">
        <f t="shared" si="2"/>
        <v xml:space="preserve"> </v>
      </c>
    </row>
    <row r="32" spans="1:13" x14ac:dyDescent="0.25">
      <c r="A32" s="43" t="str">
        <f t="shared" si="0"/>
        <v xml:space="preserve"> </v>
      </c>
      <c r="D32" s="42"/>
      <c r="E32" s="42"/>
      <c r="J32" s="17">
        <f t="shared" si="3"/>
        <v>0</v>
      </c>
      <c r="K32" s="2" t="str">
        <f t="shared" si="4"/>
        <v xml:space="preserve"> </v>
      </c>
      <c r="L32" s="2" t="str">
        <f t="shared" si="1"/>
        <v xml:space="preserve"> </v>
      </c>
      <c r="M32" s="2" t="str">
        <f t="shared" si="2"/>
        <v xml:space="preserve"> </v>
      </c>
    </row>
    <row r="33" spans="1:13" x14ac:dyDescent="0.25">
      <c r="A33" s="43" t="str">
        <f t="shared" si="0"/>
        <v xml:space="preserve"> </v>
      </c>
      <c r="D33" s="42"/>
      <c r="E33" s="42"/>
      <c r="J33" s="17">
        <f t="shared" si="3"/>
        <v>0</v>
      </c>
      <c r="K33" s="2" t="str">
        <f t="shared" si="4"/>
        <v xml:space="preserve"> </v>
      </c>
      <c r="L33" s="2" t="str">
        <f t="shared" si="1"/>
        <v xml:space="preserve"> </v>
      </c>
      <c r="M33" s="2" t="str">
        <f t="shared" si="2"/>
        <v xml:space="preserve"> </v>
      </c>
    </row>
    <row r="34" spans="1:13" x14ac:dyDescent="0.25">
      <c r="A34" s="43" t="str">
        <f t="shared" si="0"/>
        <v xml:space="preserve"> </v>
      </c>
      <c r="D34" s="42"/>
      <c r="E34" s="42"/>
      <c r="J34" s="17">
        <f t="shared" si="3"/>
        <v>0</v>
      </c>
      <c r="K34" s="2" t="str">
        <f t="shared" si="4"/>
        <v xml:space="preserve"> </v>
      </c>
      <c r="L34" s="2" t="str">
        <f t="shared" si="1"/>
        <v xml:space="preserve"> </v>
      </c>
      <c r="M34" s="2" t="str">
        <f t="shared" si="2"/>
        <v xml:space="preserve"> </v>
      </c>
    </row>
    <row r="35" spans="1:13" x14ac:dyDescent="0.25">
      <c r="A35" s="43" t="str">
        <f t="shared" si="0"/>
        <v xml:space="preserve"> </v>
      </c>
      <c r="D35" s="42"/>
      <c r="E35" s="42"/>
      <c r="J35" s="17">
        <f t="shared" si="3"/>
        <v>0</v>
      </c>
      <c r="K35" s="2" t="str">
        <f t="shared" si="4"/>
        <v xml:space="preserve"> </v>
      </c>
      <c r="L35" s="2" t="str">
        <f t="shared" si="1"/>
        <v xml:space="preserve"> </v>
      </c>
      <c r="M35" s="2" t="str">
        <f t="shared" si="2"/>
        <v xml:space="preserve"> </v>
      </c>
    </row>
    <row r="36" spans="1:13" x14ac:dyDescent="0.25">
      <c r="A36" s="43" t="str">
        <f t="shared" si="0"/>
        <v xml:space="preserve"> </v>
      </c>
      <c r="D36" s="42"/>
      <c r="E36" s="42"/>
      <c r="J36" s="17">
        <f t="shared" si="3"/>
        <v>0</v>
      </c>
      <c r="K36" s="2" t="str">
        <f t="shared" si="4"/>
        <v xml:space="preserve"> </v>
      </c>
      <c r="L36" s="2" t="str">
        <f t="shared" si="1"/>
        <v xml:space="preserve"> </v>
      </c>
      <c r="M36" s="2" t="str">
        <f t="shared" si="2"/>
        <v xml:space="preserve"> </v>
      </c>
    </row>
    <row r="37" spans="1:13" x14ac:dyDescent="0.25">
      <c r="A37" s="43" t="str">
        <f t="shared" si="0"/>
        <v xml:space="preserve"> </v>
      </c>
      <c r="D37" s="42"/>
      <c r="E37" s="42"/>
      <c r="J37" s="17">
        <f t="shared" si="3"/>
        <v>0</v>
      </c>
      <c r="K37" s="2" t="str">
        <f t="shared" si="4"/>
        <v xml:space="preserve"> </v>
      </c>
      <c r="L37" s="2" t="str">
        <f t="shared" si="1"/>
        <v xml:space="preserve"> </v>
      </c>
      <c r="M37" s="2" t="str">
        <f t="shared" si="2"/>
        <v xml:space="preserve"> </v>
      </c>
    </row>
    <row r="38" spans="1:13" x14ac:dyDescent="0.25">
      <c r="A38" s="43" t="str">
        <f t="shared" si="0"/>
        <v xml:space="preserve"> </v>
      </c>
      <c r="D38" s="42"/>
      <c r="E38" s="42"/>
      <c r="J38" s="17">
        <f t="shared" si="3"/>
        <v>0</v>
      </c>
      <c r="K38" s="2" t="str">
        <f t="shared" si="4"/>
        <v xml:space="preserve"> </v>
      </c>
      <c r="L38" s="2" t="str">
        <f t="shared" si="1"/>
        <v xml:space="preserve"> </v>
      </c>
      <c r="M38" s="2" t="str">
        <f t="shared" si="2"/>
        <v xml:space="preserve"> </v>
      </c>
    </row>
    <row r="39" spans="1:13" x14ac:dyDescent="0.25">
      <c r="A39" s="43" t="str">
        <f t="shared" si="0"/>
        <v xml:space="preserve"> </v>
      </c>
      <c r="D39" s="42"/>
      <c r="E39" s="42"/>
      <c r="J39" s="17">
        <f t="shared" si="3"/>
        <v>0</v>
      </c>
      <c r="K39" s="2" t="str">
        <f t="shared" si="4"/>
        <v xml:space="preserve"> </v>
      </c>
      <c r="L39" s="2" t="str">
        <f t="shared" si="1"/>
        <v xml:space="preserve"> </v>
      </c>
      <c r="M39" s="2" t="str">
        <f t="shared" si="2"/>
        <v xml:space="preserve"> </v>
      </c>
    </row>
    <row r="40" spans="1:13" x14ac:dyDescent="0.25">
      <c r="A40" s="43" t="str">
        <f t="shared" si="0"/>
        <v xml:space="preserve"> </v>
      </c>
      <c r="D40" s="42"/>
      <c r="E40" s="42"/>
      <c r="J40" s="17">
        <f t="shared" si="3"/>
        <v>0</v>
      </c>
      <c r="K40" s="2" t="str">
        <f t="shared" si="4"/>
        <v xml:space="preserve"> </v>
      </c>
      <c r="L40" s="2" t="str">
        <f t="shared" si="1"/>
        <v xml:space="preserve"> </v>
      </c>
      <c r="M40" s="2" t="str">
        <f t="shared" si="2"/>
        <v xml:space="preserve"> </v>
      </c>
    </row>
    <row r="41" spans="1:13" x14ac:dyDescent="0.25">
      <c r="A41" s="43" t="str">
        <f t="shared" si="0"/>
        <v xml:space="preserve"> </v>
      </c>
      <c r="D41" s="42"/>
      <c r="E41" s="42"/>
      <c r="J41" s="17">
        <f t="shared" si="3"/>
        <v>0</v>
      </c>
      <c r="K41" s="2" t="str">
        <f t="shared" si="4"/>
        <v xml:space="preserve"> </v>
      </c>
      <c r="L41" s="2" t="str">
        <f t="shared" si="1"/>
        <v xml:space="preserve"> </v>
      </c>
      <c r="M41" s="2" t="str">
        <f t="shared" si="2"/>
        <v xml:space="preserve"> </v>
      </c>
    </row>
    <row r="42" spans="1:13" x14ac:dyDescent="0.25">
      <c r="A42" s="43" t="str">
        <f t="shared" si="0"/>
        <v xml:space="preserve"> </v>
      </c>
      <c r="D42" s="42"/>
      <c r="E42" s="42"/>
      <c r="J42" s="17">
        <f t="shared" si="3"/>
        <v>0</v>
      </c>
      <c r="K42" s="2" t="str">
        <f t="shared" si="4"/>
        <v xml:space="preserve"> </v>
      </c>
      <c r="L42" s="2" t="str">
        <f t="shared" si="1"/>
        <v xml:space="preserve"> </v>
      </c>
      <c r="M42" s="2" t="str">
        <f t="shared" si="2"/>
        <v xml:space="preserve"> </v>
      </c>
    </row>
    <row r="43" spans="1:13" x14ac:dyDescent="0.25">
      <c r="A43" s="43" t="str">
        <f t="shared" si="0"/>
        <v xml:space="preserve"> </v>
      </c>
      <c r="D43" s="42"/>
      <c r="E43" s="42"/>
      <c r="J43" s="17">
        <f t="shared" si="3"/>
        <v>0</v>
      </c>
      <c r="K43" s="2" t="str">
        <f t="shared" si="4"/>
        <v xml:space="preserve"> </v>
      </c>
      <c r="L43" s="2" t="str">
        <f t="shared" si="1"/>
        <v xml:space="preserve"> </v>
      </c>
      <c r="M43" s="2" t="str">
        <f t="shared" si="2"/>
        <v xml:space="preserve"> </v>
      </c>
    </row>
    <row r="44" spans="1:13" x14ac:dyDescent="0.25">
      <c r="A44" s="43" t="str">
        <f t="shared" si="0"/>
        <v xml:space="preserve"> </v>
      </c>
      <c r="D44" s="42"/>
      <c r="E44" s="42"/>
      <c r="J44" s="17">
        <f t="shared" si="3"/>
        <v>0</v>
      </c>
      <c r="K44" s="2" t="str">
        <f t="shared" si="4"/>
        <v xml:space="preserve"> </v>
      </c>
      <c r="L44" s="2" t="str">
        <f t="shared" si="1"/>
        <v xml:space="preserve"> </v>
      </c>
      <c r="M44" s="2" t="str">
        <f t="shared" si="2"/>
        <v xml:space="preserve"> </v>
      </c>
    </row>
    <row r="45" spans="1:13" x14ac:dyDescent="0.25">
      <c r="A45" s="43" t="str">
        <f t="shared" si="0"/>
        <v xml:space="preserve"> </v>
      </c>
      <c r="D45" s="42"/>
      <c r="E45" s="42"/>
      <c r="J45" s="17">
        <f t="shared" si="3"/>
        <v>0</v>
      </c>
      <c r="K45" s="2" t="str">
        <f t="shared" si="4"/>
        <v xml:space="preserve"> </v>
      </c>
      <c r="L45" s="2" t="str">
        <f t="shared" si="1"/>
        <v xml:space="preserve"> </v>
      </c>
      <c r="M45" s="2" t="str">
        <f t="shared" si="2"/>
        <v xml:space="preserve"> </v>
      </c>
    </row>
    <row r="46" spans="1:13" x14ac:dyDescent="0.25">
      <c r="A46" s="43" t="str">
        <f t="shared" si="0"/>
        <v xml:space="preserve"> </v>
      </c>
      <c r="D46" s="42"/>
      <c r="E46" s="42"/>
      <c r="J46" s="17">
        <f t="shared" si="3"/>
        <v>0</v>
      </c>
      <c r="K46" s="2" t="str">
        <f t="shared" si="4"/>
        <v xml:space="preserve"> </v>
      </c>
      <c r="L46" s="2" t="str">
        <f t="shared" si="1"/>
        <v xml:space="preserve"> </v>
      </c>
      <c r="M46" s="2" t="str">
        <f t="shared" si="2"/>
        <v xml:space="preserve"> </v>
      </c>
    </row>
    <row r="47" spans="1:13" x14ac:dyDescent="0.25">
      <c r="A47" s="43" t="str">
        <f t="shared" si="0"/>
        <v xml:space="preserve"> </v>
      </c>
      <c r="D47" s="42"/>
      <c r="E47" s="42"/>
      <c r="J47" s="17">
        <f t="shared" si="3"/>
        <v>0</v>
      </c>
      <c r="K47" s="2" t="str">
        <f t="shared" si="4"/>
        <v xml:space="preserve"> </v>
      </c>
      <c r="L47" s="2" t="str">
        <f t="shared" si="1"/>
        <v xml:space="preserve"> </v>
      </c>
      <c r="M47" s="2" t="str">
        <f t="shared" si="2"/>
        <v xml:space="preserve"> </v>
      </c>
    </row>
    <row r="48" spans="1:13" x14ac:dyDescent="0.25">
      <c r="A48" s="43" t="str">
        <f t="shared" si="0"/>
        <v xml:space="preserve"> </v>
      </c>
      <c r="D48" s="42"/>
      <c r="E48" s="42"/>
      <c r="J48" s="17">
        <f t="shared" si="3"/>
        <v>0</v>
      </c>
      <c r="K48" s="2" t="str">
        <f t="shared" si="4"/>
        <v xml:space="preserve"> </v>
      </c>
      <c r="L48" s="2" t="str">
        <f t="shared" si="1"/>
        <v xml:space="preserve"> </v>
      </c>
      <c r="M48" s="2" t="str">
        <f t="shared" si="2"/>
        <v xml:space="preserve"> </v>
      </c>
    </row>
    <row r="49" spans="1:13" x14ac:dyDescent="0.25">
      <c r="A49" s="43" t="str">
        <f t="shared" si="0"/>
        <v xml:space="preserve"> </v>
      </c>
      <c r="D49" s="42"/>
      <c r="E49" s="42"/>
      <c r="J49" s="17">
        <f t="shared" si="3"/>
        <v>0</v>
      </c>
      <c r="K49" s="2" t="str">
        <f t="shared" si="4"/>
        <v xml:space="preserve"> </v>
      </c>
      <c r="L49" s="2" t="str">
        <f t="shared" si="1"/>
        <v xml:space="preserve"> </v>
      </c>
      <c r="M49" s="2" t="str">
        <f t="shared" si="2"/>
        <v xml:space="preserve"> </v>
      </c>
    </row>
    <row r="50" spans="1:13" x14ac:dyDescent="0.25">
      <c r="A50" s="43" t="str">
        <f t="shared" si="0"/>
        <v xml:space="preserve"> </v>
      </c>
      <c r="D50" s="42"/>
      <c r="E50" s="42"/>
      <c r="J50" s="17">
        <f t="shared" si="3"/>
        <v>0</v>
      </c>
      <c r="K50" s="2" t="str">
        <f t="shared" si="4"/>
        <v xml:space="preserve"> </v>
      </c>
      <c r="L50" s="2" t="str">
        <f t="shared" si="1"/>
        <v xml:space="preserve"> </v>
      </c>
      <c r="M50" s="2" t="str">
        <f t="shared" si="2"/>
        <v xml:space="preserve"> </v>
      </c>
    </row>
    <row r="51" spans="1:13" x14ac:dyDescent="0.25">
      <c r="A51" s="43" t="str">
        <f t="shared" si="0"/>
        <v xml:space="preserve"> </v>
      </c>
      <c r="D51" s="42"/>
      <c r="E51" s="42"/>
      <c r="J51" s="17">
        <f t="shared" si="3"/>
        <v>0</v>
      </c>
      <c r="K51" s="2" t="str">
        <f t="shared" si="4"/>
        <v xml:space="preserve"> </v>
      </c>
      <c r="L51" s="2" t="str">
        <f t="shared" si="1"/>
        <v xml:space="preserve"> </v>
      </c>
      <c r="M51" s="2" t="str">
        <f t="shared" si="2"/>
        <v xml:space="preserve"> </v>
      </c>
    </row>
    <row r="52" spans="1:13" x14ac:dyDescent="0.25">
      <c r="A52" s="43" t="str">
        <f t="shared" si="0"/>
        <v xml:space="preserve"> </v>
      </c>
      <c r="D52" s="42"/>
      <c r="E52" s="42"/>
      <c r="J52" s="17">
        <f t="shared" si="3"/>
        <v>0</v>
      </c>
      <c r="K52" s="2" t="str">
        <f t="shared" si="4"/>
        <v xml:space="preserve"> </v>
      </c>
      <c r="L52" s="2" t="str">
        <f t="shared" si="1"/>
        <v xml:space="preserve"> </v>
      </c>
      <c r="M52" s="2" t="str">
        <f t="shared" si="2"/>
        <v xml:space="preserve"> </v>
      </c>
    </row>
    <row r="53" spans="1:13" x14ac:dyDescent="0.25">
      <c r="A53" s="43" t="str">
        <f t="shared" si="0"/>
        <v xml:space="preserve"> </v>
      </c>
      <c r="D53" s="42"/>
      <c r="E53" s="42"/>
      <c r="J53" s="17">
        <f t="shared" si="3"/>
        <v>0</v>
      </c>
      <c r="K53" s="2" t="str">
        <f t="shared" si="4"/>
        <v xml:space="preserve"> </v>
      </c>
      <c r="L53" s="2" t="str">
        <f t="shared" si="1"/>
        <v xml:space="preserve"> </v>
      </c>
      <c r="M53" s="2" t="str">
        <f t="shared" si="2"/>
        <v xml:space="preserve"> </v>
      </c>
    </row>
    <row r="54" spans="1:13" x14ac:dyDescent="0.25">
      <c r="A54" s="43" t="str">
        <f t="shared" si="0"/>
        <v xml:space="preserve"> </v>
      </c>
      <c r="D54" s="42"/>
      <c r="E54" s="42"/>
      <c r="J54" s="17">
        <f t="shared" si="3"/>
        <v>0</v>
      </c>
      <c r="K54" s="2" t="str">
        <f t="shared" si="4"/>
        <v xml:space="preserve"> </v>
      </c>
      <c r="L54" s="2" t="str">
        <f t="shared" si="1"/>
        <v xml:space="preserve"> </v>
      </c>
      <c r="M54" s="2" t="str">
        <f t="shared" si="2"/>
        <v xml:space="preserve"> </v>
      </c>
    </row>
    <row r="55" spans="1:13" x14ac:dyDescent="0.25">
      <c r="A55" s="43" t="str">
        <f t="shared" si="0"/>
        <v xml:space="preserve"> </v>
      </c>
      <c r="D55" s="42"/>
      <c r="E55" s="42"/>
      <c r="J55" s="17">
        <f t="shared" si="3"/>
        <v>0</v>
      </c>
      <c r="K55" s="2" t="str">
        <f t="shared" si="4"/>
        <v xml:space="preserve"> </v>
      </c>
      <c r="L55" s="2" t="str">
        <f t="shared" si="1"/>
        <v xml:space="preserve"> </v>
      </c>
      <c r="M55" s="2" t="str">
        <f t="shared" si="2"/>
        <v xml:space="preserve"> </v>
      </c>
    </row>
    <row r="56" spans="1:13" x14ac:dyDescent="0.25">
      <c r="A56" s="43" t="str">
        <f t="shared" si="0"/>
        <v xml:space="preserve"> </v>
      </c>
      <c r="D56" s="42"/>
      <c r="E56" s="42"/>
      <c r="J56" s="17">
        <f t="shared" si="3"/>
        <v>0</v>
      </c>
      <c r="K56" s="2" t="str">
        <f t="shared" si="4"/>
        <v xml:space="preserve"> </v>
      </c>
      <c r="L56" s="2" t="str">
        <f t="shared" si="1"/>
        <v xml:space="preserve"> </v>
      </c>
      <c r="M56" s="2" t="str">
        <f t="shared" si="2"/>
        <v xml:space="preserve"> </v>
      </c>
    </row>
    <row r="57" spans="1:13" x14ac:dyDescent="0.25">
      <c r="A57" s="43" t="str">
        <f t="shared" si="0"/>
        <v xml:space="preserve"> </v>
      </c>
      <c r="D57" s="42"/>
      <c r="E57" s="42"/>
      <c r="J57" s="17">
        <f t="shared" si="3"/>
        <v>0</v>
      </c>
      <c r="K57" s="2" t="str">
        <f t="shared" si="4"/>
        <v xml:space="preserve"> </v>
      </c>
      <c r="L57" s="2" t="str">
        <f t="shared" si="1"/>
        <v xml:space="preserve"> </v>
      </c>
      <c r="M57" s="2" t="str">
        <f t="shared" si="2"/>
        <v xml:space="preserve"> </v>
      </c>
    </row>
    <row r="58" spans="1:13" x14ac:dyDescent="0.25">
      <c r="A58" s="43" t="str">
        <f t="shared" si="0"/>
        <v xml:space="preserve"> </v>
      </c>
      <c r="D58" s="42"/>
      <c r="E58" s="42"/>
      <c r="J58" s="17">
        <f t="shared" si="3"/>
        <v>0</v>
      </c>
      <c r="K58" s="2" t="str">
        <f t="shared" si="4"/>
        <v xml:space="preserve"> </v>
      </c>
      <c r="L58" s="2" t="str">
        <f t="shared" si="1"/>
        <v xml:space="preserve"> </v>
      </c>
      <c r="M58" s="2" t="str">
        <f t="shared" si="2"/>
        <v xml:space="preserve"> </v>
      </c>
    </row>
    <row r="59" spans="1:13" x14ac:dyDescent="0.25">
      <c r="A59" s="43" t="str">
        <f t="shared" si="0"/>
        <v xml:space="preserve"> </v>
      </c>
      <c r="D59" s="42"/>
      <c r="E59" s="42"/>
      <c r="J59" s="17">
        <f t="shared" si="3"/>
        <v>0</v>
      </c>
      <c r="K59" s="2" t="str">
        <f t="shared" si="4"/>
        <v xml:space="preserve"> </v>
      </c>
      <c r="L59" s="2" t="str">
        <f t="shared" si="1"/>
        <v xml:space="preserve"> </v>
      </c>
      <c r="M59" s="2" t="str">
        <f t="shared" si="2"/>
        <v xml:space="preserve"> </v>
      </c>
    </row>
    <row r="60" spans="1:13" x14ac:dyDescent="0.25">
      <c r="A60" s="43" t="str">
        <f t="shared" si="0"/>
        <v xml:space="preserve"> </v>
      </c>
      <c r="D60" s="42"/>
      <c r="E60" s="42"/>
      <c r="J60" s="17">
        <f t="shared" si="3"/>
        <v>0</v>
      </c>
      <c r="K60" s="2" t="str">
        <f t="shared" si="4"/>
        <v xml:space="preserve"> </v>
      </c>
      <c r="L60" s="2" t="str">
        <f t="shared" si="1"/>
        <v xml:space="preserve"> </v>
      </c>
      <c r="M60" s="2" t="str">
        <f t="shared" si="2"/>
        <v xml:space="preserve"> </v>
      </c>
    </row>
    <row r="61" spans="1:13" x14ac:dyDescent="0.25">
      <c r="A61" s="43" t="str">
        <f t="shared" si="0"/>
        <v xml:space="preserve"> </v>
      </c>
      <c r="D61" s="42"/>
      <c r="E61" s="42"/>
      <c r="J61" s="17">
        <f t="shared" si="3"/>
        <v>0</v>
      </c>
      <c r="K61" s="2" t="str">
        <f t="shared" si="4"/>
        <v xml:space="preserve"> </v>
      </c>
      <c r="L61" s="2" t="str">
        <f t="shared" si="1"/>
        <v xml:space="preserve"> </v>
      </c>
      <c r="M61" s="2" t="str">
        <f t="shared" si="2"/>
        <v xml:space="preserve"> </v>
      </c>
    </row>
    <row r="62" spans="1:13" x14ac:dyDescent="0.25">
      <c r="A62" s="43" t="str">
        <f t="shared" si="0"/>
        <v xml:space="preserve"> </v>
      </c>
      <c r="D62" s="42"/>
      <c r="E62" s="42"/>
      <c r="J62" s="17">
        <f t="shared" si="3"/>
        <v>0</v>
      </c>
      <c r="K62" s="2" t="str">
        <f t="shared" si="4"/>
        <v xml:space="preserve"> </v>
      </c>
      <c r="L62" s="2" t="str">
        <f t="shared" si="1"/>
        <v xml:space="preserve"> </v>
      </c>
      <c r="M62" s="2" t="str">
        <f t="shared" si="2"/>
        <v xml:space="preserve"> </v>
      </c>
    </row>
    <row r="63" spans="1:13" x14ac:dyDescent="0.25">
      <c r="A63" s="43" t="str">
        <f t="shared" si="0"/>
        <v xml:space="preserve"> </v>
      </c>
      <c r="D63" s="42"/>
      <c r="E63" s="42"/>
      <c r="J63" s="17">
        <f t="shared" si="3"/>
        <v>0</v>
      </c>
      <c r="K63" s="2" t="str">
        <f t="shared" si="4"/>
        <v xml:space="preserve"> </v>
      </c>
      <c r="L63" s="2" t="str">
        <f t="shared" si="1"/>
        <v xml:space="preserve"> </v>
      </c>
      <c r="M63" s="2" t="str">
        <f t="shared" si="2"/>
        <v xml:space="preserve"> </v>
      </c>
    </row>
    <row r="64" spans="1:13" x14ac:dyDescent="0.25">
      <c r="A64" s="43" t="str">
        <f t="shared" si="0"/>
        <v xml:space="preserve"> </v>
      </c>
      <c r="D64" s="42"/>
      <c r="E64" s="42"/>
      <c r="J64" s="17">
        <f t="shared" si="3"/>
        <v>0</v>
      </c>
      <c r="K64" s="2" t="str">
        <f t="shared" si="4"/>
        <v xml:space="preserve"> </v>
      </c>
      <c r="L64" s="2" t="str">
        <f t="shared" si="1"/>
        <v xml:space="preserve"> </v>
      </c>
      <c r="M64" s="2" t="str">
        <f t="shared" si="2"/>
        <v xml:space="preserve"> </v>
      </c>
    </row>
    <row r="65" spans="1:13" x14ac:dyDescent="0.25">
      <c r="A65" s="43" t="str">
        <f t="shared" si="0"/>
        <v xml:space="preserve"> </v>
      </c>
      <c r="D65" s="42"/>
      <c r="E65" s="42"/>
      <c r="J65" s="17">
        <f t="shared" si="3"/>
        <v>0</v>
      </c>
      <c r="K65" s="2" t="str">
        <f t="shared" si="4"/>
        <v xml:space="preserve"> </v>
      </c>
      <c r="L65" s="2" t="str">
        <f t="shared" si="1"/>
        <v xml:space="preserve"> </v>
      </c>
      <c r="M65" s="2" t="str">
        <f t="shared" si="2"/>
        <v xml:space="preserve"> </v>
      </c>
    </row>
    <row r="66" spans="1:13" x14ac:dyDescent="0.25">
      <c r="A66" s="43" t="str">
        <f t="shared" si="0"/>
        <v xml:space="preserve"> </v>
      </c>
      <c r="D66" s="42"/>
      <c r="E66" s="42"/>
      <c r="J66" s="17">
        <f t="shared" si="3"/>
        <v>0</v>
      </c>
      <c r="K66" s="2" t="str">
        <f t="shared" si="4"/>
        <v xml:space="preserve"> </v>
      </c>
      <c r="L66" s="2" t="str">
        <f t="shared" si="1"/>
        <v xml:space="preserve"> </v>
      </c>
      <c r="M66" s="2" t="str">
        <f t="shared" si="2"/>
        <v xml:space="preserve"> </v>
      </c>
    </row>
    <row r="67" spans="1:13" x14ac:dyDescent="0.25">
      <c r="A67" s="43" t="str">
        <f t="shared" si="0"/>
        <v xml:space="preserve"> </v>
      </c>
      <c r="D67" s="42"/>
      <c r="E67" s="42"/>
      <c r="J67" s="17">
        <f t="shared" si="3"/>
        <v>0</v>
      </c>
      <c r="K67" s="2" t="str">
        <f t="shared" si="4"/>
        <v xml:space="preserve"> </v>
      </c>
      <c r="L67" s="2" t="str">
        <f t="shared" si="1"/>
        <v xml:space="preserve"> </v>
      </c>
      <c r="M67" s="2" t="str">
        <f t="shared" si="2"/>
        <v xml:space="preserve"> </v>
      </c>
    </row>
    <row r="68" spans="1:13" x14ac:dyDescent="0.25">
      <c r="A68" s="43" t="str">
        <f t="shared" si="0"/>
        <v xml:space="preserve"> </v>
      </c>
      <c r="D68" s="42"/>
      <c r="E68" s="42"/>
      <c r="J68" s="17">
        <f t="shared" si="3"/>
        <v>0</v>
      </c>
      <c r="K68" s="2" t="str">
        <f t="shared" si="4"/>
        <v xml:space="preserve"> </v>
      </c>
      <c r="L68" s="2" t="str">
        <f t="shared" si="1"/>
        <v xml:space="preserve"> </v>
      </c>
      <c r="M68" s="2" t="str">
        <f t="shared" si="2"/>
        <v xml:space="preserve"> </v>
      </c>
    </row>
    <row r="69" spans="1:13" x14ac:dyDescent="0.25">
      <c r="A69" s="43" t="str">
        <f t="shared" si="0"/>
        <v xml:space="preserve"> </v>
      </c>
      <c r="D69" s="42"/>
      <c r="E69" s="42"/>
      <c r="J69" s="17">
        <f t="shared" si="3"/>
        <v>0</v>
      </c>
      <c r="K69" s="2" t="str">
        <f t="shared" si="4"/>
        <v xml:space="preserve"> </v>
      </c>
      <c r="L69" s="2" t="str">
        <f t="shared" si="1"/>
        <v xml:space="preserve"> </v>
      </c>
      <c r="M69" s="2" t="str">
        <f t="shared" si="2"/>
        <v xml:space="preserve"> </v>
      </c>
    </row>
    <row r="70" spans="1:13" x14ac:dyDescent="0.25">
      <c r="A70" s="43" t="str">
        <f t="shared" si="0"/>
        <v xml:space="preserve"> </v>
      </c>
      <c r="D70" s="42"/>
      <c r="E70" s="42"/>
      <c r="J70" s="17">
        <f t="shared" si="3"/>
        <v>0</v>
      </c>
      <c r="K70" s="2" t="str">
        <f t="shared" si="4"/>
        <v xml:space="preserve"> </v>
      </c>
      <c r="L70" s="2" t="str">
        <f t="shared" si="1"/>
        <v xml:space="preserve"> </v>
      </c>
      <c r="M70" s="2" t="str">
        <f t="shared" si="2"/>
        <v xml:space="preserve"> </v>
      </c>
    </row>
    <row r="71" spans="1:13" x14ac:dyDescent="0.25">
      <c r="A71" s="43" t="str">
        <f t="shared" si="0"/>
        <v xml:space="preserve"> </v>
      </c>
      <c r="D71" s="42"/>
      <c r="E71" s="42"/>
      <c r="J71" s="17">
        <f t="shared" si="3"/>
        <v>0</v>
      </c>
      <c r="K71" s="2" t="str">
        <f t="shared" si="4"/>
        <v xml:space="preserve"> </v>
      </c>
      <c r="L71" s="2" t="str">
        <f t="shared" si="1"/>
        <v xml:space="preserve"> </v>
      </c>
      <c r="M71" s="2" t="str">
        <f t="shared" si="2"/>
        <v xml:space="preserve"> </v>
      </c>
    </row>
    <row r="72" spans="1:13" x14ac:dyDescent="0.25">
      <c r="A72" s="43" t="str">
        <f t="shared" si="0"/>
        <v xml:space="preserve"> </v>
      </c>
      <c r="D72" s="42"/>
      <c r="E72" s="42"/>
      <c r="J72" s="17">
        <f t="shared" si="3"/>
        <v>0</v>
      </c>
      <c r="K72" s="2" t="str">
        <f t="shared" si="4"/>
        <v xml:space="preserve"> </v>
      </c>
      <c r="L72" s="2" t="str">
        <f t="shared" si="1"/>
        <v xml:space="preserve"> </v>
      </c>
      <c r="M72" s="2" t="str">
        <f t="shared" si="2"/>
        <v xml:space="preserve"> </v>
      </c>
    </row>
    <row r="73" spans="1:13" x14ac:dyDescent="0.25">
      <c r="A73" s="43" t="str">
        <f t="shared" si="0"/>
        <v xml:space="preserve"> </v>
      </c>
      <c r="D73" s="42"/>
      <c r="E73" s="42"/>
      <c r="J73" s="17">
        <f t="shared" si="3"/>
        <v>0</v>
      </c>
      <c r="K73" s="2" t="str">
        <f t="shared" si="4"/>
        <v xml:space="preserve"> </v>
      </c>
      <c r="L73" s="2" t="str">
        <f t="shared" si="1"/>
        <v xml:space="preserve"> </v>
      </c>
      <c r="M73" s="2" t="str">
        <f t="shared" si="2"/>
        <v xml:space="preserve"> </v>
      </c>
    </row>
    <row r="74" spans="1:13" x14ac:dyDescent="0.25">
      <c r="A74" s="43" t="str">
        <f t="shared" si="0"/>
        <v xml:space="preserve"> </v>
      </c>
      <c r="D74" s="42"/>
      <c r="E74" s="42"/>
      <c r="J74" s="17">
        <f t="shared" si="3"/>
        <v>0</v>
      </c>
      <c r="K74" s="2" t="str">
        <f t="shared" si="4"/>
        <v xml:space="preserve"> </v>
      </c>
      <c r="L74" s="2" t="str">
        <f t="shared" si="1"/>
        <v xml:space="preserve"> </v>
      </c>
      <c r="M74" s="2" t="str">
        <f t="shared" si="2"/>
        <v xml:space="preserve"> </v>
      </c>
    </row>
    <row r="75" spans="1:13" x14ac:dyDescent="0.25">
      <c r="A75" s="43" t="str">
        <f t="shared" si="0"/>
        <v xml:space="preserve"> </v>
      </c>
      <c r="D75" s="42"/>
      <c r="E75" s="42"/>
      <c r="J75" s="17">
        <f t="shared" si="3"/>
        <v>0</v>
      </c>
      <c r="K75" s="2" t="str">
        <f t="shared" si="4"/>
        <v xml:space="preserve"> </v>
      </c>
      <c r="L75" s="2" t="str">
        <f t="shared" si="1"/>
        <v xml:space="preserve"> </v>
      </c>
      <c r="M75" s="2" t="str">
        <f t="shared" si="2"/>
        <v xml:space="preserve"> </v>
      </c>
    </row>
    <row r="76" spans="1:13" x14ac:dyDescent="0.25">
      <c r="A76" s="43" t="str">
        <f t="shared" si="0"/>
        <v xml:space="preserve"> </v>
      </c>
      <c r="D76" s="42"/>
      <c r="E76" s="42"/>
      <c r="J76" s="17">
        <f t="shared" si="3"/>
        <v>0</v>
      </c>
      <c r="K76" s="2" t="str">
        <f t="shared" si="4"/>
        <v xml:space="preserve"> </v>
      </c>
      <c r="L76" s="2" t="str">
        <f t="shared" si="1"/>
        <v xml:space="preserve"> </v>
      </c>
      <c r="M76" s="2" t="str">
        <f t="shared" si="2"/>
        <v xml:space="preserve"> </v>
      </c>
    </row>
    <row r="77" spans="1:13" x14ac:dyDescent="0.25">
      <c r="A77" s="43" t="str">
        <f t="shared" si="0"/>
        <v xml:space="preserve"> </v>
      </c>
      <c r="D77" s="42"/>
      <c r="E77" s="42"/>
      <c r="J77" s="17">
        <f t="shared" si="3"/>
        <v>0</v>
      </c>
      <c r="K77" s="2" t="str">
        <f t="shared" si="4"/>
        <v xml:space="preserve"> </v>
      </c>
      <c r="L77" s="2" t="str">
        <f t="shared" si="1"/>
        <v xml:space="preserve"> </v>
      </c>
      <c r="M77" s="2" t="str">
        <f t="shared" si="2"/>
        <v xml:space="preserve"> </v>
      </c>
    </row>
    <row r="78" spans="1:13" x14ac:dyDescent="0.25">
      <c r="A78" s="43" t="str">
        <f t="shared" si="0"/>
        <v xml:space="preserve"> </v>
      </c>
      <c r="D78" s="42"/>
      <c r="E78" s="42"/>
      <c r="J78" s="17">
        <f t="shared" si="3"/>
        <v>0</v>
      </c>
      <c r="K78" s="2" t="str">
        <f t="shared" si="4"/>
        <v xml:space="preserve"> </v>
      </c>
      <c r="L78" s="2" t="str">
        <f t="shared" si="1"/>
        <v xml:space="preserve"> </v>
      </c>
      <c r="M78" s="2" t="str">
        <f t="shared" si="2"/>
        <v xml:space="preserve"> </v>
      </c>
    </row>
    <row r="79" spans="1:13" x14ac:dyDescent="0.25">
      <c r="A79" s="43" t="str">
        <f t="shared" ref="A79:A142" si="5">IF(COUNTIF(K79:M79,"ERROR")&gt;0,"ERROR"," ")</f>
        <v xml:space="preserve"> </v>
      </c>
      <c r="D79" s="42"/>
      <c r="E79" s="42"/>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43" t="str">
        <f t="shared" si="5"/>
        <v xml:space="preserve"> </v>
      </c>
      <c r="D80" s="42"/>
      <c r="E80" s="42"/>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3" t="str">
        <f t="shared" si="5"/>
        <v xml:space="preserve"> </v>
      </c>
      <c r="D81" s="42"/>
      <c r="E81" s="42"/>
      <c r="J81" s="17">
        <f t="shared" si="8"/>
        <v>0</v>
      </c>
      <c r="K81" s="2" t="str">
        <f t="shared" si="9"/>
        <v xml:space="preserve"> </v>
      </c>
      <c r="L81" s="2" t="str">
        <f t="shared" si="6"/>
        <v xml:space="preserve"> </v>
      </c>
      <c r="M81" s="2" t="str">
        <f t="shared" si="7"/>
        <v xml:space="preserve"> </v>
      </c>
    </row>
    <row r="82" spans="1:13" x14ac:dyDescent="0.25">
      <c r="A82" s="43" t="str">
        <f t="shared" si="5"/>
        <v xml:space="preserve"> </v>
      </c>
      <c r="D82" s="42"/>
      <c r="E82" s="42"/>
      <c r="J82" s="17">
        <f t="shared" si="8"/>
        <v>0</v>
      </c>
      <c r="K82" s="2" t="str">
        <f t="shared" si="9"/>
        <v xml:space="preserve"> </v>
      </c>
      <c r="L82" s="2" t="str">
        <f t="shared" si="6"/>
        <v xml:space="preserve"> </v>
      </c>
      <c r="M82" s="2" t="str">
        <f t="shared" si="7"/>
        <v xml:space="preserve"> </v>
      </c>
    </row>
    <row r="83" spans="1:13" x14ac:dyDescent="0.25">
      <c r="A83" s="43" t="str">
        <f t="shared" si="5"/>
        <v xml:space="preserve"> </v>
      </c>
      <c r="D83" s="42"/>
      <c r="E83" s="42"/>
      <c r="J83" s="17">
        <f t="shared" si="8"/>
        <v>0</v>
      </c>
      <c r="K83" s="2" t="str">
        <f t="shared" si="9"/>
        <v xml:space="preserve"> </v>
      </c>
      <c r="L83" s="2" t="str">
        <f t="shared" si="6"/>
        <v xml:space="preserve"> </v>
      </c>
      <c r="M83" s="2" t="str">
        <f t="shared" si="7"/>
        <v xml:space="preserve"> </v>
      </c>
    </row>
    <row r="84" spans="1:13" x14ac:dyDescent="0.25">
      <c r="A84" s="43" t="str">
        <f t="shared" si="5"/>
        <v xml:space="preserve"> </v>
      </c>
      <c r="D84" s="42"/>
      <c r="E84" s="42"/>
      <c r="J84" s="17">
        <f t="shared" si="8"/>
        <v>0</v>
      </c>
      <c r="K84" s="2" t="str">
        <f t="shared" si="9"/>
        <v xml:space="preserve"> </v>
      </c>
      <c r="L84" s="2" t="str">
        <f t="shared" si="6"/>
        <v xml:space="preserve"> </v>
      </c>
      <c r="M84" s="2" t="str">
        <f t="shared" si="7"/>
        <v xml:space="preserve"> </v>
      </c>
    </row>
    <row r="85" spans="1:13" x14ac:dyDescent="0.25">
      <c r="A85" s="43" t="str">
        <f t="shared" si="5"/>
        <v xml:space="preserve"> </v>
      </c>
      <c r="D85" s="42"/>
      <c r="E85" s="42"/>
      <c r="J85" s="17">
        <f t="shared" si="8"/>
        <v>0</v>
      </c>
      <c r="K85" s="2" t="str">
        <f t="shared" si="9"/>
        <v xml:space="preserve"> </v>
      </c>
      <c r="L85" s="2" t="str">
        <f t="shared" si="6"/>
        <v xml:space="preserve"> </v>
      </c>
      <c r="M85" s="2" t="str">
        <f t="shared" si="7"/>
        <v xml:space="preserve"> </v>
      </c>
    </row>
    <row r="86" spans="1:13" x14ac:dyDescent="0.25">
      <c r="A86" s="43" t="str">
        <f t="shared" si="5"/>
        <v xml:space="preserve"> </v>
      </c>
      <c r="D86" s="42"/>
      <c r="E86" s="42"/>
      <c r="J86" s="17">
        <f t="shared" si="8"/>
        <v>0</v>
      </c>
      <c r="K86" s="2" t="str">
        <f t="shared" si="9"/>
        <v xml:space="preserve"> </v>
      </c>
      <c r="L86" s="2" t="str">
        <f t="shared" si="6"/>
        <v xml:space="preserve"> </v>
      </c>
      <c r="M86" s="2" t="str">
        <f t="shared" si="7"/>
        <v xml:space="preserve"> </v>
      </c>
    </row>
    <row r="87" spans="1:13" x14ac:dyDescent="0.25">
      <c r="A87" s="43" t="str">
        <f t="shared" si="5"/>
        <v xml:space="preserve"> </v>
      </c>
      <c r="D87" s="42"/>
      <c r="E87" s="42"/>
      <c r="J87" s="17">
        <f t="shared" si="8"/>
        <v>0</v>
      </c>
      <c r="K87" s="2" t="str">
        <f t="shared" si="9"/>
        <v xml:space="preserve"> </v>
      </c>
      <c r="L87" s="2" t="str">
        <f t="shared" si="6"/>
        <v xml:space="preserve"> </v>
      </c>
      <c r="M87" s="2" t="str">
        <f t="shared" si="7"/>
        <v xml:space="preserve"> </v>
      </c>
    </row>
    <row r="88" spans="1:13" x14ac:dyDescent="0.25">
      <c r="A88" s="43" t="str">
        <f t="shared" si="5"/>
        <v xml:space="preserve"> </v>
      </c>
      <c r="D88" s="42"/>
      <c r="E88" s="42"/>
      <c r="J88" s="17">
        <f t="shared" si="8"/>
        <v>0</v>
      </c>
      <c r="K88" s="2" t="str">
        <f t="shared" si="9"/>
        <v xml:space="preserve"> </v>
      </c>
      <c r="L88" s="2" t="str">
        <f t="shared" si="6"/>
        <v xml:space="preserve"> </v>
      </c>
      <c r="M88" s="2" t="str">
        <f t="shared" si="7"/>
        <v xml:space="preserve"> </v>
      </c>
    </row>
    <row r="89" spans="1:13" x14ac:dyDescent="0.25">
      <c r="A89" s="43" t="str">
        <f t="shared" si="5"/>
        <v xml:space="preserve"> </v>
      </c>
      <c r="D89" s="42"/>
      <c r="E89" s="42"/>
      <c r="J89" s="17">
        <f t="shared" si="8"/>
        <v>0</v>
      </c>
      <c r="K89" s="2" t="str">
        <f t="shared" si="9"/>
        <v xml:space="preserve"> </v>
      </c>
      <c r="L89" s="2" t="str">
        <f t="shared" si="6"/>
        <v xml:space="preserve"> </v>
      </c>
      <c r="M89" s="2" t="str">
        <f t="shared" si="7"/>
        <v xml:space="preserve"> </v>
      </c>
    </row>
    <row r="90" spans="1:13" x14ac:dyDescent="0.25">
      <c r="A90" s="43" t="str">
        <f t="shared" si="5"/>
        <v xml:space="preserve"> </v>
      </c>
      <c r="D90" s="42"/>
      <c r="E90" s="42"/>
      <c r="J90" s="17">
        <f t="shared" si="8"/>
        <v>0</v>
      </c>
      <c r="K90" s="2" t="str">
        <f t="shared" si="9"/>
        <v xml:space="preserve"> </v>
      </c>
      <c r="L90" s="2" t="str">
        <f t="shared" si="6"/>
        <v xml:space="preserve"> </v>
      </c>
      <c r="M90" s="2" t="str">
        <f t="shared" si="7"/>
        <v xml:space="preserve"> </v>
      </c>
    </row>
    <row r="91" spans="1:13" x14ac:dyDescent="0.25">
      <c r="A91" s="43" t="str">
        <f t="shared" si="5"/>
        <v xml:space="preserve"> </v>
      </c>
      <c r="D91" s="42"/>
      <c r="E91" s="42"/>
      <c r="J91" s="17">
        <f t="shared" si="8"/>
        <v>0</v>
      </c>
      <c r="K91" s="2" t="str">
        <f t="shared" si="9"/>
        <v xml:space="preserve"> </v>
      </c>
      <c r="L91" s="2" t="str">
        <f t="shared" si="6"/>
        <v xml:space="preserve"> </v>
      </c>
      <c r="M91" s="2" t="str">
        <f t="shared" si="7"/>
        <v xml:space="preserve"> </v>
      </c>
    </row>
    <row r="92" spans="1:13" x14ac:dyDescent="0.25">
      <c r="A92" s="43" t="str">
        <f t="shared" si="5"/>
        <v xml:space="preserve"> </v>
      </c>
      <c r="D92" s="42"/>
      <c r="E92" s="42"/>
      <c r="J92" s="17">
        <f t="shared" si="8"/>
        <v>0</v>
      </c>
      <c r="K92" s="2" t="str">
        <f t="shared" si="9"/>
        <v xml:space="preserve"> </v>
      </c>
      <c r="L92" s="2" t="str">
        <f t="shared" si="6"/>
        <v xml:space="preserve"> </v>
      </c>
      <c r="M92" s="2" t="str">
        <f t="shared" si="7"/>
        <v xml:space="preserve"> </v>
      </c>
    </row>
    <row r="93" spans="1:13" x14ac:dyDescent="0.25">
      <c r="A93" s="43" t="str">
        <f t="shared" si="5"/>
        <v xml:space="preserve"> </v>
      </c>
      <c r="D93" s="42"/>
      <c r="E93" s="42"/>
      <c r="J93" s="17">
        <f t="shared" si="8"/>
        <v>0</v>
      </c>
      <c r="K93" s="2" t="str">
        <f t="shared" si="9"/>
        <v xml:space="preserve"> </v>
      </c>
      <c r="L93" s="2" t="str">
        <f t="shared" si="6"/>
        <v xml:space="preserve"> </v>
      </c>
      <c r="M93" s="2" t="str">
        <f t="shared" si="7"/>
        <v xml:space="preserve"> </v>
      </c>
    </row>
    <row r="94" spans="1:13" x14ac:dyDescent="0.25">
      <c r="A94" s="43" t="str">
        <f t="shared" si="5"/>
        <v xml:space="preserve"> </v>
      </c>
      <c r="D94" s="42"/>
      <c r="E94" s="42"/>
      <c r="J94" s="17">
        <f t="shared" si="8"/>
        <v>0</v>
      </c>
      <c r="K94" s="2" t="str">
        <f t="shared" si="9"/>
        <v xml:space="preserve"> </v>
      </c>
      <c r="L94" s="2" t="str">
        <f t="shared" si="6"/>
        <v xml:space="preserve"> </v>
      </c>
      <c r="M94" s="2" t="str">
        <f t="shared" si="7"/>
        <v xml:space="preserve"> </v>
      </c>
    </row>
    <row r="95" spans="1:13" x14ac:dyDescent="0.25">
      <c r="A95" s="43" t="str">
        <f t="shared" si="5"/>
        <v xml:space="preserve"> </v>
      </c>
      <c r="D95" s="42"/>
      <c r="E95" s="42"/>
      <c r="J95" s="17">
        <f t="shared" si="8"/>
        <v>0</v>
      </c>
      <c r="K95" s="2" t="str">
        <f t="shared" si="9"/>
        <v xml:space="preserve"> </v>
      </c>
      <c r="L95" s="2" t="str">
        <f t="shared" si="6"/>
        <v xml:space="preserve"> </v>
      </c>
      <c r="M95" s="2" t="str">
        <f t="shared" si="7"/>
        <v xml:space="preserve"> </v>
      </c>
    </row>
    <row r="96" spans="1:13" x14ac:dyDescent="0.25">
      <c r="A96" s="43" t="str">
        <f t="shared" si="5"/>
        <v xml:space="preserve"> </v>
      </c>
      <c r="D96" s="42"/>
      <c r="E96" s="42"/>
      <c r="J96" s="17">
        <f t="shared" si="8"/>
        <v>0</v>
      </c>
      <c r="K96" s="2" t="str">
        <f t="shared" si="9"/>
        <v xml:space="preserve"> </v>
      </c>
      <c r="L96" s="2" t="str">
        <f t="shared" si="6"/>
        <v xml:space="preserve"> </v>
      </c>
      <c r="M96" s="2" t="str">
        <f t="shared" si="7"/>
        <v xml:space="preserve"> </v>
      </c>
    </row>
    <row r="97" spans="1:13" x14ac:dyDescent="0.25">
      <c r="A97" s="43" t="str">
        <f t="shared" si="5"/>
        <v xml:space="preserve"> </v>
      </c>
      <c r="D97" s="42"/>
      <c r="E97" s="42"/>
      <c r="J97" s="17">
        <f t="shared" si="8"/>
        <v>0</v>
      </c>
      <c r="K97" s="2" t="str">
        <f t="shared" si="9"/>
        <v xml:space="preserve"> </v>
      </c>
      <c r="L97" s="2" t="str">
        <f t="shared" si="6"/>
        <v xml:space="preserve"> </v>
      </c>
      <c r="M97" s="2" t="str">
        <f t="shared" si="7"/>
        <v xml:space="preserve"> </v>
      </c>
    </row>
    <row r="98" spans="1:13" x14ac:dyDescent="0.25">
      <c r="A98" s="43" t="str">
        <f t="shared" si="5"/>
        <v xml:space="preserve"> </v>
      </c>
      <c r="D98" s="42"/>
      <c r="E98" s="42"/>
      <c r="J98" s="17">
        <f t="shared" si="8"/>
        <v>0</v>
      </c>
      <c r="K98" s="2" t="str">
        <f t="shared" si="9"/>
        <v xml:space="preserve"> </v>
      </c>
      <c r="L98" s="2" t="str">
        <f t="shared" si="6"/>
        <v xml:space="preserve"> </v>
      </c>
      <c r="M98" s="2" t="str">
        <f t="shared" si="7"/>
        <v xml:space="preserve"> </v>
      </c>
    </row>
    <row r="99" spans="1:13" x14ac:dyDescent="0.25">
      <c r="A99" s="43" t="str">
        <f t="shared" si="5"/>
        <v xml:space="preserve"> </v>
      </c>
      <c r="D99" s="42"/>
      <c r="E99" s="42"/>
      <c r="J99" s="17">
        <f t="shared" si="8"/>
        <v>0</v>
      </c>
      <c r="K99" s="2" t="str">
        <f t="shared" si="9"/>
        <v xml:space="preserve"> </v>
      </c>
      <c r="L99" s="2" t="str">
        <f t="shared" si="6"/>
        <v xml:space="preserve"> </v>
      </c>
      <c r="M99" s="2" t="str">
        <f t="shared" si="7"/>
        <v xml:space="preserve"> </v>
      </c>
    </row>
    <row r="100" spans="1:13" x14ac:dyDescent="0.25">
      <c r="A100" s="43" t="str">
        <f t="shared" si="5"/>
        <v xml:space="preserve"> </v>
      </c>
      <c r="D100" s="42"/>
      <c r="E100" s="42"/>
      <c r="J100" s="17">
        <f t="shared" si="8"/>
        <v>0</v>
      </c>
      <c r="K100" s="2" t="str">
        <f t="shared" si="9"/>
        <v xml:space="preserve"> </v>
      </c>
      <c r="L100" s="2" t="str">
        <f t="shared" si="6"/>
        <v xml:space="preserve"> </v>
      </c>
      <c r="M100" s="2" t="str">
        <f t="shared" si="7"/>
        <v xml:space="preserve"> </v>
      </c>
    </row>
    <row r="101" spans="1:13" x14ac:dyDescent="0.25">
      <c r="A101" s="43" t="str">
        <f t="shared" si="5"/>
        <v xml:space="preserve"> </v>
      </c>
      <c r="D101" s="42"/>
      <c r="E101" s="42"/>
      <c r="J101" s="17">
        <f t="shared" si="8"/>
        <v>0</v>
      </c>
      <c r="K101" s="2" t="str">
        <f t="shared" si="9"/>
        <v xml:space="preserve"> </v>
      </c>
      <c r="L101" s="2" t="str">
        <f t="shared" si="6"/>
        <v xml:space="preserve"> </v>
      </c>
      <c r="M101" s="2" t="str">
        <f t="shared" si="7"/>
        <v xml:space="preserve"> </v>
      </c>
    </row>
    <row r="102" spans="1:13" x14ac:dyDescent="0.25">
      <c r="A102" s="43" t="str">
        <f t="shared" si="5"/>
        <v xml:space="preserve"> </v>
      </c>
      <c r="D102" s="42"/>
      <c r="E102" s="42"/>
      <c r="J102" s="17">
        <f t="shared" si="8"/>
        <v>0</v>
      </c>
      <c r="K102" s="2" t="str">
        <f t="shared" si="9"/>
        <v xml:space="preserve"> </v>
      </c>
      <c r="L102" s="2" t="str">
        <f t="shared" si="6"/>
        <v xml:space="preserve"> </v>
      </c>
      <c r="M102" s="2" t="str">
        <f t="shared" si="7"/>
        <v xml:space="preserve"> </v>
      </c>
    </row>
    <row r="103" spans="1:13" x14ac:dyDescent="0.25">
      <c r="A103" s="43" t="str">
        <f t="shared" si="5"/>
        <v xml:space="preserve"> </v>
      </c>
      <c r="D103" s="42"/>
      <c r="E103" s="42"/>
      <c r="J103" s="17">
        <f t="shared" si="8"/>
        <v>0</v>
      </c>
      <c r="K103" s="2" t="str">
        <f t="shared" si="9"/>
        <v xml:space="preserve"> </v>
      </c>
      <c r="L103" s="2" t="str">
        <f t="shared" si="6"/>
        <v xml:space="preserve"> </v>
      </c>
      <c r="M103" s="2" t="str">
        <f t="shared" si="7"/>
        <v xml:space="preserve"> </v>
      </c>
    </row>
    <row r="104" spans="1:13" x14ac:dyDescent="0.25">
      <c r="A104" s="43" t="str">
        <f t="shared" si="5"/>
        <v xml:space="preserve"> </v>
      </c>
      <c r="D104" s="42"/>
      <c r="E104" s="42"/>
      <c r="J104" s="17">
        <f t="shared" si="8"/>
        <v>0</v>
      </c>
      <c r="K104" s="2" t="str">
        <f t="shared" si="9"/>
        <v xml:space="preserve"> </v>
      </c>
      <c r="L104" s="2" t="str">
        <f t="shared" si="6"/>
        <v xml:space="preserve"> </v>
      </c>
      <c r="M104" s="2" t="str">
        <f t="shared" si="7"/>
        <v xml:space="preserve"> </v>
      </c>
    </row>
    <row r="105" spans="1:13" x14ac:dyDescent="0.25">
      <c r="A105" s="43" t="str">
        <f t="shared" si="5"/>
        <v xml:space="preserve"> </v>
      </c>
      <c r="D105" s="42"/>
      <c r="E105" s="42"/>
      <c r="J105" s="17">
        <f t="shared" si="8"/>
        <v>0</v>
      </c>
      <c r="K105" s="2" t="str">
        <f t="shared" si="9"/>
        <v xml:space="preserve"> </v>
      </c>
      <c r="L105" s="2" t="str">
        <f t="shared" si="6"/>
        <v xml:space="preserve"> </v>
      </c>
      <c r="M105" s="2" t="str">
        <f t="shared" si="7"/>
        <v xml:space="preserve"> </v>
      </c>
    </row>
    <row r="106" spans="1:13" x14ac:dyDescent="0.25">
      <c r="A106" s="43" t="str">
        <f t="shared" si="5"/>
        <v xml:space="preserve"> </v>
      </c>
      <c r="D106" s="42"/>
      <c r="E106" s="42"/>
      <c r="J106" s="17">
        <f t="shared" si="8"/>
        <v>0</v>
      </c>
      <c r="K106" s="2" t="str">
        <f t="shared" si="9"/>
        <v xml:space="preserve"> </v>
      </c>
      <c r="L106" s="2" t="str">
        <f t="shared" si="6"/>
        <v xml:space="preserve"> </v>
      </c>
      <c r="M106" s="2" t="str">
        <f t="shared" si="7"/>
        <v xml:space="preserve"> </v>
      </c>
    </row>
    <row r="107" spans="1:13" x14ac:dyDescent="0.25">
      <c r="A107" s="43" t="str">
        <f t="shared" si="5"/>
        <v xml:space="preserve"> </v>
      </c>
      <c r="D107" s="42"/>
      <c r="E107" s="42"/>
      <c r="J107" s="17">
        <f t="shared" si="8"/>
        <v>0</v>
      </c>
      <c r="K107" s="2" t="str">
        <f t="shared" si="9"/>
        <v xml:space="preserve"> </v>
      </c>
      <c r="L107" s="2" t="str">
        <f t="shared" si="6"/>
        <v xml:space="preserve"> </v>
      </c>
      <c r="M107" s="2" t="str">
        <f t="shared" si="7"/>
        <v xml:space="preserve"> </v>
      </c>
    </row>
    <row r="108" spans="1:13" x14ac:dyDescent="0.25">
      <c r="A108" s="43" t="str">
        <f t="shared" si="5"/>
        <v xml:space="preserve"> </v>
      </c>
      <c r="D108" s="42"/>
      <c r="E108" s="42"/>
      <c r="J108" s="17">
        <f t="shared" si="8"/>
        <v>0</v>
      </c>
      <c r="K108" s="2" t="str">
        <f t="shared" si="9"/>
        <v xml:space="preserve"> </v>
      </c>
      <c r="L108" s="2" t="str">
        <f t="shared" si="6"/>
        <v xml:space="preserve"> </v>
      </c>
      <c r="M108" s="2" t="str">
        <f t="shared" si="7"/>
        <v xml:space="preserve"> </v>
      </c>
    </row>
    <row r="109" spans="1:13" x14ac:dyDescent="0.25">
      <c r="A109" s="43" t="str">
        <f t="shared" si="5"/>
        <v xml:space="preserve"> </v>
      </c>
      <c r="D109" s="42"/>
      <c r="E109" s="42"/>
      <c r="J109" s="17">
        <f t="shared" si="8"/>
        <v>0</v>
      </c>
      <c r="K109" s="2" t="str">
        <f t="shared" si="9"/>
        <v xml:space="preserve"> </v>
      </c>
      <c r="L109" s="2" t="str">
        <f t="shared" si="6"/>
        <v xml:space="preserve"> </v>
      </c>
      <c r="M109" s="2" t="str">
        <f t="shared" si="7"/>
        <v xml:space="preserve"> </v>
      </c>
    </row>
    <row r="110" spans="1:13" x14ac:dyDescent="0.25">
      <c r="A110" s="43" t="str">
        <f t="shared" si="5"/>
        <v xml:space="preserve"> </v>
      </c>
      <c r="B110" s="20"/>
      <c r="D110" s="42"/>
      <c r="E110" s="42"/>
      <c r="J110" s="17">
        <f t="shared" si="8"/>
        <v>0</v>
      </c>
      <c r="K110" s="2" t="str">
        <f t="shared" si="9"/>
        <v xml:space="preserve"> </v>
      </c>
      <c r="L110" s="2" t="str">
        <f t="shared" si="6"/>
        <v xml:space="preserve"> </v>
      </c>
      <c r="M110" s="2" t="str">
        <f t="shared" si="7"/>
        <v xml:space="preserve"> </v>
      </c>
    </row>
    <row r="111" spans="1:13" x14ac:dyDescent="0.25">
      <c r="A111" s="43" t="str">
        <f t="shared" si="5"/>
        <v xml:space="preserve"> </v>
      </c>
      <c r="D111" s="42"/>
      <c r="E111" s="42"/>
      <c r="J111" s="17">
        <f t="shared" si="8"/>
        <v>0</v>
      </c>
      <c r="K111" s="2" t="str">
        <f t="shared" si="9"/>
        <v xml:space="preserve"> </v>
      </c>
      <c r="L111" s="2" t="str">
        <f t="shared" si="6"/>
        <v xml:space="preserve"> </v>
      </c>
      <c r="M111" s="2" t="str">
        <f t="shared" si="7"/>
        <v xml:space="preserve"> </v>
      </c>
    </row>
    <row r="112" spans="1:13" x14ac:dyDescent="0.25">
      <c r="A112" s="43" t="str">
        <f t="shared" si="5"/>
        <v xml:space="preserve"> </v>
      </c>
      <c r="D112" s="42"/>
      <c r="E112" s="42"/>
      <c r="J112" s="17">
        <f t="shared" si="8"/>
        <v>0</v>
      </c>
      <c r="K112" s="2" t="str">
        <f t="shared" si="9"/>
        <v xml:space="preserve"> </v>
      </c>
      <c r="L112" s="2" t="str">
        <f t="shared" si="6"/>
        <v xml:space="preserve"> </v>
      </c>
      <c r="M112" s="2" t="str">
        <f t="shared" si="7"/>
        <v xml:space="preserve"> </v>
      </c>
    </row>
    <row r="113" spans="1:13" x14ac:dyDescent="0.25">
      <c r="A113" s="43" t="str">
        <f t="shared" si="5"/>
        <v xml:space="preserve"> </v>
      </c>
      <c r="D113" s="42"/>
      <c r="E113" s="42"/>
      <c r="J113" s="17">
        <f t="shared" si="8"/>
        <v>0</v>
      </c>
      <c r="K113" s="2" t="str">
        <f t="shared" si="9"/>
        <v xml:space="preserve"> </v>
      </c>
      <c r="L113" s="2" t="str">
        <f t="shared" si="6"/>
        <v xml:space="preserve"> </v>
      </c>
      <c r="M113" s="2" t="str">
        <f t="shared" si="7"/>
        <v xml:space="preserve"> </v>
      </c>
    </row>
    <row r="114" spans="1:13" x14ac:dyDescent="0.25">
      <c r="A114" s="43" t="str">
        <f t="shared" si="5"/>
        <v xml:space="preserve"> </v>
      </c>
      <c r="D114" s="42"/>
      <c r="E114" s="42"/>
      <c r="J114" s="17">
        <f t="shared" si="8"/>
        <v>0</v>
      </c>
      <c r="K114" s="2" t="str">
        <f t="shared" si="9"/>
        <v xml:space="preserve"> </v>
      </c>
      <c r="L114" s="2" t="str">
        <f t="shared" si="6"/>
        <v xml:space="preserve"> </v>
      </c>
      <c r="M114" s="2" t="str">
        <f t="shared" si="7"/>
        <v xml:space="preserve"> </v>
      </c>
    </row>
    <row r="115" spans="1:13" x14ac:dyDescent="0.25">
      <c r="A115" s="43" t="str">
        <f t="shared" si="5"/>
        <v xml:space="preserve"> </v>
      </c>
      <c r="D115" s="42"/>
      <c r="E115" s="42"/>
      <c r="J115" s="17">
        <f t="shared" si="8"/>
        <v>0</v>
      </c>
      <c r="K115" s="2" t="str">
        <f t="shared" si="9"/>
        <v xml:space="preserve"> </v>
      </c>
      <c r="L115" s="2" t="str">
        <f t="shared" si="6"/>
        <v xml:space="preserve"> </v>
      </c>
      <c r="M115" s="2" t="str">
        <f t="shared" si="7"/>
        <v xml:space="preserve"> </v>
      </c>
    </row>
    <row r="116" spans="1:13" x14ac:dyDescent="0.25">
      <c r="A116" s="43" t="str">
        <f t="shared" si="5"/>
        <v xml:space="preserve"> </v>
      </c>
      <c r="D116" s="42"/>
      <c r="E116" s="42"/>
      <c r="J116" s="17">
        <f t="shared" si="8"/>
        <v>0</v>
      </c>
      <c r="K116" s="2" t="str">
        <f t="shared" si="9"/>
        <v xml:space="preserve"> </v>
      </c>
      <c r="L116" s="2" t="str">
        <f t="shared" si="6"/>
        <v xml:space="preserve"> </v>
      </c>
      <c r="M116" s="2" t="str">
        <f t="shared" si="7"/>
        <v xml:space="preserve"> </v>
      </c>
    </row>
    <row r="117" spans="1:13" x14ac:dyDescent="0.25">
      <c r="A117" s="43" t="str">
        <f t="shared" si="5"/>
        <v xml:space="preserve"> </v>
      </c>
      <c r="D117" s="42"/>
      <c r="E117" s="42"/>
      <c r="J117" s="17">
        <f t="shared" si="8"/>
        <v>0</v>
      </c>
      <c r="K117" s="2" t="str">
        <f t="shared" si="9"/>
        <v xml:space="preserve"> </v>
      </c>
      <c r="L117" s="2" t="str">
        <f t="shared" si="6"/>
        <v xml:space="preserve"> </v>
      </c>
      <c r="M117" s="2" t="str">
        <f t="shared" si="7"/>
        <v xml:space="preserve"> </v>
      </c>
    </row>
    <row r="118" spans="1:13" x14ac:dyDescent="0.25">
      <c r="A118" s="43" t="str">
        <f t="shared" si="5"/>
        <v xml:space="preserve"> </v>
      </c>
      <c r="D118" s="42"/>
      <c r="E118" s="42"/>
      <c r="J118" s="17">
        <f t="shared" si="8"/>
        <v>0</v>
      </c>
      <c r="K118" s="2" t="str">
        <f t="shared" si="9"/>
        <v xml:space="preserve"> </v>
      </c>
      <c r="L118" s="2" t="str">
        <f t="shared" si="6"/>
        <v xml:space="preserve"> </v>
      </c>
      <c r="M118" s="2" t="str">
        <f t="shared" si="7"/>
        <v xml:space="preserve"> </v>
      </c>
    </row>
    <row r="119" spans="1:13" x14ac:dyDescent="0.25">
      <c r="A119" s="43" t="str">
        <f t="shared" si="5"/>
        <v xml:space="preserve"> </v>
      </c>
      <c r="D119" s="42"/>
      <c r="E119" s="42"/>
      <c r="J119" s="17">
        <f t="shared" si="8"/>
        <v>0</v>
      </c>
      <c r="K119" s="2" t="str">
        <f t="shared" si="9"/>
        <v xml:space="preserve"> </v>
      </c>
      <c r="L119" s="2" t="str">
        <f t="shared" si="6"/>
        <v xml:space="preserve"> </v>
      </c>
      <c r="M119" s="2" t="str">
        <f t="shared" si="7"/>
        <v xml:space="preserve"> </v>
      </c>
    </row>
    <row r="120" spans="1:13" x14ac:dyDescent="0.25">
      <c r="A120" s="43" t="str">
        <f t="shared" si="5"/>
        <v xml:space="preserve"> </v>
      </c>
      <c r="D120" s="42"/>
      <c r="E120" s="42"/>
      <c r="J120" s="17">
        <f t="shared" si="8"/>
        <v>0</v>
      </c>
      <c r="K120" s="2" t="str">
        <f t="shared" si="9"/>
        <v xml:space="preserve"> </v>
      </c>
      <c r="L120" s="2" t="str">
        <f t="shared" si="6"/>
        <v xml:space="preserve"> </v>
      </c>
      <c r="M120" s="2" t="str">
        <f t="shared" si="7"/>
        <v xml:space="preserve"> </v>
      </c>
    </row>
    <row r="121" spans="1:13" x14ac:dyDescent="0.25">
      <c r="A121" s="43" t="str">
        <f t="shared" si="5"/>
        <v xml:space="preserve"> </v>
      </c>
      <c r="D121" s="42"/>
      <c r="E121" s="42"/>
      <c r="J121" s="17">
        <f t="shared" si="8"/>
        <v>0</v>
      </c>
      <c r="K121" s="2" t="str">
        <f t="shared" si="9"/>
        <v xml:space="preserve"> </v>
      </c>
      <c r="L121" s="2" t="str">
        <f t="shared" si="6"/>
        <v xml:space="preserve"> </v>
      </c>
      <c r="M121" s="2" t="str">
        <f t="shared" si="7"/>
        <v xml:space="preserve"> </v>
      </c>
    </row>
    <row r="122" spans="1:13" x14ac:dyDescent="0.25">
      <c r="A122" s="43" t="str">
        <f t="shared" si="5"/>
        <v xml:space="preserve"> </v>
      </c>
      <c r="D122" s="42"/>
      <c r="E122" s="42"/>
      <c r="J122" s="17">
        <f t="shared" si="8"/>
        <v>0</v>
      </c>
      <c r="K122" s="2" t="str">
        <f t="shared" si="9"/>
        <v xml:space="preserve"> </v>
      </c>
      <c r="L122" s="2" t="str">
        <f t="shared" si="6"/>
        <v xml:space="preserve"> </v>
      </c>
      <c r="M122" s="2" t="str">
        <f t="shared" si="7"/>
        <v xml:space="preserve"> </v>
      </c>
    </row>
    <row r="123" spans="1:13" x14ac:dyDescent="0.25">
      <c r="A123" s="43" t="str">
        <f t="shared" si="5"/>
        <v xml:space="preserve"> </v>
      </c>
      <c r="D123" s="42"/>
      <c r="E123" s="42"/>
      <c r="J123" s="17">
        <f t="shared" si="8"/>
        <v>0</v>
      </c>
      <c r="K123" s="2" t="str">
        <f t="shared" si="9"/>
        <v xml:space="preserve"> </v>
      </c>
      <c r="L123" s="2" t="str">
        <f t="shared" si="6"/>
        <v xml:space="preserve"> </v>
      </c>
      <c r="M123" s="2" t="str">
        <f t="shared" si="7"/>
        <v xml:space="preserve"> </v>
      </c>
    </row>
    <row r="124" spans="1:13" x14ac:dyDescent="0.25">
      <c r="A124" s="43" t="str">
        <f t="shared" si="5"/>
        <v xml:space="preserve"> </v>
      </c>
      <c r="C124" s="49"/>
      <c r="D124" s="42"/>
      <c r="E124" s="42"/>
      <c r="J124" s="17">
        <f t="shared" si="8"/>
        <v>0</v>
      </c>
      <c r="K124" s="2" t="str">
        <f t="shared" si="9"/>
        <v xml:space="preserve"> </v>
      </c>
      <c r="L124" s="2" t="str">
        <f t="shared" si="6"/>
        <v xml:space="preserve"> </v>
      </c>
      <c r="M124" s="2" t="str">
        <f t="shared" si="7"/>
        <v xml:space="preserve"> </v>
      </c>
    </row>
    <row r="125" spans="1:13" x14ac:dyDescent="0.25">
      <c r="A125" s="43" t="str">
        <f t="shared" si="5"/>
        <v xml:space="preserve"> </v>
      </c>
      <c r="D125" s="42"/>
      <c r="E125" s="42"/>
      <c r="J125" s="17">
        <f t="shared" si="8"/>
        <v>0</v>
      </c>
      <c r="K125" s="2" t="str">
        <f t="shared" si="9"/>
        <v xml:space="preserve"> </v>
      </c>
      <c r="L125" s="2" t="str">
        <f t="shared" si="6"/>
        <v xml:space="preserve"> </v>
      </c>
      <c r="M125" s="2" t="str">
        <f t="shared" si="7"/>
        <v xml:space="preserve"> </v>
      </c>
    </row>
    <row r="126" spans="1:13" x14ac:dyDescent="0.25">
      <c r="A126" s="43" t="str">
        <f t="shared" si="5"/>
        <v xml:space="preserve"> </v>
      </c>
      <c r="D126" s="42"/>
      <c r="E126" s="42"/>
      <c r="J126" s="17">
        <f t="shared" si="8"/>
        <v>0</v>
      </c>
      <c r="K126" s="2" t="str">
        <f t="shared" si="9"/>
        <v xml:space="preserve"> </v>
      </c>
      <c r="L126" s="2" t="str">
        <f t="shared" si="6"/>
        <v xml:space="preserve"> </v>
      </c>
      <c r="M126" s="2" t="str">
        <f t="shared" si="7"/>
        <v xml:space="preserve"> </v>
      </c>
    </row>
    <row r="127" spans="1:13" x14ac:dyDescent="0.25">
      <c r="A127" s="43" t="str">
        <f t="shared" si="5"/>
        <v xml:space="preserve"> </v>
      </c>
      <c r="D127" s="42"/>
      <c r="E127" s="42"/>
      <c r="J127" s="17">
        <f t="shared" si="8"/>
        <v>0</v>
      </c>
      <c r="K127" s="2" t="str">
        <f t="shared" si="9"/>
        <v xml:space="preserve"> </v>
      </c>
      <c r="L127" s="2" t="str">
        <f t="shared" si="6"/>
        <v xml:space="preserve"> </v>
      </c>
      <c r="M127" s="2" t="str">
        <f t="shared" si="7"/>
        <v xml:space="preserve"> </v>
      </c>
    </row>
    <row r="128" spans="1:13" x14ac:dyDescent="0.25">
      <c r="A128" s="43" t="str">
        <f t="shared" si="5"/>
        <v xml:space="preserve"> </v>
      </c>
      <c r="D128" s="42"/>
      <c r="E128" s="42"/>
      <c r="J128" s="17">
        <f t="shared" si="8"/>
        <v>0</v>
      </c>
      <c r="K128" s="2" t="str">
        <f t="shared" si="9"/>
        <v xml:space="preserve"> </v>
      </c>
      <c r="L128" s="2" t="str">
        <f t="shared" si="6"/>
        <v xml:space="preserve"> </v>
      </c>
      <c r="M128" s="2" t="str">
        <f t="shared" si="7"/>
        <v xml:space="preserve"> </v>
      </c>
    </row>
    <row r="129" spans="1:13" x14ac:dyDescent="0.25">
      <c r="A129" s="43" t="str">
        <f t="shared" si="5"/>
        <v xml:space="preserve"> </v>
      </c>
      <c r="D129" s="42"/>
      <c r="E129" s="42"/>
      <c r="J129" s="17">
        <f t="shared" si="8"/>
        <v>0</v>
      </c>
      <c r="K129" s="2" t="str">
        <f t="shared" si="9"/>
        <v xml:space="preserve"> </v>
      </c>
      <c r="L129" s="2" t="str">
        <f t="shared" si="6"/>
        <v xml:space="preserve"> </v>
      </c>
      <c r="M129" s="2" t="str">
        <f t="shared" si="7"/>
        <v xml:space="preserve"> </v>
      </c>
    </row>
    <row r="130" spans="1:13" x14ac:dyDescent="0.25">
      <c r="A130" s="43" t="str">
        <f t="shared" si="5"/>
        <v xml:space="preserve"> </v>
      </c>
      <c r="D130" s="42"/>
      <c r="E130" s="42"/>
      <c r="J130" s="17">
        <f t="shared" si="8"/>
        <v>0</v>
      </c>
      <c r="K130" s="2" t="str">
        <f t="shared" si="9"/>
        <v xml:space="preserve"> </v>
      </c>
      <c r="L130" s="2" t="str">
        <f t="shared" si="6"/>
        <v xml:space="preserve"> </v>
      </c>
      <c r="M130" s="2" t="str">
        <f t="shared" si="7"/>
        <v xml:space="preserve"> </v>
      </c>
    </row>
    <row r="131" spans="1:13" x14ac:dyDescent="0.25">
      <c r="A131" s="43" t="str">
        <f t="shared" si="5"/>
        <v xml:space="preserve"> </v>
      </c>
      <c r="D131" s="42"/>
      <c r="E131" s="42"/>
      <c r="J131" s="17">
        <f t="shared" si="8"/>
        <v>0</v>
      </c>
      <c r="K131" s="2" t="str">
        <f t="shared" si="9"/>
        <v xml:space="preserve"> </v>
      </c>
      <c r="L131" s="2" t="str">
        <f t="shared" si="6"/>
        <v xml:space="preserve"> </v>
      </c>
      <c r="M131" s="2" t="str">
        <f t="shared" si="7"/>
        <v xml:space="preserve"> </v>
      </c>
    </row>
    <row r="132" spans="1:13" x14ac:dyDescent="0.25">
      <c r="A132" s="43" t="str">
        <f t="shared" si="5"/>
        <v xml:space="preserve"> </v>
      </c>
      <c r="D132" s="42"/>
      <c r="E132" s="42"/>
      <c r="J132" s="17">
        <f t="shared" si="8"/>
        <v>0</v>
      </c>
      <c r="K132" s="2" t="str">
        <f t="shared" si="9"/>
        <v xml:space="preserve"> </v>
      </c>
      <c r="L132" s="2" t="str">
        <f t="shared" si="6"/>
        <v xml:space="preserve"> </v>
      </c>
      <c r="M132" s="2" t="str">
        <f t="shared" si="7"/>
        <v xml:space="preserve"> </v>
      </c>
    </row>
    <row r="133" spans="1:13" x14ac:dyDescent="0.25">
      <c r="A133" s="43" t="str">
        <f t="shared" si="5"/>
        <v xml:space="preserve"> </v>
      </c>
      <c r="D133" s="42"/>
      <c r="E133" s="42"/>
      <c r="J133" s="17">
        <f t="shared" si="8"/>
        <v>0</v>
      </c>
      <c r="K133" s="2" t="str">
        <f t="shared" si="9"/>
        <v xml:space="preserve"> </v>
      </c>
      <c r="L133" s="2" t="str">
        <f t="shared" si="6"/>
        <v xml:space="preserve"> </v>
      </c>
      <c r="M133" s="2" t="str">
        <f t="shared" si="7"/>
        <v xml:space="preserve"> </v>
      </c>
    </row>
    <row r="134" spans="1:13" x14ac:dyDescent="0.25">
      <c r="A134" s="43" t="str">
        <f t="shared" si="5"/>
        <v xml:space="preserve"> </v>
      </c>
      <c r="D134" s="42"/>
      <c r="E134" s="42"/>
      <c r="J134" s="17">
        <f t="shared" si="8"/>
        <v>0</v>
      </c>
      <c r="K134" s="2" t="str">
        <f t="shared" si="9"/>
        <v xml:space="preserve"> </v>
      </c>
      <c r="L134" s="2" t="str">
        <f t="shared" si="6"/>
        <v xml:space="preserve"> </v>
      </c>
      <c r="M134" s="2" t="str">
        <f t="shared" si="7"/>
        <v xml:space="preserve"> </v>
      </c>
    </row>
    <row r="135" spans="1:13" x14ac:dyDescent="0.25">
      <c r="A135" s="43" t="str">
        <f t="shared" si="5"/>
        <v xml:space="preserve"> </v>
      </c>
      <c r="D135" s="42"/>
      <c r="E135" s="42"/>
      <c r="J135" s="17">
        <f t="shared" si="8"/>
        <v>0</v>
      </c>
      <c r="K135" s="2" t="str">
        <f t="shared" si="9"/>
        <v xml:space="preserve"> </v>
      </c>
      <c r="L135" s="2" t="str">
        <f t="shared" si="6"/>
        <v xml:space="preserve"> </v>
      </c>
      <c r="M135" s="2" t="str">
        <f t="shared" si="7"/>
        <v xml:space="preserve"> </v>
      </c>
    </row>
    <row r="136" spans="1:13" x14ac:dyDescent="0.25">
      <c r="A136" s="43" t="str">
        <f t="shared" si="5"/>
        <v xml:space="preserve"> </v>
      </c>
      <c r="D136" s="42"/>
      <c r="E136" s="42"/>
      <c r="J136" s="17">
        <f t="shared" si="8"/>
        <v>0</v>
      </c>
      <c r="K136" s="2" t="str">
        <f t="shared" si="9"/>
        <v xml:space="preserve"> </v>
      </c>
      <c r="L136" s="2" t="str">
        <f t="shared" si="6"/>
        <v xml:space="preserve"> </v>
      </c>
      <c r="M136" s="2" t="str">
        <f t="shared" si="7"/>
        <v xml:space="preserve"> </v>
      </c>
    </row>
    <row r="137" spans="1:13" x14ac:dyDescent="0.25">
      <c r="A137" s="43" t="str">
        <f t="shared" si="5"/>
        <v xml:space="preserve"> </v>
      </c>
      <c r="D137" s="42"/>
      <c r="E137" s="42"/>
      <c r="J137" s="17">
        <f t="shared" si="8"/>
        <v>0</v>
      </c>
      <c r="K137" s="2" t="str">
        <f t="shared" si="9"/>
        <v xml:space="preserve"> </v>
      </c>
      <c r="L137" s="2" t="str">
        <f t="shared" si="6"/>
        <v xml:space="preserve"> </v>
      </c>
      <c r="M137" s="2" t="str">
        <f t="shared" si="7"/>
        <v xml:space="preserve"> </v>
      </c>
    </row>
    <row r="138" spans="1:13" x14ac:dyDescent="0.25">
      <c r="A138" s="43" t="str">
        <f t="shared" si="5"/>
        <v xml:space="preserve"> </v>
      </c>
      <c r="D138" s="42"/>
      <c r="E138" s="42"/>
      <c r="J138" s="17">
        <f t="shared" si="8"/>
        <v>0</v>
      </c>
      <c r="K138" s="2" t="str">
        <f t="shared" si="9"/>
        <v xml:space="preserve"> </v>
      </c>
      <c r="L138" s="2" t="str">
        <f t="shared" si="6"/>
        <v xml:space="preserve"> </v>
      </c>
      <c r="M138" s="2" t="str">
        <f t="shared" si="7"/>
        <v xml:space="preserve"> </v>
      </c>
    </row>
    <row r="139" spans="1:13" x14ac:dyDescent="0.25">
      <c r="A139" s="43" t="str">
        <f t="shared" si="5"/>
        <v xml:space="preserve"> </v>
      </c>
      <c r="D139" s="42"/>
      <c r="E139" s="42"/>
      <c r="J139" s="17">
        <f t="shared" si="8"/>
        <v>0</v>
      </c>
      <c r="K139" s="2" t="str">
        <f t="shared" si="9"/>
        <v xml:space="preserve"> </v>
      </c>
      <c r="L139" s="2" t="str">
        <f t="shared" si="6"/>
        <v xml:space="preserve"> </v>
      </c>
      <c r="M139" s="2" t="str">
        <f t="shared" si="7"/>
        <v xml:space="preserve"> </v>
      </c>
    </row>
    <row r="140" spans="1:13" x14ac:dyDescent="0.25">
      <c r="A140" s="43" t="str">
        <f t="shared" si="5"/>
        <v xml:space="preserve"> </v>
      </c>
      <c r="D140" s="42"/>
      <c r="E140" s="42"/>
      <c r="J140" s="17">
        <f t="shared" si="8"/>
        <v>0</v>
      </c>
      <c r="K140" s="2" t="str">
        <f t="shared" si="9"/>
        <v xml:space="preserve"> </v>
      </c>
      <c r="L140" s="2" t="str">
        <f t="shared" si="6"/>
        <v xml:space="preserve"> </v>
      </c>
      <c r="M140" s="2" t="str">
        <f t="shared" si="7"/>
        <v xml:space="preserve"> </v>
      </c>
    </row>
    <row r="141" spans="1:13" x14ac:dyDescent="0.25">
      <c r="A141" s="43" t="str">
        <f t="shared" si="5"/>
        <v xml:space="preserve"> </v>
      </c>
      <c r="D141" s="42"/>
      <c r="E141" s="42"/>
      <c r="J141" s="17">
        <f t="shared" si="8"/>
        <v>0</v>
      </c>
      <c r="K141" s="2" t="str">
        <f t="shared" si="9"/>
        <v xml:space="preserve"> </v>
      </c>
      <c r="L141" s="2" t="str">
        <f t="shared" si="6"/>
        <v xml:space="preserve"> </v>
      </c>
      <c r="M141" s="2" t="str">
        <f t="shared" si="7"/>
        <v xml:space="preserve"> </v>
      </c>
    </row>
    <row r="142" spans="1:13" x14ac:dyDescent="0.25">
      <c r="A142" s="43" t="str">
        <f t="shared" si="5"/>
        <v xml:space="preserve"> </v>
      </c>
      <c r="D142" s="42"/>
      <c r="E142" s="42"/>
      <c r="J142" s="17">
        <f t="shared" si="8"/>
        <v>0</v>
      </c>
      <c r="K142" s="2" t="str">
        <f t="shared" si="9"/>
        <v xml:space="preserve"> </v>
      </c>
      <c r="L142" s="2" t="str">
        <f t="shared" si="6"/>
        <v xml:space="preserve"> </v>
      </c>
      <c r="M142" s="2" t="str">
        <f t="shared" si="7"/>
        <v xml:space="preserve"> </v>
      </c>
    </row>
    <row r="143" spans="1:13" x14ac:dyDescent="0.25">
      <c r="A143" s="43" t="str">
        <f t="shared" ref="A143:A206" si="10">IF(COUNTIF(K143:M143,"ERROR")&gt;0,"ERROR"," ")</f>
        <v xml:space="preserve"> </v>
      </c>
      <c r="D143" s="42"/>
      <c r="E143" s="42"/>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43" t="str">
        <f t="shared" si="10"/>
        <v xml:space="preserve"> </v>
      </c>
      <c r="D144" s="42"/>
      <c r="E144" s="42"/>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3" t="str">
        <f t="shared" si="10"/>
        <v xml:space="preserve"> </v>
      </c>
      <c r="D145" s="42"/>
      <c r="E145" s="42"/>
      <c r="J145" s="17">
        <f t="shared" si="13"/>
        <v>0</v>
      </c>
      <c r="K145" s="2" t="str">
        <f t="shared" si="14"/>
        <v xml:space="preserve"> </v>
      </c>
      <c r="L145" s="2" t="str">
        <f t="shared" si="11"/>
        <v xml:space="preserve"> </v>
      </c>
      <c r="M145" s="2" t="str">
        <f t="shared" si="12"/>
        <v xml:space="preserve"> </v>
      </c>
    </row>
    <row r="146" spans="1:13" x14ac:dyDescent="0.25">
      <c r="A146" s="43" t="str">
        <f t="shared" si="10"/>
        <v xml:space="preserve"> </v>
      </c>
      <c r="D146" s="42"/>
      <c r="E146" s="42"/>
      <c r="J146" s="17">
        <f t="shared" si="13"/>
        <v>0</v>
      </c>
      <c r="K146" s="2" t="str">
        <f t="shared" si="14"/>
        <v xml:space="preserve"> </v>
      </c>
      <c r="L146" s="2" t="str">
        <f t="shared" si="11"/>
        <v xml:space="preserve"> </v>
      </c>
      <c r="M146" s="2" t="str">
        <f t="shared" si="12"/>
        <v xml:space="preserve"> </v>
      </c>
    </row>
    <row r="147" spans="1:13" x14ac:dyDescent="0.25">
      <c r="A147" s="43" t="str">
        <f t="shared" si="10"/>
        <v xml:space="preserve"> </v>
      </c>
      <c r="D147" s="42"/>
      <c r="E147" s="42"/>
      <c r="J147" s="17">
        <f t="shared" si="13"/>
        <v>0</v>
      </c>
      <c r="K147" s="2" t="str">
        <f t="shared" si="14"/>
        <v xml:space="preserve"> </v>
      </c>
      <c r="L147" s="2" t="str">
        <f t="shared" si="11"/>
        <v xml:space="preserve"> </v>
      </c>
      <c r="M147" s="2" t="str">
        <f t="shared" si="12"/>
        <v xml:space="preserve"> </v>
      </c>
    </row>
    <row r="148" spans="1:13" x14ac:dyDescent="0.25">
      <c r="A148" s="43" t="str">
        <f t="shared" si="10"/>
        <v xml:space="preserve"> </v>
      </c>
      <c r="D148" s="42"/>
      <c r="E148" s="42"/>
      <c r="J148" s="17">
        <f t="shared" si="13"/>
        <v>0</v>
      </c>
      <c r="K148" s="2" t="str">
        <f t="shared" si="14"/>
        <v xml:space="preserve"> </v>
      </c>
      <c r="L148" s="2" t="str">
        <f t="shared" si="11"/>
        <v xml:space="preserve"> </v>
      </c>
      <c r="M148" s="2" t="str">
        <f t="shared" si="12"/>
        <v xml:space="preserve"> </v>
      </c>
    </row>
    <row r="149" spans="1:13" x14ac:dyDescent="0.25">
      <c r="A149" s="43" t="str">
        <f t="shared" si="10"/>
        <v xml:space="preserve"> </v>
      </c>
      <c r="D149" s="42"/>
      <c r="E149" s="42"/>
      <c r="J149" s="17">
        <f t="shared" si="13"/>
        <v>0</v>
      </c>
      <c r="K149" s="2" t="str">
        <f t="shared" si="14"/>
        <v xml:space="preserve"> </v>
      </c>
      <c r="L149" s="2" t="str">
        <f t="shared" si="11"/>
        <v xml:space="preserve"> </v>
      </c>
      <c r="M149" s="2" t="str">
        <f t="shared" si="12"/>
        <v xml:space="preserve"> </v>
      </c>
    </row>
    <row r="150" spans="1:13" x14ac:dyDescent="0.25">
      <c r="A150" s="43" t="str">
        <f t="shared" si="10"/>
        <v xml:space="preserve"> </v>
      </c>
      <c r="D150" s="42"/>
      <c r="E150" s="42"/>
      <c r="J150" s="17">
        <f t="shared" si="13"/>
        <v>0</v>
      </c>
      <c r="K150" s="2" t="str">
        <f t="shared" si="14"/>
        <v xml:space="preserve"> </v>
      </c>
      <c r="L150" s="2" t="str">
        <f t="shared" si="11"/>
        <v xml:space="preserve"> </v>
      </c>
      <c r="M150" s="2" t="str">
        <f t="shared" si="12"/>
        <v xml:space="preserve"> </v>
      </c>
    </row>
    <row r="151" spans="1:13" x14ac:dyDescent="0.25">
      <c r="A151" s="43" t="str">
        <f t="shared" si="10"/>
        <v xml:space="preserve"> </v>
      </c>
      <c r="D151" s="42"/>
      <c r="E151" s="42"/>
      <c r="J151" s="17">
        <f t="shared" si="13"/>
        <v>0</v>
      </c>
      <c r="K151" s="2" t="str">
        <f t="shared" si="14"/>
        <v xml:space="preserve"> </v>
      </c>
      <c r="L151" s="2" t="str">
        <f t="shared" si="11"/>
        <v xml:space="preserve"> </v>
      </c>
      <c r="M151" s="2" t="str">
        <f t="shared" si="12"/>
        <v xml:space="preserve"> </v>
      </c>
    </row>
    <row r="152" spans="1:13" x14ac:dyDescent="0.25">
      <c r="A152" s="43" t="str">
        <f t="shared" si="10"/>
        <v xml:space="preserve"> </v>
      </c>
      <c r="D152" s="42"/>
      <c r="E152" s="42"/>
      <c r="J152" s="17">
        <f t="shared" si="13"/>
        <v>0</v>
      </c>
      <c r="K152" s="2" t="str">
        <f t="shared" si="14"/>
        <v xml:space="preserve"> </v>
      </c>
      <c r="L152" s="2" t="str">
        <f t="shared" si="11"/>
        <v xml:space="preserve"> </v>
      </c>
      <c r="M152" s="2" t="str">
        <f t="shared" si="12"/>
        <v xml:space="preserve"> </v>
      </c>
    </row>
    <row r="153" spans="1:13" x14ac:dyDescent="0.25">
      <c r="A153" s="43" t="str">
        <f t="shared" si="10"/>
        <v xml:space="preserve"> </v>
      </c>
      <c r="D153" s="42"/>
      <c r="E153" s="42"/>
      <c r="J153" s="17">
        <f t="shared" si="13"/>
        <v>0</v>
      </c>
      <c r="K153" s="2" t="str">
        <f t="shared" si="14"/>
        <v xml:space="preserve"> </v>
      </c>
      <c r="L153" s="2" t="str">
        <f t="shared" si="11"/>
        <v xml:space="preserve"> </v>
      </c>
      <c r="M153" s="2" t="str">
        <f t="shared" si="12"/>
        <v xml:space="preserve"> </v>
      </c>
    </row>
    <row r="154" spans="1:13" x14ac:dyDescent="0.25">
      <c r="A154" s="43" t="str">
        <f t="shared" si="10"/>
        <v xml:space="preserve"> </v>
      </c>
      <c r="D154" s="42"/>
      <c r="E154" s="42"/>
      <c r="J154" s="17">
        <f t="shared" si="13"/>
        <v>0</v>
      </c>
      <c r="K154" s="2" t="str">
        <f t="shared" si="14"/>
        <v xml:space="preserve"> </v>
      </c>
      <c r="L154" s="2" t="str">
        <f t="shared" si="11"/>
        <v xml:space="preserve"> </v>
      </c>
      <c r="M154" s="2" t="str">
        <f t="shared" si="12"/>
        <v xml:space="preserve"> </v>
      </c>
    </row>
    <row r="155" spans="1:13" x14ac:dyDescent="0.25">
      <c r="A155" s="43" t="str">
        <f t="shared" si="10"/>
        <v xml:space="preserve"> </v>
      </c>
      <c r="D155" s="42"/>
      <c r="E155" s="42"/>
      <c r="J155" s="17">
        <f t="shared" si="13"/>
        <v>0</v>
      </c>
      <c r="K155" s="2" t="str">
        <f t="shared" si="14"/>
        <v xml:space="preserve"> </v>
      </c>
      <c r="L155" s="2" t="str">
        <f t="shared" si="11"/>
        <v xml:space="preserve"> </v>
      </c>
      <c r="M155" s="2" t="str">
        <f t="shared" si="12"/>
        <v xml:space="preserve"> </v>
      </c>
    </row>
    <row r="156" spans="1:13" x14ac:dyDescent="0.25">
      <c r="A156" s="43" t="str">
        <f t="shared" si="10"/>
        <v xml:space="preserve"> </v>
      </c>
      <c r="D156" s="42"/>
      <c r="E156" s="42"/>
      <c r="J156" s="17">
        <f t="shared" si="13"/>
        <v>0</v>
      </c>
      <c r="K156" s="2" t="str">
        <f t="shared" si="14"/>
        <v xml:space="preserve"> </v>
      </c>
      <c r="L156" s="2" t="str">
        <f t="shared" si="11"/>
        <v xml:space="preserve"> </v>
      </c>
      <c r="M156" s="2" t="str">
        <f t="shared" si="12"/>
        <v xml:space="preserve"> </v>
      </c>
    </row>
    <row r="157" spans="1:13" x14ac:dyDescent="0.25">
      <c r="A157" s="43" t="str">
        <f t="shared" si="10"/>
        <v xml:space="preserve"> </v>
      </c>
      <c r="D157" s="42"/>
      <c r="E157" s="42"/>
      <c r="J157" s="17">
        <f t="shared" si="13"/>
        <v>0</v>
      </c>
      <c r="K157" s="2" t="str">
        <f t="shared" si="14"/>
        <v xml:space="preserve"> </v>
      </c>
      <c r="L157" s="2" t="str">
        <f t="shared" si="11"/>
        <v xml:space="preserve"> </v>
      </c>
      <c r="M157" s="2" t="str">
        <f t="shared" si="12"/>
        <v xml:space="preserve"> </v>
      </c>
    </row>
    <row r="158" spans="1:13" x14ac:dyDescent="0.25">
      <c r="A158" s="43" t="str">
        <f t="shared" si="10"/>
        <v xml:space="preserve"> </v>
      </c>
      <c r="D158" s="42"/>
      <c r="E158" s="42"/>
      <c r="J158" s="17">
        <f t="shared" si="13"/>
        <v>0</v>
      </c>
      <c r="K158" s="2" t="str">
        <f t="shared" si="14"/>
        <v xml:space="preserve"> </v>
      </c>
      <c r="L158" s="2" t="str">
        <f t="shared" si="11"/>
        <v xml:space="preserve"> </v>
      </c>
      <c r="M158" s="2" t="str">
        <f t="shared" si="12"/>
        <v xml:space="preserve"> </v>
      </c>
    </row>
    <row r="159" spans="1:13" x14ac:dyDescent="0.25">
      <c r="A159" s="43" t="str">
        <f t="shared" si="10"/>
        <v xml:space="preserve"> </v>
      </c>
      <c r="D159" s="42"/>
      <c r="E159" s="42"/>
      <c r="J159" s="17">
        <f t="shared" si="13"/>
        <v>0</v>
      </c>
      <c r="K159" s="2" t="str">
        <f t="shared" si="14"/>
        <v xml:space="preserve"> </v>
      </c>
      <c r="L159" s="2" t="str">
        <f t="shared" si="11"/>
        <v xml:space="preserve"> </v>
      </c>
      <c r="M159" s="2" t="str">
        <f t="shared" si="12"/>
        <v xml:space="preserve"> </v>
      </c>
    </row>
    <row r="160" spans="1:13" x14ac:dyDescent="0.25">
      <c r="A160" s="43" t="str">
        <f t="shared" si="10"/>
        <v xml:space="preserve"> </v>
      </c>
      <c r="D160" s="42"/>
      <c r="E160" s="42"/>
      <c r="J160" s="17">
        <f t="shared" si="13"/>
        <v>0</v>
      </c>
      <c r="K160" s="2" t="str">
        <f t="shared" si="14"/>
        <v xml:space="preserve"> </v>
      </c>
      <c r="L160" s="2" t="str">
        <f t="shared" si="11"/>
        <v xml:space="preserve"> </v>
      </c>
      <c r="M160" s="2" t="str">
        <f t="shared" si="12"/>
        <v xml:space="preserve"> </v>
      </c>
    </row>
    <row r="161" spans="1:13" x14ac:dyDescent="0.25">
      <c r="A161" s="43" t="str">
        <f t="shared" si="10"/>
        <v xml:space="preserve"> </v>
      </c>
      <c r="D161" s="42"/>
      <c r="E161" s="42"/>
      <c r="J161" s="17">
        <f t="shared" si="13"/>
        <v>0</v>
      </c>
      <c r="K161" s="2" t="str">
        <f t="shared" si="14"/>
        <v xml:space="preserve"> </v>
      </c>
      <c r="L161" s="2" t="str">
        <f t="shared" si="11"/>
        <v xml:space="preserve"> </v>
      </c>
      <c r="M161" s="2" t="str">
        <f t="shared" si="12"/>
        <v xml:space="preserve"> </v>
      </c>
    </row>
    <row r="162" spans="1:13" x14ac:dyDescent="0.25">
      <c r="A162" s="43" t="str">
        <f t="shared" si="10"/>
        <v xml:space="preserve"> </v>
      </c>
      <c r="D162" s="42"/>
      <c r="E162" s="42"/>
      <c r="J162" s="17">
        <f t="shared" si="13"/>
        <v>0</v>
      </c>
      <c r="K162" s="2" t="str">
        <f t="shared" si="14"/>
        <v xml:space="preserve"> </v>
      </c>
      <c r="L162" s="2" t="str">
        <f t="shared" si="11"/>
        <v xml:space="preserve"> </v>
      </c>
      <c r="M162" s="2" t="str">
        <f t="shared" si="12"/>
        <v xml:space="preserve"> </v>
      </c>
    </row>
    <row r="163" spans="1:13" x14ac:dyDescent="0.25">
      <c r="A163" s="43" t="str">
        <f t="shared" si="10"/>
        <v xml:space="preserve"> </v>
      </c>
      <c r="D163" s="42"/>
      <c r="E163" s="42"/>
      <c r="J163" s="17">
        <f t="shared" si="13"/>
        <v>0</v>
      </c>
      <c r="K163" s="2" t="str">
        <f t="shared" si="14"/>
        <v xml:space="preserve"> </v>
      </c>
      <c r="L163" s="2" t="str">
        <f t="shared" si="11"/>
        <v xml:space="preserve"> </v>
      </c>
      <c r="M163" s="2" t="str">
        <f t="shared" si="12"/>
        <v xml:space="preserve"> </v>
      </c>
    </row>
    <row r="164" spans="1:13" x14ac:dyDescent="0.25">
      <c r="A164" s="43" t="str">
        <f t="shared" si="10"/>
        <v xml:space="preserve"> </v>
      </c>
      <c r="D164" s="42"/>
      <c r="E164" s="42"/>
      <c r="J164" s="17">
        <f t="shared" si="13"/>
        <v>0</v>
      </c>
      <c r="K164" s="2" t="str">
        <f t="shared" si="14"/>
        <v xml:space="preserve"> </v>
      </c>
      <c r="L164" s="2" t="str">
        <f t="shared" si="11"/>
        <v xml:space="preserve"> </v>
      </c>
      <c r="M164" s="2" t="str">
        <f t="shared" si="12"/>
        <v xml:space="preserve"> </v>
      </c>
    </row>
    <row r="165" spans="1:13" x14ac:dyDescent="0.25">
      <c r="A165" s="43" t="str">
        <f t="shared" si="10"/>
        <v xml:space="preserve"> </v>
      </c>
      <c r="D165" s="42"/>
      <c r="E165" s="42"/>
      <c r="J165" s="17">
        <f t="shared" si="13"/>
        <v>0</v>
      </c>
      <c r="K165" s="2" t="str">
        <f t="shared" si="14"/>
        <v xml:space="preserve"> </v>
      </c>
      <c r="L165" s="2" t="str">
        <f t="shared" si="11"/>
        <v xml:space="preserve"> </v>
      </c>
      <c r="M165" s="2" t="str">
        <f t="shared" si="12"/>
        <v xml:space="preserve"> </v>
      </c>
    </row>
    <row r="166" spans="1:13" x14ac:dyDescent="0.25">
      <c r="A166" s="43" t="str">
        <f t="shared" si="10"/>
        <v xml:space="preserve"> </v>
      </c>
      <c r="D166" s="42"/>
      <c r="E166" s="42"/>
      <c r="J166" s="17">
        <f t="shared" si="13"/>
        <v>0</v>
      </c>
      <c r="K166" s="2" t="str">
        <f t="shared" si="14"/>
        <v xml:space="preserve"> </v>
      </c>
      <c r="L166" s="2" t="str">
        <f t="shared" si="11"/>
        <v xml:space="preserve"> </v>
      </c>
      <c r="M166" s="2" t="str">
        <f t="shared" si="12"/>
        <v xml:space="preserve"> </v>
      </c>
    </row>
    <row r="167" spans="1:13" x14ac:dyDescent="0.25">
      <c r="A167" s="43" t="str">
        <f t="shared" si="10"/>
        <v xml:space="preserve"> </v>
      </c>
      <c r="D167" s="42"/>
      <c r="E167" s="42"/>
      <c r="J167" s="17">
        <f t="shared" si="13"/>
        <v>0</v>
      </c>
      <c r="K167" s="2" t="str">
        <f t="shared" si="14"/>
        <v xml:space="preserve"> </v>
      </c>
      <c r="L167" s="2" t="str">
        <f t="shared" si="11"/>
        <v xml:space="preserve"> </v>
      </c>
      <c r="M167" s="2" t="str">
        <f t="shared" si="12"/>
        <v xml:space="preserve"> </v>
      </c>
    </row>
    <row r="168" spans="1:13" x14ac:dyDescent="0.25">
      <c r="A168" s="43" t="str">
        <f t="shared" si="10"/>
        <v xml:space="preserve"> </v>
      </c>
      <c r="D168" s="42"/>
      <c r="E168" s="42"/>
      <c r="J168" s="17">
        <f t="shared" si="13"/>
        <v>0</v>
      </c>
      <c r="K168" s="2" t="str">
        <f t="shared" si="14"/>
        <v xml:space="preserve"> </v>
      </c>
      <c r="L168" s="2" t="str">
        <f t="shared" si="11"/>
        <v xml:space="preserve"> </v>
      </c>
      <c r="M168" s="2" t="str">
        <f t="shared" si="12"/>
        <v xml:space="preserve"> </v>
      </c>
    </row>
    <row r="169" spans="1:13" x14ac:dyDescent="0.25">
      <c r="A169" s="43" t="str">
        <f t="shared" si="10"/>
        <v xml:space="preserve"> </v>
      </c>
      <c r="D169" s="42"/>
      <c r="E169" s="42"/>
      <c r="J169" s="17">
        <f t="shared" si="13"/>
        <v>0</v>
      </c>
      <c r="K169" s="2" t="str">
        <f t="shared" si="14"/>
        <v xml:space="preserve"> </v>
      </c>
      <c r="L169" s="2" t="str">
        <f t="shared" si="11"/>
        <v xml:space="preserve"> </v>
      </c>
      <c r="M169" s="2" t="str">
        <f t="shared" si="12"/>
        <v xml:space="preserve"> </v>
      </c>
    </row>
    <row r="170" spans="1:13" x14ac:dyDescent="0.25">
      <c r="A170" s="43" t="str">
        <f t="shared" si="10"/>
        <v xml:space="preserve"> </v>
      </c>
      <c r="D170" s="42"/>
      <c r="E170" s="42"/>
      <c r="J170" s="17">
        <f t="shared" si="13"/>
        <v>0</v>
      </c>
      <c r="K170" s="2" t="str">
        <f t="shared" si="14"/>
        <v xml:space="preserve"> </v>
      </c>
      <c r="L170" s="2" t="str">
        <f t="shared" si="11"/>
        <v xml:space="preserve"> </v>
      </c>
      <c r="M170" s="2" t="str">
        <f t="shared" si="12"/>
        <v xml:space="preserve"> </v>
      </c>
    </row>
    <row r="171" spans="1:13" x14ac:dyDescent="0.25">
      <c r="A171" s="43" t="str">
        <f t="shared" si="10"/>
        <v xml:space="preserve"> </v>
      </c>
      <c r="D171" s="42"/>
      <c r="E171" s="42"/>
      <c r="J171" s="17">
        <f t="shared" si="13"/>
        <v>0</v>
      </c>
      <c r="K171" s="2" t="str">
        <f t="shared" si="14"/>
        <v xml:space="preserve"> </v>
      </c>
      <c r="L171" s="2" t="str">
        <f t="shared" si="11"/>
        <v xml:space="preserve"> </v>
      </c>
      <c r="M171" s="2" t="str">
        <f t="shared" si="12"/>
        <v xml:space="preserve"> </v>
      </c>
    </row>
    <row r="172" spans="1:13" x14ac:dyDescent="0.25">
      <c r="A172" s="43" t="str">
        <f t="shared" si="10"/>
        <v xml:space="preserve"> </v>
      </c>
      <c r="D172" s="42"/>
      <c r="E172" s="42"/>
      <c r="J172" s="17">
        <f t="shared" si="13"/>
        <v>0</v>
      </c>
      <c r="K172" s="2" t="str">
        <f t="shared" si="14"/>
        <v xml:space="preserve"> </v>
      </c>
      <c r="L172" s="2" t="str">
        <f t="shared" si="11"/>
        <v xml:space="preserve"> </v>
      </c>
      <c r="M172" s="2" t="str">
        <f t="shared" si="12"/>
        <v xml:space="preserve"> </v>
      </c>
    </row>
    <row r="173" spans="1:13" x14ac:dyDescent="0.25">
      <c r="A173" s="43" t="str">
        <f t="shared" si="10"/>
        <v xml:space="preserve"> </v>
      </c>
      <c r="D173" s="42"/>
      <c r="E173" s="42"/>
      <c r="J173" s="17">
        <f t="shared" si="13"/>
        <v>0</v>
      </c>
      <c r="K173" s="2" t="str">
        <f t="shared" si="14"/>
        <v xml:space="preserve"> </v>
      </c>
      <c r="L173" s="2" t="str">
        <f t="shared" si="11"/>
        <v xml:space="preserve"> </v>
      </c>
      <c r="M173" s="2" t="str">
        <f t="shared" si="12"/>
        <v xml:space="preserve"> </v>
      </c>
    </row>
    <row r="174" spans="1:13" x14ac:dyDescent="0.25">
      <c r="A174" s="43" t="str">
        <f t="shared" si="10"/>
        <v xml:space="preserve"> </v>
      </c>
      <c r="D174" s="42"/>
      <c r="E174" s="42"/>
      <c r="J174" s="17">
        <f t="shared" si="13"/>
        <v>0</v>
      </c>
      <c r="K174" s="2" t="str">
        <f t="shared" si="14"/>
        <v xml:space="preserve"> </v>
      </c>
      <c r="L174" s="2" t="str">
        <f t="shared" si="11"/>
        <v xml:space="preserve"> </v>
      </c>
      <c r="M174" s="2" t="str">
        <f t="shared" si="12"/>
        <v xml:space="preserve"> </v>
      </c>
    </row>
    <row r="175" spans="1:13" x14ac:dyDescent="0.25">
      <c r="A175" s="43" t="str">
        <f t="shared" si="10"/>
        <v xml:space="preserve"> </v>
      </c>
      <c r="D175" s="42"/>
      <c r="E175" s="42"/>
      <c r="J175" s="17">
        <f t="shared" si="13"/>
        <v>0</v>
      </c>
      <c r="K175" s="2" t="str">
        <f t="shared" si="14"/>
        <v xml:space="preserve"> </v>
      </c>
      <c r="L175" s="2" t="str">
        <f t="shared" si="11"/>
        <v xml:space="preserve"> </v>
      </c>
      <c r="M175" s="2" t="str">
        <f t="shared" si="12"/>
        <v xml:space="preserve"> </v>
      </c>
    </row>
    <row r="176" spans="1:13" x14ac:dyDescent="0.25">
      <c r="A176" s="43" t="str">
        <f t="shared" si="10"/>
        <v xml:space="preserve"> </v>
      </c>
      <c r="D176" s="42"/>
      <c r="E176" s="42"/>
      <c r="J176" s="17">
        <f t="shared" si="13"/>
        <v>0</v>
      </c>
      <c r="K176" s="2" t="str">
        <f t="shared" si="14"/>
        <v xml:space="preserve"> </v>
      </c>
      <c r="L176" s="2" t="str">
        <f t="shared" si="11"/>
        <v xml:space="preserve"> </v>
      </c>
      <c r="M176" s="2" t="str">
        <f t="shared" si="12"/>
        <v xml:space="preserve"> </v>
      </c>
    </row>
    <row r="177" spans="1:13" x14ac:dyDescent="0.25">
      <c r="A177" s="43" t="str">
        <f t="shared" si="10"/>
        <v xml:space="preserve"> </v>
      </c>
      <c r="D177" s="42"/>
      <c r="E177" s="42"/>
      <c r="J177" s="17">
        <f t="shared" si="13"/>
        <v>0</v>
      </c>
      <c r="K177" s="2" t="str">
        <f t="shared" si="14"/>
        <v xml:space="preserve"> </v>
      </c>
      <c r="L177" s="2" t="str">
        <f t="shared" si="11"/>
        <v xml:space="preserve"> </v>
      </c>
      <c r="M177" s="2" t="str">
        <f t="shared" si="12"/>
        <v xml:space="preserve"> </v>
      </c>
    </row>
    <row r="178" spans="1:13" x14ac:dyDescent="0.25">
      <c r="A178" s="43" t="str">
        <f t="shared" si="10"/>
        <v xml:space="preserve"> </v>
      </c>
      <c r="D178" s="42"/>
      <c r="E178" s="42"/>
      <c r="J178" s="17">
        <f t="shared" si="13"/>
        <v>0</v>
      </c>
      <c r="K178" s="2" t="str">
        <f t="shared" si="14"/>
        <v xml:space="preserve"> </v>
      </c>
      <c r="L178" s="2" t="str">
        <f t="shared" si="11"/>
        <v xml:space="preserve"> </v>
      </c>
      <c r="M178" s="2" t="str">
        <f t="shared" si="12"/>
        <v xml:space="preserve"> </v>
      </c>
    </row>
    <row r="179" spans="1:13" x14ac:dyDescent="0.25">
      <c r="A179" s="43" t="str">
        <f t="shared" si="10"/>
        <v xml:space="preserve"> </v>
      </c>
      <c r="D179" s="42"/>
      <c r="E179" s="42"/>
      <c r="J179" s="17">
        <f t="shared" si="13"/>
        <v>0</v>
      </c>
      <c r="K179" s="2" t="str">
        <f t="shared" si="14"/>
        <v xml:space="preserve"> </v>
      </c>
      <c r="L179" s="2" t="str">
        <f t="shared" si="11"/>
        <v xml:space="preserve"> </v>
      </c>
      <c r="M179" s="2" t="str">
        <f t="shared" si="12"/>
        <v xml:space="preserve"> </v>
      </c>
    </row>
    <row r="180" spans="1:13" x14ac:dyDescent="0.25">
      <c r="A180" s="43" t="str">
        <f t="shared" si="10"/>
        <v xml:space="preserve"> </v>
      </c>
      <c r="D180" s="42"/>
      <c r="E180" s="42"/>
      <c r="J180" s="17">
        <f t="shared" si="13"/>
        <v>0</v>
      </c>
      <c r="K180" s="2" t="str">
        <f t="shared" si="14"/>
        <v xml:space="preserve"> </v>
      </c>
      <c r="L180" s="2" t="str">
        <f t="shared" si="11"/>
        <v xml:space="preserve"> </v>
      </c>
      <c r="M180" s="2" t="str">
        <f t="shared" si="12"/>
        <v xml:space="preserve"> </v>
      </c>
    </row>
    <row r="181" spans="1:13" x14ac:dyDescent="0.25">
      <c r="A181" s="43" t="str">
        <f t="shared" si="10"/>
        <v xml:space="preserve"> </v>
      </c>
      <c r="D181" s="42"/>
      <c r="E181" s="42"/>
      <c r="J181" s="17">
        <f t="shared" si="13"/>
        <v>0</v>
      </c>
      <c r="K181" s="2" t="str">
        <f t="shared" si="14"/>
        <v xml:space="preserve"> </v>
      </c>
      <c r="L181" s="2" t="str">
        <f t="shared" si="11"/>
        <v xml:space="preserve"> </v>
      </c>
      <c r="M181" s="2" t="str">
        <f t="shared" si="12"/>
        <v xml:space="preserve"> </v>
      </c>
    </row>
    <row r="182" spans="1:13" x14ac:dyDescent="0.25">
      <c r="A182" s="43" t="str">
        <f t="shared" si="10"/>
        <v xml:space="preserve"> </v>
      </c>
      <c r="D182" s="42"/>
      <c r="E182" s="42"/>
      <c r="J182" s="17">
        <f t="shared" si="13"/>
        <v>0</v>
      </c>
      <c r="K182" s="2" t="str">
        <f t="shared" si="14"/>
        <v xml:space="preserve"> </v>
      </c>
      <c r="L182" s="2" t="str">
        <f t="shared" si="11"/>
        <v xml:space="preserve"> </v>
      </c>
      <c r="M182" s="2" t="str">
        <f t="shared" si="12"/>
        <v xml:space="preserve"> </v>
      </c>
    </row>
    <row r="183" spans="1:13" x14ac:dyDescent="0.25">
      <c r="A183" s="43" t="str">
        <f t="shared" si="10"/>
        <v xml:space="preserve"> </v>
      </c>
      <c r="D183" s="42"/>
      <c r="E183" s="42"/>
      <c r="J183" s="17">
        <f t="shared" si="13"/>
        <v>0</v>
      </c>
      <c r="K183" s="2" t="str">
        <f t="shared" si="14"/>
        <v xml:space="preserve"> </v>
      </c>
      <c r="L183" s="2" t="str">
        <f t="shared" si="11"/>
        <v xml:space="preserve"> </v>
      </c>
      <c r="M183" s="2" t="str">
        <f t="shared" si="12"/>
        <v xml:space="preserve"> </v>
      </c>
    </row>
    <row r="184" spans="1:13" x14ac:dyDescent="0.25">
      <c r="A184" s="43" t="str">
        <f t="shared" si="10"/>
        <v xml:space="preserve"> </v>
      </c>
      <c r="D184" s="42"/>
      <c r="E184" s="42"/>
      <c r="J184" s="17">
        <f t="shared" si="13"/>
        <v>0</v>
      </c>
      <c r="K184" s="2" t="str">
        <f t="shared" si="14"/>
        <v xml:space="preserve"> </v>
      </c>
      <c r="L184" s="2" t="str">
        <f t="shared" si="11"/>
        <v xml:space="preserve"> </v>
      </c>
      <c r="M184" s="2" t="str">
        <f t="shared" si="12"/>
        <v xml:space="preserve"> </v>
      </c>
    </row>
    <row r="185" spans="1:13" x14ac:dyDescent="0.25">
      <c r="A185" s="43" t="str">
        <f t="shared" si="10"/>
        <v xml:space="preserve"> </v>
      </c>
      <c r="D185" s="42"/>
      <c r="E185" s="42"/>
      <c r="J185" s="17">
        <f t="shared" si="13"/>
        <v>0</v>
      </c>
      <c r="K185" s="2" t="str">
        <f t="shared" si="14"/>
        <v xml:space="preserve"> </v>
      </c>
      <c r="L185" s="2" t="str">
        <f t="shared" si="11"/>
        <v xml:space="preserve"> </v>
      </c>
      <c r="M185" s="2" t="str">
        <f t="shared" si="12"/>
        <v xml:space="preserve"> </v>
      </c>
    </row>
    <row r="186" spans="1:13" x14ac:dyDescent="0.25">
      <c r="A186" s="43" t="str">
        <f t="shared" si="10"/>
        <v xml:space="preserve"> </v>
      </c>
      <c r="D186" s="42"/>
      <c r="E186" s="42"/>
      <c r="J186" s="17">
        <f t="shared" si="13"/>
        <v>0</v>
      </c>
      <c r="K186" s="2" t="str">
        <f t="shared" si="14"/>
        <v xml:space="preserve"> </v>
      </c>
      <c r="L186" s="2" t="str">
        <f t="shared" si="11"/>
        <v xml:space="preserve"> </v>
      </c>
      <c r="M186" s="2" t="str">
        <f t="shared" si="12"/>
        <v xml:space="preserve"> </v>
      </c>
    </row>
    <row r="187" spans="1:13" x14ac:dyDescent="0.25">
      <c r="A187" s="43" t="str">
        <f t="shared" si="10"/>
        <v xml:space="preserve"> </v>
      </c>
      <c r="D187" s="42"/>
      <c r="E187" s="42"/>
      <c r="J187" s="17">
        <f t="shared" si="13"/>
        <v>0</v>
      </c>
      <c r="K187" s="2" t="str">
        <f t="shared" si="14"/>
        <v xml:space="preserve"> </v>
      </c>
      <c r="L187" s="2" t="str">
        <f t="shared" si="11"/>
        <v xml:space="preserve"> </v>
      </c>
      <c r="M187" s="2" t="str">
        <f t="shared" si="12"/>
        <v xml:space="preserve"> </v>
      </c>
    </row>
    <row r="188" spans="1:13" x14ac:dyDescent="0.25">
      <c r="A188" s="43" t="str">
        <f t="shared" si="10"/>
        <v xml:space="preserve"> </v>
      </c>
      <c r="D188" s="42"/>
      <c r="E188" s="42"/>
      <c r="J188" s="17">
        <f t="shared" si="13"/>
        <v>0</v>
      </c>
      <c r="K188" s="2" t="str">
        <f t="shared" si="14"/>
        <v xml:space="preserve"> </v>
      </c>
      <c r="L188" s="2" t="str">
        <f t="shared" si="11"/>
        <v xml:space="preserve"> </v>
      </c>
      <c r="M188" s="2" t="str">
        <f t="shared" si="12"/>
        <v xml:space="preserve"> </v>
      </c>
    </row>
    <row r="189" spans="1:13" x14ac:dyDescent="0.25">
      <c r="A189" s="43" t="str">
        <f t="shared" si="10"/>
        <v xml:space="preserve"> </v>
      </c>
      <c r="D189" s="42"/>
      <c r="E189" s="42"/>
      <c r="J189" s="17">
        <f t="shared" si="13"/>
        <v>0</v>
      </c>
      <c r="K189" s="2" t="str">
        <f t="shared" si="14"/>
        <v xml:space="preserve"> </v>
      </c>
      <c r="L189" s="2" t="str">
        <f t="shared" si="11"/>
        <v xml:space="preserve"> </v>
      </c>
      <c r="M189" s="2" t="str">
        <f t="shared" si="12"/>
        <v xml:space="preserve"> </v>
      </c>
    </row>
    <row r="190" spans="1:13" x14ac:dyDescent="0.25">
      <c r="A190" s="43" t="str">
        <f t="shared" si="10"/>
        <v xml:space="preserve"> </v>
      </c>
      <c r="D190" s="42"/>
      <c r="E190" s="42"/>
      <c r="J190" s="17">
        <f t="shared" si="13"/>
        <v>0</v>
      </c>
      <c r="K190" s="2" t="str">
        <f t="shared" si="14"/>
        <v xml:space="preserve"> </v>
      </c>
      <c r="L190" s="2" t="str">
        <f t="shared" si="11"/>
        <v xml:space="preserve"> </v>
      </c>
      <c r="M190" s="2" t="str">
        <f t="shared" si="12"/>
        <v xml:space="preserve"> </v>
      </c>
    </row>
    <row r="191" spans="1:13" x14ac:dyDescent="0.25">
      <c r="A191" s="43" t="str">
        <f t="shared" si="10"/>
        <v xml:space="preserve"> </v>
      </c>
      <c r="D191" s="42"/>
      <c r="E191" s="42"/>
      <c r="J191" s="17">
        <f t="shared" si="13"/>
        <v>0</v>
      </c>
      <c r="K191" s="2" t="str">
        <f t="shared" si="14"/>
        <v xml:space="preserve"> </v>
      </c>
      <c r="L191" s="2" t="str">
        <f t="shared" si="11"/>
        <v xml:space="preserve"> </v>
      </c>
      <c r="M191" s="2" t="str">
        <f t="shared" si="12"/>
        <v xml:space="preserve"> </v>
      </c>
    </row>
    <row r="192" spans="1:13" x14ac:dyDescent="0.25">
      <c r="A192" s="43" t="str">
        <f t="shared" si="10"/>
        <v xml:space="preserve"> </v>
      </c>
      <c r="D192" s="42"/>
      <c r="E192" s="42"/>
      <c r="J192" s="17">
        <f t="shared" si="13"/>
        <v>0</v>
      </c>
      <c r="K192" s="2" t="str">
        <f t="shared" si="14"/>
        <v xml:space="preserve"> </v>
      </c>
      <c r="L192" s="2" t="str">
        <f t="shared" si="11"/>
        <v xml:space="preserve"> </v>
      </c>
      <c r="M192" s="2" t="str">
        <f t="shared" si="12"/>
        <v xml:space="preserve"> </v>
      </c>
    </row>
    <row r="193" spans="1:13" x14ac:dyDescent="0.25">
      <c r="A193" s="43" t="str">
        <f t="shared" si="10"/>
        <v xml:space="preserve"> </v>
      </c>
      <c r="D193" s="42"/>
      <c r="E193" s="42"/>
      <c r="J193" s="17">
        <f t="shared" si="13"/>
        <v>0</v>
      </c>
      <c r="K193" s="2" t="str">
        <f t="shared" si="14"/>
        <v xml:space="preserve"> </v>
      </c>
      <c r="L193" s="2" t="str">
        <f t="shared" si="11"/>
        <v xml:space="preserve"> </v>
      </c>
      <c r="M193" s="2" t="str">
        <f t="shared" si="12"/>
        <v xml:space="preserve"> </v>
      </c>
    </row>
    <row r="194" spans="1:13" x14ac:dyDescent="0.25">
      <c r="A194" s="43" t="str">
        <f t="shared" si="10"/>
        <v xml:space="preserve"> </v>
      </c>
      <c r="D194" s="42"/>
      <c r="E194" s="42"/>
      <c r="J194" s="17">
        <f t="shared" si="13"/>
        <v>0</v>
      </c>
      <c r="K194" s="2" t="str">
        <f t="shared" si="14"/>
        <v xml:space="preserve"> </v>
      </c>
      <c r="L194" s="2" t="str">
        <f t="shared" si="11"/>
        <v xml:space="preserve"> </v>
      </c>
      <c r="M194" s="2" t="str">
        <f t="shared" si="12"/>
        <v xml:space="preserve"> </v>
      </c>
    </row>
    <row r="195" spans="1:13" x14ac:dyDescent="0.25">
      <c r="A195" s="43" t="str">
        <f t="shared" si="10"/>
        <v xml:space="preserve"> </v>
      </c>
      <c r="D195" s="42"/>
      <c r="E195" s="42"/>
      <c r="J195" s="17">
        <f t="shared" si="13"/>
        <v>0</v>
      </c>
      <c r="K195" s="2" t="str">
        <f t="shared" si="14"/>
        <v xml:space="preserve"> </v>
      </c>
      <c r="L195" s="2" t="str">
        <f t="shared" si="11"/>
        <v xml:space="preserve"> </v>
      </c>
      <c r="M195" s="2" t="str">
        <f t="shared" si="12"/>
        <v xml:space="preserve"> </v>
      </c>
    </row>
    <row r="196" spans="1:13" x14ac:dyDescent="0.25">
      <c r="A196" s="43" t="str">
        <f t="shared" si="10"/>
        <v xml:space="preserve"> </v>
      </c>
      <c r="D196" s="42"/>
      <c r="E196" s="42"/>
      <c r="J196" s="17">
        <f t="shared" si="13"/>
        <v>0</v>
      </c>
      <c r="K196" s="2" t="str">
        <f t="shared" si="14"/>
        <v xml:space="preserve"> </v>
      </c>
      <c r="L196" s="2" t="str">
        <f t="shared" si="11"/>
        <v xml:space="preserve"> </v>
      </c>
      <c r="M196" s="2" t="str">
        <f t="shared" si="12"/>
        <v xml:space="preserve"> </v>
      </c>
    </row>
    <row r="197" spans="1:13" x14ac:dyDescent="0.25">
      <c r="A197" s="43" t="str">
        <f t="shared" si="10"/>
        <v xml:space="preserve"> </v>
      </c>
      <c r="D197" s="42"/>
      <c r="E197" s="42"/>
      <c r="J197" s="17">
        <f t="shared" si="13"/>
        <v>0</v>
      </c>
      <c r="K197" s="2" t="str">
        <f t="shared" si="14"/>
        <v xml:space="preserve"> </v>
      </c>
      <c r="L197" s="2" t="str">
        <f t="shared" si="11"/>
        <v xml:space="preserve"> </v>
      </c>
      <c r="M197" s="2" t="str">
        <f t="shared" si="12"/>
        <v xml:space="preserve"> </v>
      </c>
    </row>
    <row r="198" spans="1:13" x14ac:dyDescent="0.25">
      <c r="A198" s="43" t="str">
        <f t="shared" si="10"/>
        <v xml:space="preserve"> </v>
      </c>
      <c r="D198" s="42"/>
      <c r="E198" s="42"/>
      <c r="J198" s="17">
        <f t="shared" si="13"/>
        <v>0</v>
      </c>
      <c r="K198" s="2" t="str">
        <f t="shared" si="14"/>
        <v xml:space="preserve"> </v>
      </c>
      <c r="L198" s="2" t="str">
        <f t="shared" si="11"/>
        <v xml:space="preserve"> </v>
      </c>
      <c r="M198" s="2" t="str">
        <f t="shared" si="12"/>
        <v xml:space="preserve"> </v>
      </c>
    </row>
    <row r="199" spans="1:13" x14ac:dyDescent="0.25">
      <c r="A199" s="43" t="str">
        <f t="shared" si="10"/>
        <v xml:space="preserve"> </v>
      </c>
      <c r="D199" s="42"/>
      <c r="E199" s="42"/>
      <c r="J199" s="17">
        <f t="shared" si="13"/>
        <v>0</v>
      </c>
      <c r="K199" s="2" t="str">
        <f t="shared" si="14"/>
        <v xml:space="preserve"> </v>
      </c>
      <c r="L199" s="2" t="str">
        <f t="shared" si="11"/>
        <v xml:space="preserve"> </v>
      </c>
      <c r="M199" s="2" t="str">
        <f t="shared" si="12"/>
        <v xml:space="preserve"> </v>
      </c>
    </row>
    <row r="200" spans="1:13" x14ac:dyDescent="0.25">
      <c r="A200" s="43" t="str">
        <f t="shared" si="10"/>
        <v xml:space="preserve"> </v>
      </c>
      <c r="D200" s="42"/>
      <c r="E200" s="42"/>
      <c r="J200" s="17">
        <f t="shared" si="13"/>
        <v>0</v>
      </c>
      <c r="K200" s="2" t="str">
        <f t="shared" si="14"/>
        <v xml:space="preserve"> </v>
      </c>
      <c r="L200" s="2" t="str">
        <f t="shared" si="11"/>
        <v xml:space="preserve"> </v>
      </c>
      <c r="M200" s="2" t="str">
        <f t="shared" si="12"/>
        <v xml:space="preserve"> </v>
      </c>
    </row>
    <row r="201" spans="1:13" x14ac:dyDescent="0.25">
      <c r="A201" s="43" t="str">
        <f t="shared" si="10"/>
        <v xml:space="preserve"> </v>
      </c>
      <c r="D201" s="42"/>
      <c r="E201" s="42"/>
      <c r="J201" s="17">
        <f t="shared" si="13"/>
        <v>0</v>
      </c>
      <c r="K201" s="2" t="str">
        <f t="shared" si="14"/>
        <v xml:space="preserve"> </v>
      </c>
      <c r="L201" s="2" t="str">
        <f t="shared" si="11"/>
        <v xml:space="preserve"> </v>
      </c>
      <c r="M201" s="2" t="str">
        <f t="shared" si="12"/>
        <v xml:space="preserve"> </v>
      </c>
    </row>
    <row r="202" spans="1:13" x14ac:dyDescent="0.25">
      <c r="A202" s="43" t="str">
        <f t="shared" si="10"/>
        <v xml:space="preserve"> </v>
      </c>
      <c r="D202" s="42"/>
      <c r="E202" s="42"/>
      <c r="J202" s="17">
        <f t="shared" si="13"/>
        <v>0</v>
      </c>
      <c r="K202" s="2" t="str">
        <f t="shared" si="14"/>
        <v xml:space="preserve"> </v>
      </c>
      <c r="L202" s="2" t="str">
        <f t="shared" si="11"/>
        <v xml:space="preserve"> </v>
      </c>
      <c r="M202" s="2" t="str">
        <f t="shared" si="12"/>
        <v xml:space="preserve"> </v>
      </c>
    </row>
    <row r="203" spans="1:13" x14ac:dyDescent="0.25">
      <c r="A203" s="43" t="str">
        <f t="shared" si="10"/>
        <v xml:space="preserve"> </v>
      </c>
      <c r="D203" s="42"/>
      <c r="E203" s="42"/>
      <c r="J203" s="17">
        <f t="shared" si="13"/>
        <v>0</v>
      </c>
      <c r="K203" s="2" t="str">
        <f t="shared" si="14"/>
        <v xml:space="preserve"> </v>
      </c>
      <c r="L203" s="2" t="str">
        <f t="shared" si="11"/>
        <v xml:space="preserve"> </v>
      </c>
      <c r="M203" s="2" t="str">
        <f t="shared" si="12"/>
        <v xml:space="preserve"> </v>
      </c>
    </row>
    <row r="204" spans="1:13" x14ac:dyDescent="0.25">
      <c r="A204" s="43" t="str">
        <f t="shared" si="10"/>
        <v xml:space="preserve"> </v>
      </c>
      <c r="D204" s="42"/>
      <c r="E204" s="42"/>
      <c r="J204" s="17">
        <f t="shared" si="13"/>
        <v>0</v>
      </c>
      <c r="K204" s="2" t="str">
        <f t="shared" si="14"/>
        <v xml:space="preserve"> </v>
      </c>
      <c r="L204" s="2" t="str">
        <f t="shared" si="11"/>
        <v xml:space="preserve"> </v>
      </c>
      <c r="M204" s="2" t="str">
        <f t="shared" si="12"/>
        <v xml:space="preserve"> </v>
      </c>
    </row>
    <row r="205" spans="1:13" x14ac:dyDescent="0.25">
      <c r="A205" s="43" t="str">
        <f t="shared" si="10"/>
        <v xml:space="preserve"> </v>
      </c>
      <c r="D205" s="42"/>
      <c r="E205" s="42"/>
      <c r="J205" s="17">
        <f t="shared" si="13"/>
        <v>0</v>
      </c>
      <c r="K205" s="2" t="str">
        <f t="shared" si="14"/>
        <v xml:space="preserve"> </v>
      </c>
      <c r="L205" s="2" t="str">
        <f t="shared" si="11"/>
        <v xml:space="preserve"> </v>
      </c>
      <c r="M205" s="2" t="str">
        <f t="shared" si="12"/>
        <v xml:space="preserve"> </v>
      </c>
    </row>
    <row r="206" spans="1:13" x14ac:dyDescent="0.25">
      <c r="A206" s="43" t="str">
        <f t="shared" si="10"/>
        <v xml:space="preserve"> </v>
      </c>
      <c r="D206" s="42"/>
      <c r="E206" s="42"/>
      <c r="J206" s="17">
        <f t="shared" si="13"/>
        <v>0</v>
      </c>
      <c r="K206" s="2" t="str">
        <f t="shared" si="14"/>
        <v xml:space="preserve"> </v>
      </c>
      <c r="L206" s="2" t="str">
        <f t="shared" si="11"/>
        <v xml:space="preserve"> </v>
      </c>
      <c r="M206" s="2" t="str">
        <f t="shared" si="12"/>
        <v xml:space="preserve"> </v>
      </c>
    </row>
    <row r="207" spans="1:13" x14ac:dyDescent="0.25">
      <c r="A207" s="43" t="str">
        <f t="shared" ref="A207:A270" si="15">IF(COUNTIF(K207:M207,"ERROR")&gt;0,"ERROR"," ")</f>
        <v xml:space="preserve"> </v>
      </c>
      <c r="D207" s="42"/>
      <c r="E207" s="42"/>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43" t="str">
        <f t="shared" si="15"/>
        <v xml:space="preserve"> </v>
      </c>
      <c r="D208" s="42"/>
      <c r="E208" s="42"/>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3" t="str">
        <f t="shared" si="15"/>
        <v xml:space="preserve"> </v>
      </c>
      <c r="D209" s="42"/>
      <c r="E209" s="42"/>
      <c r="J209" s="17">
        <f t="shared" si="18"/>
        <v>0</v>
      </c>
      <c r="K209" s="2" t="str">
        <f t="shared" si="19"/>
        <v xml:space="preserve"> </v>
      </c>
      <c r="L209" s="2" t="str">
        <f t="shared" si="16"/>
        <v xml:space="preserve"> </v>
      </c>
      <c r="M209" s="2" t="str">
        <f t="shared" si="17"/>
        <v xml:space="preserve"> </v>
      </c>
    </row>
    <row r="210" spans="1:13" x14ac:dyDescent="0.25">
      <c r="A210" s="43" t="str">
        <f t="shared" si="15"/>
        <v xml:space="preserve"> </v>
      </c>
      <c r="D210" s="42"/>
      <c r="E210" s="42"/>
      <c r="J210" s="17">
        <f t="shared" si="18"/>
        <v>0</v>
      </c>
      <c r="K210" s="2" t="str">
        <f t="shared" si="19"/>
        <v xml:space="preserve"> </v>
      </c>
      <c r="L210" s="2" t="str">
        <f t="shared" si="16"/>
        <v xml:space="preserve"> </v>
      </c>
      <c r="M210" s="2" t="str">
        <f t="shared" si="17"/>
        <v xml:space="preserve"> </v>
      </c>
    </row>
    <row r="211" spans="1:13" x14ac:dyDescent="0.25">
      <c r="A211" s="43" t="str">
        <f t="shared" si="15"/>
        <v xml:space="preserve"> </v>
      </c>
      <c r="D211" s="42"/>
      <c r="E211" s="42"/>
      <c r="J211" s="17">
        <f t="shared" si="18"/>
        <v>0</v>
      </c>
      <c r="K211" s="2" t="str">
        <f t="shared" si="19"/>
        <v xml:space="preserve"> </v>
      </c>
      <c r="L211" s="2" t="str">
        <f t="shared" si="16"/>
        <v xml:space="preserve"> </v>
      </c>
      <c r="M211" s="2" t="str">
        <f t="shared" si="17"/>
        <v xml:space="preserve"> </v>
      </c>
    </row>
    <row r="212" spans="1:13" x14ac:dyDescent="0.25">
      <c r="A212" s="43" t="str">
        <f t="shared" si="15"/>
        <v xml:space="preserve"> </v>
      </c>
      <c r="D212" s="42"/>
      <c r="E212" s="42"/>
      <c r="J212" s="17">
        <f t="shared" si="18"/>
        <v>0</v>
      </c>
      <c r="K212" s="2" t="str">
        <f t="shared" si="19"/>
        <v xml:space="preserve"> </v>
      </c>
      <c r="L212" s="2" t="str">
        <f t="shared" si="16"/>
        <v xml:space="preserve"> </v>
      </c>
      <c r="M212" s="2" t="str">
        <f t="shared" si="17"/>
        <v xml:space="preserve"> </v>
      </c>
    </row>
    <row r="213" spans="1:13" x14ac:dyDescent="0.25">
      <c r="A213" s="43" t="str">
        <f t="shared" si="15"/>
        <v xml:space="preserve"> </v>
      </c>
      <c r="D213" s="42"/>
      <c r="E213" s="42"/>
      <c r="J213" s="17">
        <f t="shared" si="18"/>
        <v>0</v>
      </c>
      <c r="K213" s="2" t="str">
        <f t="shared" si="19"/>
        <v xml:space="preserve"> </v>
      </c>
      <c r="L213" s="2" t="str">
        <f t="shared" si="16"/>
        <v xml:space="preserve"> </v>
      </c>
      <c r="M213" s="2" t="str">
        <f t="shared" si="17"/>
        <v xml:space="preserve"> </v>
      </c>
    </row>
    <row r="214" spans="1:13" x14ac:dyDescent="0.25">
      <c r="A214" s="43" t="str">
        <f t="shared" si="15"/>
        <v xml:space="preserve"> </v>
      </c>
      <c r="D214" s="42"/>
      <c r="E214" s="42"/>
      <c r="J214" s="17">
        <f t="shared" si="18"/>
        <v>0</v>
      </c>
      <c r="K214" s="2" t="str">
        <f t="shared" si="19"/>
        <v xml:space="preserve"> </v>
      </c>
      <c r="L214" s="2" t="str">
        <f t="shared" si="16"/>
        <v xml:space="preserve"> </v>
      </c>
      <c r="M214" s="2" t="str">
        <f t="shared" si="17"/>
        <v xml:space="preserve"> </v>
      </c>
    </row>
    <row r="215" spans="1:13" x14ac:dyDescent="0.25">
      <c r="A215" s="43" t="str">
        <f t="shared" si="15"/>
        <v xml:space="preserve"> </v>
      </c>
      <c r="D215" s="42"/>
      <c r="E215" s="42"/>
      <c r="J215" s="17">
        <f t="shared" si="18"/>
        <v>0</v>
      </c>
      <c r="K215" s="2" t="str">
        <f t="shared" si="19"/>
        <v xml:space="preserve"> </v>
      </c>
      <c r="L215" s="2" t="str">
        <f t="shared" si="16"/>
        <v xml:space="preserve"> </v>
      </c>
      <c r="M215" s="2" t="str">
        <f t="shared" si="17"/>
        <v xml:space="preserve"> </v>
      </c>
    </row>
    <row r="216" spans="1:13" x14ac:dyDescent="0.25">
      <c r="A216" s="43" t="str">
        <f t="shared" si="15"/>
        <v xml:space="preserve"> </v>
      </c>
      <c r="D216" s="42"/>
      <c r="E216" s="42"/>
      <c r="J216" s="17">
        <f t="shared" si="18"/>
        <v>0</v>
      </c>
      <c r="K216" s="2" t="str">
        <f t="shared" si="19"/>
        <v xml:space="preserve"> </v>
      </c>
      <c r="L216" s="2" t="str">
        <f t="shared" si="16"/>
        <v xml:space="preserve"> </v>
      </c>
      <c r="M216" s="2" t="str">
        <f t="shared" si="17"/>
        <v xml:space="preserve"> </v>
      </c>
    </row>
    <row r="217" spans="1:13" x14ac:dyDescent="0.25">
      <c r="A217" s="43" t="str">
        <f t="shared" si="15"/>
        <v xml:space="preserve"> </v>
      </c>
      <c r="D217" s="42"/>
      <c r="E217" s="42"/>
      <c r="J217" s="17">
        <f t="shared" si="18"/>
        <v>0</v>
      </c>
      <c r="K217" s="2" t="str">
        <f t="shared" si="19"/>
        <v xml:space="preserve"> </v>
      </c>
      <c r="L217" s="2" t="str">
        <f t="shared" si="16"/>
        <v xml:space="preserve"> </v>
      </c>
      <c r="M217" s="2" t="str">
        <f t="shared" si="17"/>
        <v xml:space="preserve"> </v>
      </c>
    </row>
    <row r="218" spans="1:13" x14ac:dyDescent="0.25">
      <c r="A218" s="43" t="str">
        <f t="shared" si="15"/>
        <v xml:space="preserve"> </v>
      </c>
      <c r="D218" s="42"/>
      <c r="E218" s="42"/>
      <c r="J218" s="17">
        <f t="shared" si="18"/>
        <v>0</v>
      </c>
      <c r="K218" s="2" t="str">
        <f t="shared" si="19"/>
        <v xml:space="preserve"> </v>
      </c>
      <c r="L218" s="2" t="str">
        <f t="shared" si="16"/>
        <v xml:space="preserve"> </v>
      </c>
      <c r="M218" s="2" t="str">
        <f t="shared" si="17"/>
        <v xml:space="preserve"> </v>
      </c>
    </row>
    <row r="219" spans="1:13" x14ac:dyDescent="0.25">
      <c r="A219" s="43" t="str">
        <f t="shared" si="15"/>
        <v xml:space="preserve"> </v>
      </c>
      <c r="D219" s="42"/>
      <c r="E219" s="42"/>
      <c r="J219" s="17">
        <f t="shared" si="18"/>
        <v>0</v>
      </c>
      <c r="K219" s="2" t="str">
        <f t="shared" si="19"/>
        <v xml:space="preserve"> </v>
      </c>
      <c r="L219" s="2" t="str">
        <f t="shared" si="16"/>
        <v xml:space="preserve"> </v>
      </c>
      <c r="M219" s="2" t="str">
        <f t="shared" si="17"/>
        <v xml:space="preserve"> </v>
      </c>
    </row>
    <row r="220" spans="1:13" x14ac:dyDescent="0.25">
      <c r="A220" s="43" t="str">
        <f t="shared" si="15"/>
        <v xml:space="preserve"> </v>
      </c>
      <c r="D220" s="42"/>
      <c r="E220" s="42"/>
      <c r="J220" s="17">
        <f t="shared" si="18"/>
        <v>0</v>
      </c>
      <c r="K220" s="2" t="str">
        <f t="shared" si="19"/>
        <v xml:space="preserve"> </v>
      </c>
      <c r="L220" s="2" t="str">
        <f t="shared" si="16"/>
        <v xml:space="preserve"> </v>
      </c>
      <c r="M220" s="2" t="str">
        <f t="shared" si="17"/>
        <v xml:space="preserve"> </v>
      </c>
    </row>
    <row r="221" spans="1:13" x14ac:dyDescent="0.25">
      <c r="A221" s="43" t="str">
        <f t="shared" si="15"/>
        <v xml:space="preserve"> </v>
      </c>
      <c r="D221" s="42"/>
      <c r="E221" s="42"/>
      <c r="J221" s="17">
        <f t="shared" si="18"/>
        <v>0</v>
      </c>
      <c r="K221" s="2" t="str">
        <f t="shared" si="19"/>
        <v xml:space="preserve"> </v>
      </c>
      <c r="L221" s="2" t="str">
        <f t="shared" si="16"/>
        <v xml:space="preserve"> </v>
      </c>
      <c r="M221" s="2" t="str">
        <f t="shared" si="17"/>
        <v xml:space="preserve"> </v>
      </c>
    </row>
    <row r="222" spans="1:13" x14ac:dyDescent="0.25">
      <c r="A222" s="43" t="str">
        <f t="shared" si="15"/>
        <v xml:space="preserve"> </v>
      </c>
      <c r="D222" s="42"/>
      <c r="E222" s="42"/>
      <c r="J222" s="17">
        <f t="shared" si="18"/>
        <v>0</v>
      </c>
      <c r="K222" s="2" t="str">
        <f t="shared" si="19"/>
        <v xml:space="preserve"> </v>
      </c>
      <c r="L222" s="2" t="str">
        <f t="shared" si="16"/>
        <v xml:space="preserve"> </v>
      </c>
      <c r="M222" s="2" t="str">
        <f t="shared" si="17"/>
        <v xml:space="preserve"> </v>
      </c>
    </row>
    <row r="223" spans="1:13" x14ac:dyDescent="0.25">
      <c r="A223" s="43" t="str">
        <f t="shared" si="15"/>
        <v xml:space="preserve"> </v>
      </c>
      <c r="D223" s="42"/>
      <c r="E223" s="42"/>
      <c r="J223" s="17">
        <f t="shared" si="18"/>
        <v>0</v>
      </c>
      <c r="K223" s="2" t="str">
        <f t="shared" si="19"/>
        <v xml:space="preserve"> </v>
      </c>
      <c r="L223" s="2" t="str">
        <f t="shared" si="16"/>
        <v xml:space="preserve"> </v>
      </c>
      <c r="M223" s="2" t="str">
        <f t="shared" si="17"/>
        <v xml:space="preserve"> </v>
      </c>
    </row>
    <row r="224" spans="1:13" x14ac:dyDescent="0.25">
      <c r="A224" s="43" t="str">
        <f t="shared" si="15"/>
        <v xml:space="preserve"> </v>
      </c>
      <c r="D224" s="42"/>
      <c r="E224" s="42"/>
      <c r="J224" s="17">
        <f t="shared" si="18"/>
        <v>0</v>
      </c>
      <c r="K224" s="2" t="str">
        <f t="shared" si="19"/>
        <v xml:space="preserve"> </v>
      </c>
      <c r="L224" s="2" t="str">
        <f t="shared" si="16"/>
        <v xml:space="preserve"> </v>
      </c>
      <c r="M224" s="2" t="str">
        <f t="shared" si="17"/>
        <v xml:space="preserve"> </v>
      </c>
    </row>
    <row r="225" spans="1:13" x14ac:dyDescent="0.25">
      <c r="A225" s="43" t="str">
        <f t="shared" si="15"/>
        <v xml:space="preserve"> </v>
      </c>
      <c r="D225" s="42"/>
      <c r="E225" s="42"/>
      <c r="J225" s="17">
        <f t="shared" si="18"/>
        <v>0</v>
      </c>
      <c r="K225" s="2" t="str">
        <f t="shared" si="19"/>
        <v xml:space="preserve"> </v>
      </c>
      <c r="L225" s="2" t="str">
        <f t="shared" si="16"/>
        <v xml:space="preserve"> </v>
      </c>
      <c r="M225" s="2" t="str">
        <f t="shared" si="17"/>
        <v xml:space="preserve"> </v>
      </c>
    </row>
    <row r="226" spans="1:13" x14ac:dyDescent="0.25">
      <c r="A226" s="43" t="str">
        <f t="shared" si="15"/>
        <v xml:space="preserve"> </v>
      </c>
      <c r="D226" s="42"/>
      <c r="E226" s="42"/>
      <c r="J226" s="17">
        <f t="shared" si="18"/>
        <v>0</v>
      </c>
      <c r="K226" s="2" t="str">
        <f t="shared" si="19"/>
        <v xml:space="preserve"> </v>
      </c>
      <c r="L226" s="2" t="str">
        <f t="shared" si="16"/>
        <v xml:space="preserve"> </v>
      </c>
      <c r="M226" s="2" t="str">
        <f t="shared" si="17"/>
        <v xml:space="preserve"> </v>
      </c>
    </row>
    <row r="227" spans="1:13" x14ac:dyDescent="0.25">
      <c r="A227" s="43" t="str">
        <f t="shared" si="15"/>
        <v xml:space="preserve"> </v>
      </c>
      <c r="D227" s="42"/>
      <c r="E227" s="42"/>
      <c r="J227" s="17">
        <f t="shared" si="18"/>
        <v>0</v>
      </c>
      <c r="K227" s="2" t="str">
        <f t="shared" si="19"/>
        <v xml:space="preserve"> </v>
      </c>
      <c r="L227" s="2" t="str">
        <f t="shared" si="16"/>
        <v xml:space="preserve"> </v>
      </c>
      <c r="M227" s="2" t="str">
        <f t="shared" si="17"/>
        <v xml:space="preserve"> </v>
      </c>
    </row>
    <row r="228" spans="1:13" x14ac:dyDescent="0.25">
      <c r="A228" s="43" t="str">
        <f t="shared" si="15"/>
        <v xml:space="preserve"> </v>
      </c>
      <c r="D228" s="42"/>
      <c r="E228" s="42"/>
      <c r="J228" s="17">
        <f t="shared" si="18"/>
        <v>0</v>
      </c>
      <c r="K228" s="2" t="str">
        <f t="shared" si="19"/>
        <v xml:space="preserve"> </v>
      </c>
      <c r="L228" s="2" t="str">
        <f t="shared" si="16"/>
        <v xml:space="preserve"> </v>
      </c>
      <c r="M228" s="2" t="str">
        <f t="shared" si="17"/>
        <v xml:space="preserve"> </v>
      </c>
    </row>
    <row r="229" spans="1:13" x14ac:dyDescent="0.25">
      <c r="A229" s="43" t="str">
        <f t="shared" si="15"/>
        <v xml:space="preserve"> </v>
      </c>
      <c r="D229" s="42"/>
      <c r="E229" s="42"/>
      <c r="J229" s="17">
        <f t="shared" si="18"/>
        <v>0</v>
      </c>
      <c r="K229" s="2" t="str">
        <f t="shared" si="19"/>
        <v xml:space="preserve"> </v>
      </c>
      <c r="L229" s="2" t="str">
        <f t="shared" si="16"/>
        <v xml:space="preserve"> </v>
      </c>
      <c r="M229" s="2" t="str">
        <f t="shared" si="17"/>
        <v xml:space="preserve"> </v>
      </c>
    </row>
    <row r="230" spans="1:13" x14ac:dyDescent="0.25">
      <c r="A230" s="43" t="str">
        <f t="shared" si="15"/>
        <v xml:space="preserve"> </v>
      </c>
      <c r="D230" s="42"/>
      <c r="E230" s="42"/>
      <c r="J230" s="17">
        <f t="shared" si="18"/>
        <v>0</v>
      </c>
      <c r="K230" s="2" t="str">
        <f t="shared" si="19"/>
        <v xml:space="preserve"> </v>
      </c>
      <c r="L230" s="2" t="str">
        <f t="shared" si="16"/>
        <v xml:space="preserve"> </v>
      </c>
      <c r="M230" s="2" t="str">
        <f t="shared" si="17"/>
        <v xml:space="preserve"> </v>
      </c>
    </row>
    <row r="231" spans="1:13" x14ac:dyDescent="0.25">
      <c r="A231" s="43" t="str">
        <f t="shared" si="15"/>
        <v xml:space="preserve"> </v>
      </c>
      <c r="D231" s="42"/>
      <c r="E231" s="42"/>
      <c r="J231" s="17">
        <f t="shared" si="18"/>
        <v>0</v>
      </c>
      <c r="K231" s="2" t="str">
        <f t="shared" si="19"/>
        <v xml:space="preserve"> </v>
      </c>
      <c r="L231" s="2" t="str">
        <f t="shared" si="16"/>
        <v xml:space="preserve"> </v>
      </c>
      <c r="M231" s="2" t="str">
        <f t="shared" si="17"/>
        <v xml:space="preserve"> </v>
      </c>
    </row>
    <row r="232" spans="1:13" x14ac:dyDescent="0.25">
      <c r="A232" s="43" t="str">
        <f t="shared" si="15"/>
        <v xml:space="preserve"> </v>
      </c>
      <c r="D232" s="42"/>
      <c r="E232" s="42"/>
      <c r="J232" s="17">
        <f t="shared" si="18"/>
        <v>0</v>
      </c>
      <c r="K232" s="2" t="str">
        <f t="shared" si="19"/>
        <v xml:space="preserve"> </v>
      </c>
      <c r="L232" s="2" t="str">
        <f t="shared" si="16"/>
        <v xml:space="preserve"> </v>
      </c>
      <c r="M232" s="2" t="str">
        <f t="shared" si="17"/>
        <v xml:space="preserve"> </v>
      </c>
    </row>
    <row r="233" spans="1:13" x14ac:dyDescent="0.25">
      <c r="A233" s="43" t="str">
        <f t="shared" si="15"/>
        <v xml:space="preserve"> </v>
      </c>
      <c r="D233" s="42"/>
      <c r="E233" s="42"/>
      <c r="J233" s="17">
        <f t="shared" si="18"/>
        <v>0</v>
      </c>
      <c r="K233" s="2" t="str">
        <f t="shared" si="19"/>
        <v xml:space="preserve"> </v>
      </c>
      <c r="L233" s="2" t="str">
        <f t="shared" si="16"/>
        <v xml:space="preserve"> </v>
      </c>
      <c r="M233" s="2" t="str">
        <f t="shared" si="17"/>
        <v xml:space="preserve"> </v>
      </c>
    </row>
    <row r="234" spans="1:13" x14ac:dyDescent="0.25">
      <c r="A234" s="43" t="str">
        <f t="shared" si="15"/>
        <v xml:space="preserve"> </v>
      </c>
      <c r="D234" s="42"/>
      <c r="E234" s="42"/>
      <c r="J234" s="17">
        <f t="shared" si="18"/>
        <v>0</v>
      </c>
      <c r="K234" s="2" t="str">
        <f t="shared" si="19"/>
        <v xml:space="preserve"> </v>
      </c>
      <c r="L234" s="2" t="str">
        <f t="shared" si="16"/>
        <v xml:space="preserve"> </v>
      </c>
      <c r="M234" s="2" t="str">
        <f t="shared" si="17"/>
        <v xml:space="preserve"> </v>
      </c>
    </row>
    <row r="235" spans="1:13" x14ac:dyDescent="0.25">
      <c r="A235" s="43" t="str">
        <f t="shared" si="15"/>
        <v xml:space="preserve"> </v>
      </c>
      <c r="D235" s="42"/>
      <c r="E235" s="42"/>
      <c r="J235" s="17">
        <f t="shared" si="18"/>
        <v>0</v>
      </c>
      <c r="K235" s="2" t="str">
        <f t="shared" si="19"/>
        <v xml:space="preserve"> </v>
      </c>
      <c r="L235" s="2" t="str">
        <f t="shared" si="16"/>
        <v xml:space="preserve"> </v>
      </c>
      <c r="M235" s="2" t="str">
        <f t="shared" si="17"/>
        <v xml:space="preserve"> </v>
      </c>
    </row>
    <row r="236" spans="1:13" x14ac:dyDescent="0.25">
      <c r="A236" s="43" t="str">
        <f t="shared" si="15"/>
        <v xml:space="preserve"> </v>
      </c>
      <c r="D236" s="42"/>
      <c r="E236" s="42"/>
      <c r="J236" s="17">
        <f t="shared" si="18"/>
        <v>0</v>
      </c>
      <c r="K236" s="2" t="str">
        <f t="shared" si="19"/>
        <v xml:space="preserve"> </v>
      </c>
      <c r="L236" s="2" t="str">
        <f t="shared" si="16"/>
        <v xml:space="preserve"> </v>
      </c>
      <c r="M236" s="2" t="str">
        <f t="shared" si="17"/>
        <v xml:space="preserve"> </v>
      </c>
    </row>
    <row r="237" spans="1:13" x14ac:dyDescent="0.25">
      <c r="A237" s="43" t="str">
        <f t="shared" si="15"/>
        <v xml:space="preserve"> </v>
      </c>
      <c r="D237" s="42"/>
      <c r="E237" s="42"/>
      <c r="J237" s="17">
        <f t="shared" si="18"/>
        <v>0</v>
      </c>
      <c r="K237" s="2" t="str">
        <f t="shared" si="19"/>
        <v xml:space="preserve"> </v>
      </c>
      <c r="L237" s="2" t="str">
        <f t="shared" si="16"/>
        <v xml:space="preserve"> </v>
      </c>
      <c r="M237" s="2" t="str">
        <f t="shared" si="17"/>
        <v xml:space="preserve"> </v>
      </c>
    </row>
    <row r="238" spans="1:13" x14ac:dyDescent="0.25">
      <c r="A238" s="43" t="str">
        <f t="shared" si="15"/>
        <v xml:space="preserve"> </v>
      </c>
      <c r="D238" s="42"/>
      <c r="E238" s="42"/>
      <c r="J238" s="17">
        <f t="shared" si="18"/>
        <v>0</v>
      </c>
      <c r="K238" s="2" t="str">
        <f t="shared" si="19"/>
        <v xml:space="preserve"> </v>
      </c>
      <c r="L238" s="2" t="str">
        <f t="shared" si="16"/>
        <v xml:space="preserve"> </v>
      </c>
      <c r="M238" s="2" t="str">
        <f t="shared" si="17"/>
        <v xml:space="preserve"> </v>
      </c>
    </row>
    <row r="239" spans="1:13" x14ac:dyDescent="0.25">
      <c r="A239" s="43" t="str">
        <f t="shared" si="15"/>
        <v xml:space="preserve"> </v>
      </c>
      <c r="D239" s="42"/>
      <c r="E239" s="42"/>
      <c r="J239" s="17">
        <f t="shared" si="18"/>
        <v>0</v>
      </c>
      <c r="K239" s="2" t="str">
        <f t="shared" si="19"/>
        <v xml:space="preserve"> </v>
      </c>
      <c r="L239" s="2" t="str">
        <f t="shared" si="16"/>
        <v xml:space="preserve"> </v>
      </c>
      <c r="M239" s="2" t="str">
        <f t="shared" si="17"/>
        <v xml:space="preserve"> </v>
      </c>
    </row>
    <row r="240" spans="1:13" x14ac:dyDescent="0.25">
      <c r="A240" s="43" t="str">
        <f t="shared" si="15"/>
        <v xml:space="preserve"> </v>
      </c>
      <c r="D240" s="42"/>
      <c r="E240" s="42"/>
      <c r="J240" s="17">
        <f t="shared" si="18"/>
        <v>0</v>
      </c>
      <c r="K240" s="2" t="str">
        <f t="shared" si="19"/>
        <v xml:space="preserve"> </v>
      </c>
      <c r="L240" s="2" t="str">
        <f t="shared" si="16"/>
        <v xml:space="preserve"> </v>
      </c>
      <c r="M240" s="2" t="str">
        <f t="shared" si="17"/>
        <v xml:space="preserve"> </v>
      </c>
    </row>
    <row r="241" spans="1:13" x14ac:dyDescent="0.25">
      <c r="A241" s="43" t="str">
        <f t="shared" si="15"/>
        <v xml:space="preserve"> </v>
      </c>
      <c r="D241" s="42"/>
      <c r="E241" s="42"/>
      <c r="J241" s="17">
        <f t="shared" si="18"/>
        <v>0</v>
      </c>
      <c r="K241" s="2" t="str">
        <f t="shared" si="19"/>
        <v xml:space="preserve"> </v>
      </c>
      <c r="L241" s="2" t="str">
        <f t="shared" si="16"/>
        <v xml:space="preserve"> </v>
      </c>
      <c r="M241" s="2" t="str">
        <f t="shared" si="17"/>
        <v xml:space="preserve"> </v>
      </c>
    </row>
    <row r="242" spans="1:13" x14ac:dyDescent="0.25">
      <c r="A242" s="43" t="str">
        <f t="shared" si="15"/>
        <v xml:space="preserve"> </v>
      </c>
      <c r="D242" s="42"/>
      <c r="E242" s="42"/>
      <c r="J242" s="17">
        <f t="shared" si="18"/>
        <v>0</v>
      </c>
      <c r="K242" s="2" t="str">
        <f t="shared" si="19"/>
        <v xml:space="preserve"> </v>
      </c>
      <c r="L242" s="2" t="str">
        <f t="shared" si="16"/>
        <v xml:space="preserve"> </v>
      </c>
      <c r="M242" s="2" t="str">
        <f t="shared" si="17"/>
        <v xml:space="preserve"> </v>
      </c>
    </row>
    <row r="243" spans="1:13" x14ac:dyDescent="0.25">
      <c r="A243" s="43" t="str">
        <f t="shared" si="15"/>
        <v xml:space="preserve"> </v>
      </c>
      <c r="D243" s="42"/>
      <c r="E243" s="42"/>
      <c r="J243" s="17">
        <f t="shared" si="18"/>
        <v>0</v>
      </c>
      <c r="K243" s="2" t="str">
        <f t="shared" si="19"/>
        <v xml:space="preserve"> </v>
      </c>
      <c r="L243" s="2" t="str">
        <f t="shared" si="16"/>
        <v xml:space="preserve"> </v>
      </c>
      <c r="M243" s="2" t="str">
        <f t="shared" si="17"/>
        <v xml:space="preserve"> </v>
      </c>
    </row>
    <row r="244" spans="1:13" x14ac:dyDescent="0.25">
      <c r="A244" s="43" t="str">
        <f t="shared" si="15"/>
        <v xml:space="preserve"> </v>
      </c>
      <c r="D244" s="42"/>
      <c r="E244" s="42"/>
      <c r="J244" s="17">
        <f t="shared" si="18"/>
        <v>0</v>
      </c>
      <c r="K244" s="2" t="str">
        <f t="shared" si="19"/>
        <v xml:space="preserve"> </v>
      </c>
      <c r="L244" s="2" t="str">
        <f t="shared" si="16"/>
        <v xml:space="preserve"> </v>
      </c>
      <c r="M244" s="2" t="str">
        <f t="shared" si="17"/>
        <v xml:space="preserve"> </v>
      </c>
    </row>
    <row r="245" spans="1:13" x14ac:dyDescent="0.25">
      <c r="A245" s="43" t="str">
        <f t="shared" si="15"/>
        <v xml:space="preserve"> </v>
      </c>
      <c r="D245" s="42"/>
      <c r="E245" s="42"/>
      <c r="J245" s="17">
        <f t="shared" si="18"/>
        <v>0</v>
      </c>
      <c r="K245" s="2" t="str">
        <f t="shared" si="19"/>
        <v xml:space="preserve"> </v>
      </c>
      <c r="L245" s="2" t="str">
        <f t="shared" si="16"/>
        <v xml:space="preserve"> </v>
      </c>
      <c r="M245" s="2" t="str">
        <f t="shared" si="17"/>
        <v xml:space="preserve"> </v>
      </c>
    </row>
    <row r="246" spans="1:13" x14ac:dyDescent="0.25">
      <c r="A246" s="43" t="str">
        <f t="shared" si="15"/>
        <v xml:space="preserve"> </v>
      </c>
      <c r="D246" s="42"/>
      <c r="E246" s="42"/>
      <c r="J246" s="17">
        <f t="shared" si="18"/>
        <v>0</v>
      </c>
      <c r="K246" s="2" t="str">
        <f t="shared" si="19"/>
        <v xml:space="preserve"> </v>
      </c>
      <c r="L246" s="2" t="str">
        <f t="shared" si="16"/>
        <v xml:space="preserve"> </v>
      </c>
      <c r="M246" s="2" t="str">
        <f t="shared" si="17"/>
        <v xml:space="preserve"> </v>
      </c>
    </row>
    <row r="247" spans="1:13" x14ac:dyDescent="0.25">
      <c r="A247" s="43" t="str">
        <f t="shared" si="15"/>
        <v xml:space="preserve"> </v>
      </c>
      <c r="D247" s="42"/>
      <c r="E247" s="42"/>
      <c r="J247" s="17">
        <f t="shared" si="18"/>
        <v>0</v>
      </c>
      <c r="K247" s="2" t="str">
        <f t="shared" si="19"/>
        <v xml:space="preserve"> </v>
      </c>
      <c r="L247" s="2" t="str">
        <f t="shared" si="16"/>
        <v xml:space="preserve"> </v>
      </c>
      <c r="M247" s="2" t="str">
        <f t="shared" si="17"/>
        <v xml:space="preserve"> </v>
      </c>
    </row>
    <row r="248" spans="1:13" x14ac:dyDescent="0.25">
      <c r="A248" s="43" t="str">
        <f t="shared" si="15"/>
        <v xml:space="preserve"> </v>
      </c>
      <c r="D248" s="42"/>
      <c r="E248" s="42"/>
      <c r="J248" s="17">
        <f t="shared" si="18"/>
        <v>0</v>
      </c>
      <c r="K248" s="2" t="str">
        <f t="shared" si="19"/>
        <v xml:space="preserve"> </v>
      </c>
      <c r="L248" s="2" t="str">
        <f t="shared" si="16"/>
        <v xml:space="preserve"> </v>
      </c>
      <c r="M248" s="2" t="str">
        <f t="shared" si="17"/>
        <v xml:space="preserve"> </v>
      </c>
    </row>
    <row r="249" spans="1:13" x14ac:dyDescent="0.25">
      <c r="A249" s="43" t="str">
        <f t="shared" si="15"/>
        <v xml:space="preserve"> </v>
      </c>
      <c r="D249" s="42"/>
      <c r="E249" s="42"/>
      <c r="J249" s="17">
        <f t="shared" si="18"/>
        <v>0</v>
      </c>
      <c r="K249" s="2" t="str">
        <f t="shared" si="19"/>
        <v xml:space="preserve"> </v>
      </c>
      <c r="L249" s="2" t="str">
        <f t="shared" si="16"/>
        <v xml:space="preserve"> </v>
      </c>
      <c r="M249" s="2" t="str">
        <f t="shared" si="17"/>
        <v xml:space="preserve"> </v>
      </c>
    </row>
    <row r="250" spans="1:13" x14ac:dyDescent="0.25">
      <c r="A250" s="43" t="str">
        <f t="shared" si="15"/>
        <v xml:space="preserve"> </v>
      </c>
      <c r="D250" s="42"/>
      <c r="E250" s="42"/>
      <c r="J250" s="17">
        <f t="shared" si="18"/>
        <v>0</v>
      </c>
      <c r="K250" s="2" t="str">
        <f t="shared" si="19"/>
        <v xml:space="preserve"> </v>
      </c>
      <c r="L250" s="2" t="str">
        <f t="shared" si="16"/>
        <v xml:space="preserve"> </v>
      </c>
      <c r="M250" s="2" t="str">
        <f t="shared" si="17"/>
        <v xml:space="preserve"> </v>
      </c>
    </row>
    <row r="251" spans="1:13" x14ac:dyDescent="0.25">
      <c r="A251" s="43" t="str">
        <f t="shared" si="15"/>
        <v xml:space="preserve"> </v>
      </c>
      <c r="D251" s="42"/>
      <c r="E251" s="42"/>
      <c r="J251" s="17">
        <f t="shared" si="18"/>
        <v>0</v>
      </c>
      <c r="K251" s="2" t="str">
        <f t="shared" si="19"/>
        <v xml:space="preserve"> </v>
      </c>
      <c r="L251" s="2" t="str">
        <f t="shared" si="16"/>
        <v xml:space="preserve"> </v>
      </c>
      <c r="M251" s="2" t="str">
        <f t="shared" si="17"/>
        <v xml:space="preserve"> </v>
      </c>
    </row>
    <row r="252" spans="1:13" x14ac:dyDescent="0.25">
      <c r="A252" s="43" t="str">
        <f t="shared" si="15"/>
        <v xml:space="preserve"> </v>
      </c>
      <c r="D252" s="42"/>
      <c r="E252" s="42"/>
      <c r="J252" s="17">
        <f t="shared" si="18"/>
        <v>0</v>
      </c>
      <c r="K252" s="2" t="str">
        <f t="shared" si="19"/>
        <v xml:space="preserve"> </v>
      </c>
      <c r="L252" s="2" t="str">
        <f t="shared" si="16"/>
        <v xml:space="preserve"> </v>
      </c>
      <c r="M252" s="2" t="str">
        <f t="shared" si="17"/>
        <v xml:space="preserve"> </v>
      </c>
    </row>
    <row r="253" spans="1:13" x14ac:dyDescent="0.25">
      <c r="A253" s="43" t="str">
        <f t="shared" si="15"/>
        <v xml:space="preserve"> </v>
      </c>
      <c r="D253" s="42"/>
      <c r="E253" s="42"/>
      <c r="J253" s="17">
        <f t="shared" si="18"/>
        <v>0</v>
      </c>
      <c r="K253" s="2" t="str">
        <f t="shared" si="19"/>
        <v xml:space="preserve"> </v>
      </c>
      <c r="L253" s="2" t="str">
        <f t="shared" si="16"/>
        <v xml:space="preserve"> </v>
      </c>
      <c r="M253" s="2" t="str">
        <f t="shared" si="17"/>
        <v xml:space="preserve"> </v>
      </c>
    </row>
    <row r="254" spans="1:13" x14ac:dyDescent="0.25">
      <c r="A254" s="43" t="str">
        <f t="shared" si="15"/>
        <v xml:space="preserve"> </v>
      </c>
      <c r="D254" s="42"/>
      <c r="E254" s="42"/>
      <c r="J254" s="17">
        <f t="shared" si="18"/>
        <v>0</v>
      </c>
      <c r="K254" s="2" t="str">
        <f t="shared" si="19"/>
        <v xml:space="preserve"> </v>
      </c>
      <c r="L254" s="2" t="str">
        <f t="shared" si="16"/>
        <v xml:space="preserve"> </v>
      </c>
      <c r="M254" s="2" t="str">
        <f t="shared" si="17"/>
        <v xml:space="preserve"> </v>
      </c>
    </row>
    <row r="255" spans="1:13" x14ac:dyDescent="0.25">
      <c r="A255" s="43" t="str">
        <f t="shared" si="15"/>
        <v xml:space="preserve"> </v>
      </c>
      <c r="D255" s="42"/>
      <c r="E255" s="42"/>
      <c r="J255" s="17">
        <f t="shared" si="18"/>
        <v>0</v>
      </c>
      <c r="K255" s="2" t="str">
        <f t="shared" si="19"/>
        <v xml:space="preserve"> </v>
      </c>
      <c r="L255" s="2" t="str">
        <f t="shared" si="16"/>
        <v xml:space="preserve"> </v>
      </c>
      <c r="M255" s="2" t="str">
        <f t="shared" si="17"/>
        <v xml:space="preserve"> </v>
      </c>
    </row>
    <row r="256" spans="1:13" x14ac:dyDescent="0.25">
      <c r="A256" s="43" t="str">
        <f t="shared" si="15"/>
        <v xml:space="preserve"> </v>
      </c>
      <c r="D256" s="42"/>
      <c r="E256" s="42"/>
      <c r="J256" s="17">
        <f t="shared" si="18"/>
        <v>0</v>
      </c>
      <c r="K256" s="2" t="str">
        <f t="shared" si="19"/>
        <v xml:space="preserve"> </v>
      </c>
      <c r="L256" s="2" t="str">
        <f t="shared" si="16"/>
        <v xml:space="preserve"> </v>
      </c>
      <c r="M256" s="2" t="str">
        <f t="shared" si="17"/>
        <v xml:space="preserve"> </v>
      </c>
    </row>
    <row r="257" spans="1:13" x14ac:dyDescent="0.25">
      <c r="A257" s="43" t="str">
        <f t="shared" si="15"/>
        <v xml:space="preserve"> </v>
      </c>
      <c r="D257" s="42"/>
      <c r="E257" s="42"/>
      <c r="J257" s="17">
        <f t="shared" si="18"/>
        <v>0</v>
      </c>
      <c r="K257" s="2" t="str">
        <f t="shared" si="19"/>
        <v xml:space="preserve"> </v>
      </c>
      <c r="L257" s="2" t="str">
        <f t="shared" si="16"/>
        <v xml:space="preserve"> </v>
      </c>
      <c r="M257" s="2" t="str">
        <f t="shared" si="17"/>
        <v xml:space="preserve"> </v>
      </c>
    </row>
    <row r="258" spans="1:13" x14ac:dyDescent="0.25">
      <c r="A258" s="43" t="str">
        <f t="shared" si="15"/>
        <v xml:space="preserve"> </v>
      </c>
      <c r="D258" s="42"/>
      <c r="E258" s="42"/>
      <c r="J258" s="17">
        <f t="shared" si="18"/>
        <v>0</v>
      </c>
      <c r="K258" s="2" t="str">
        <f t="shared" si="19"/>
        <v xml:space="preserve"> </v>
      </c>
      <c r="L258" s="2" t="str">
        <f t="shared" si="16"/>
        <v xml:space="preserve"> </v>
      </c>
      <c r="M258" s="2" t="str">
        <f t="shared" si="17"/>
        <v xml:space="preserve"> </v>
      </c>
    </row>
    <row r="259" spans="1:13" x14ac:dyDescent="0.25">
      <c r="A259" s="43" t="str">
        <f t="shared" si="15"/>
        <v xml:space="preserve"> </v>
      </c>
      <c r="D259" s="42"/>
      <c r="E259" s="42"/>
      <c r="J259" s="17">
        <f t="shared" si="18"/>
        <v>0</v>
      </c>
      <c r="K259" s="2" t="str">
        <f t="shared" si="19"/>
        <v xml:space="preserve"> </v>
      </c>
      <c r="L259" s="2" t="str">
        <f t="shared" si="16"/>
        <v xml:space="preserve"> </v>
      </c>
      <c r="M259" s="2" t="str">
        <f t="shared" si="17"/>
        <v xml:space="preserve"> </v>
      </c>
    </row>
    <row r="260" spans="1:13" x14ac:dyDescent="0.25">
      <c r="A260" s="43" t="str">
        <f t="shared" si="15"/>
        <v xml:space="preserve"> </v>
      </c>
      <c r="D260" s="42"/>
      <c r="E260" s="42"/>
      <c r="J260" s="17">
        <f t="shared" si="18"/>
        <v>0</v>
      </c>
      <c r="K260" s="2" t="str">
        <f t="shared" si="19"/>
        <v xml:space="preserve"> </v>
      </c>
      <c r="L260" s="2" t="str">
        <f t="shared" si="16"/>
        <v xml:space="preserve"> </v>
      </c>
      <c r="M260" s="2" t="str">
        <f t="shared" si="17"/>
        <v xml:space="preserve"> </v>
      </c>
    </row>
    <row r="261" spans="1:13" x14ac:dyDescent="0.25">
      <c r="A261" s="43" t="str">
        <f t="shared" si="15"/>
        <v xml:space="preserve"> </v>
      </c>
      <c r="D261" s="42"/>
      <c r="E261" s="42"/>
      <c r="J261" s="17">
        <f t="shared" si="18"/>
        <v>0</v>
      </c>
      <c r="K261" s="2" t="str">
        <f t="shared" si="19"/>
        <v xml:space="preserve"> </v>
      </c>
      <c r="L261" s="2" t="str">
        <f t="shared" si="16"/>
        <v xml:space="preserve"> </v>
      </c>
      <c r="M261" s="2" t="str">
        <f t="shared" si="17"/>
        <v xml:space="preserve"> </v>
      </c>
    </row>
    <row r="262" spans="1:13" x14ac:dyDescent="0.25">
      <c r="A262" s="43" t="str">
        <f t="shared" si="15"/>
        <v xml:space="preserve"> </v>
      </c>
      <c r="D262" s="42"/>
      <c r="E262" s="42"/>
      <c r="J262" s="17">
        <f t="shared" si="18"/>
        <v>0</v>
      </c>
      <c r="K262" s="2" t="str">
        <f t="shared" si="19"/>
        <v xml:space="preserve"> </v>
      </c>
      <c r="L262" s="2" t="str">
        <f t="shared" si="16"/>
        <v xml:space="preserve"> </v>
      </c>
      <c r="M262" s="2" t="str">
        <f t="shared" si="17"/>
        <v xml:space="preserve"> </v>
      </c>
    </row>
    <row r="263" spans="1:13" x14ac:dyDescent="0.25">
      <c r="A263" s="43" t="str">
        <f t="shared" si="15"/>
        <v xml:space="preserve"> </v>
      </c>
      <c r="D263" s="42"/>
      <c r="E263" s="42"/>
      <c r="J263" s="17">
        <f t="shared" si="18"/>
        <v>0</v>
      </c>
      <c r="K263" s="2" t="str">
        <f t="shared" si="19"/>
        <v xml:space="preserve"> </v>
      </c>
      <c r="L263" s="2" t="str">
        <f t="shared" si="16"/>
        <v xml:space="preserve"> </v>
      </c>
      <c r="M263" s="2" t="str">
        <f t="shared" si="17"/>
        <v xml:space="preserve"> </v>
      </c>
    </row>
    <row r="264" spans="1:13" x14ac:dyDescent="0.25">
      <c r="A264" s="43" t="str">
        <f t="shared" si="15"/>
        <v xml:space="preserve"> </v>
      </c>
      <c r="D264" s="42"/>
      <c r="E264" s="42"/>
      <c r="J264" s="17">
        <f t="shared" si="18"/>
        <v>0</v>
      </c>
      <c r="K264" s="2" t="str">
        <f t="shared" si="19"/>
        <v xml:space="preserve"> </v>
      </c>
      <c r="L264" s="2" t="str">
        <f t="shared" si="16"/>
        <v xml:space="preserve"> </v>
      </c>
      <c r="M264" s="2" t="str">
        <f t="shared" si="17"/>
        <v xml:space="preserve"> </v>
      </c>
    </row>
    <row r="265" spans="1:13" x14ac:dyDescent="0.25">
      <c r="A265" s="43" t="str">
        <f t="shared" si="15"/>
        <v xml:space="preserve"> </v>
      </c>
      <c r="D265" s="42"/>
      <c r="E265" s="42"/>
      <c r="J265" s="17">
        <f t="shared" si="18"/>
        <v>0</v>
      </c>
      <c r="K265" s="2" t="str">
        <f t="shared" si="19"/>
        <v xml:space="preserve"> </v>
      </c>
      <c r="L265" s="2" t="str">
        <f t="shared" si="16"/>
        <v xml:space="preserve"> </v>
      </c>
      <c r="M265" s="2" t="str">
        <f t="shared" si="17"/>
        <v xml:space="preserve"> </v>
      </c>
    </row>
    <row r="266" spans="1:13" x14ac:dyDescent="0.25">
      <c r="A266" s="43" t="str">
        <f t="shared" si="15"/>
        <v xml:space="preserve"> </v>
      </c>
      <c r="D266" s="42"/>
      <c r="E266" s="42"/>
      <c r="J266" s="17">
        <f t="shared" si="18"/>
        <v>0</v>
      </c>
      <c r="K266" s="2" t="str">
        <f t="shared" si="19"/>
        <v xml:space="preserve"> </v>
      </c>
      <c r="L266" s="2" t="str">
        <f t="shared" si="16"/>
        <v xml:space="preserve"> </v>
      </c>
      <c r="M266" s="2" t="str">
        <f t="shared" si="17"/>
        <v xml:space="preserve"> </v>
      </c>
    </row>
    <row r="267" spans="1:13" x14ac:dyDescent="0.25">
      <c r="A267" s="43" t="str">
        <f t="shared" si="15"/>
        <v xml:space="preserve"> </v>
      </c>
      <c r="D267" s="42"/>
      <c r="E267" s="42"/>
      <c r="J267" s="17">
        <f t="shared" si="18"/>
        <v>0</v>
      </c>
      <c r="K267" s="2" t="str">
        <f t="shared" si="19"/>
        <v xml:space="preserve"> </v>
      </c>
      <c r="L267" s="2" t="str">
        <f t="shared" si="16"/>
        <v xml:space="preserve"> </v>
      </c>
      <c r="M267" s="2" t="str">
        <f t="shared" si="17"/>
        <v xml:space="preserve"> </v>
      </c>
    </row>
    <row r="268" spans="1:13" x14ac:dyDescent="0.25">
      <c r="A268" s="43" t="str">
        <f t="shared" si="15"/>
        <v xml:space="preserve"> </v>
      </c>
      <c r="D268" s="42"/>
      <c r="E268" s="42"/>
      <c r="J268" s="17">
        <f t="shared" si="18"/>
        <v>0</v>
      </c>
      <c r="K268" s="2" t="str">
        <f t="shared" si="19"/>
        <v xml:space="preserve"> </v>
      </c>
      <c r="L268" s="2" t="str">
        <f t="shared" si="16"/>
        <v xml:space="preserve"> </v>
      </c>
      <c r="M268" s="2" t="str">
        <f t="shared" si="17"/>
        <v xml:space="preserve"> </v>
      </c>
    </row>
    <row r="269" spans="1:13" x14ac:dyDescent="0.25">
      <c r="A269" s="43" t="str">
        <f t="shared" si="15"/>
        <v xml:space="preserve"> </v>
      </c>
      <c r="D269" s="42"/>
      <c r="E269" s="42"/>
      <c r="J269" s="17">
        <f t="shared" si="18"/>
        <v>0</v>
      </c>
      <c r="K269" s="2" t="str">
        <f t="shared" si="19"/>
        <v xml:space="preserve"> </v>
      </c>
      <c r="L269" s="2" t="str">
        <f t="shared" si="16"/>
        <v xml:space="preserve"> </v>
      </c>
      <c r="M269" s="2" t="str">
        <f t="shared" si="17"/>
        <v xml:space="preserve"> </v>
      </c>
    </row>
    <row r="270" spans="1:13" x14ac:dyDescent="0.25">
      <c r="A270" s="43" t="str">
        <f t="shared" si="15"/>
        <v xml:space="preserve"> </v>
      </c>
      <c r="D270" s="42"/>
      <c r="E270" s="42"/>
      <c r="J270" s="17">
        <f t="shared" si="18"/>
        <v>0</v>
      </c>
      <c r="K270" s="2" t="str">
        <f t="shared" si="19"/>
        <v xml:space="preserve"> </v>
      </c>
      <c r="L270" s="2" t="str">
        <f t="shared" si="16"/>
        <v xml:space="preserve"> </v>
      </c>
      <c r="M270" s="2" t="str">
        <f t="shared" si="17"/>
        <v xml:space="preserve"> </v>
      </c>
    </row>
    <row r="271" spans="1:13" x14ac:dyDescent="0.25">
      <c r="A271" s="43" t="str">
        <f t="shared" ref="A271:A334" si="20">IF(COUNTIF(K271:M271,"ERROR")&gt;0,"ERROR"," ")</f>
        <v xml:space="preserve"> </v>
      </c>
      <c r="D271" s="42"/>
      <c r="E271" s="42"/>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43" t="str">
        <f t="shared" si="20"/>
        <v xml:space="preserve"> </v>
      </c>
      <c r="D272" s="42"/>
      <c r="E272" s="42"/>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3" t="str">
        <f t="shared" si="20"/>
        <v xml:space="preserve"> </v>
      </c>
      <c r="D273" s="42"/>
      <c r="E273" s="42"/>
      <c r="J273" s="17">
        <f t="shared" si="23"/>
        <v>0</v>
      </c>
      <c r="K273" s="2" t="str">
        <f t="shared" si="24"/>
        <v xml:space="preserve"> </v>
      </c>
      <c r="L273" s="2" t="str">
        <f t="shared" si="21"/>
        <v xml:space="preserve"> </v>
      </c>
      <c r="M273" s="2" t="str">
        <f t="shared" si="22"/>
        <v xml:space="preserve"> </v>
      </c>
    </row>
    <row r="274" spans="1:13" x14ac:dyDescent="0.25">
      <c r="A274" s="43" t="str">
        <f t="shared" si="20"/>
        <v xml:space="preserve"> </v>
      </c>
      <c r="D274" s="42"/>
      <c r="E274" s="42"/>
      <c r="J274" s="17">
        <f t="shared" si="23"/>
        <v>0</v>
      </c>
      <c r="K274" s="2" t="str">
        <f t="shared" si="24"/>
        <v xml:space="preserve"> </v>
      </c>
      <c r="L274" s="2" t="str">
        <f t="shared" si="21"/>
        <v xml:space="preserve"> </v>
      </c>
      <c r="M274" s="2" t="str">
        <f t="shared" si="22"/>
        <v xml:space="preserve"> </v>
      </c>
    </row>
    <row r="275" spans="1:13" x14ac:dyDescent="0.25">
      <c r="A275" s="43" t="str">
        <f t="shared" si="20"/>
        <v xml:space="preserve"> </v>
      </c>
      <c r="D275" s="42"/>
      <c r="E275" s="42"/>
      <c r="J275" s="17">
        <f t="shared" si="23"/>
        <v>0</v>
      </c>
      <c r="K275" s="2" t="str">
        <f t="shared" si="24"/>
        <v xml:space="preserve"> </v>
      </c>
      <c r="L275" s="2" t="str">
        <f t="shared" si="21"/>
        <v xml:space="preserve"> </v>
      </c>
      <c r="M275" s="2" t="str">
        <f t="shared" si="22"/>
        <v xml:space="preserve"> </v>
      </c>
    </row>
    <row r="276" spans="1:13" x14ac:dyDescent="0.25">
      <c r="A276" s="43" t="str">
        <f t="shared" si="20"/>
        <v xml:space="preserve"> </v>
      </c>
      <c r="D276" s="42"/>
      <c r="E276" s="42"/>
      <c r="J276" s="17">
        <f t="shared" si="23"/>
        <v>0</v>
      </c>
      <c r="K276" s="2" t="str">
        <f t="shared" si="24"/>
        <v xml:space="preserve"> </v>
      </c>
      <c r="L276" s="2" t="str">
        <f t="shared" si="21"/>
        <v xml:space="preserve"> </v>
      </c>
      <c r="M276" s="2" t="str">
        <f t="shared" si="22"/>
        <v xml:space="preserve"> </v>
      </c>
    </row>
    <row r="277" spans="1:13" x14ac:dyDescent="0.25">
      <c r="A277" s="43" t="str">
        <f t="shared" si="20"/>
        <v xml:space="preserve"> </v>
      </c>
      <c r="D277" s="42"/>
      <c r="E277" s="42"/>
      <c r="J277" s="17">
        <f t="shared" si="23"/>
        <v>0</v>
      </c>
      <c r="K277" s="2" t="str">
        <f t="shared" si="24"/>
        <v xml:space="preserve"> </v>
      </c>
      <c r="L277" s="2" t="str">
        <f t="shared" si="21"/>
        <v xml:space="preserve"> </v>
      </c>
      <c r="M277" s="2" t="str">
        <f t="shared" si="22"/>
        <v xml:space="preserve"> </v>
      </c>
    </row>
    <row r="278" spans="1:13" x14ac:dyDescent="0.25">
      <c r="A278" s="43" t="str">
        <f t="shared" si="20"/>
        <v xml:space="preserve"> </v>
      </c>
      <c r="D278" s="42"/>
      <c r="E278" s="42"/>
      <c r="J278" s="17">
        <f t="shared" si="23"/>
        <v>0</v>
      </c>
      <c r="K278" s="2" t="str">
        <f t="shared" si="24"/>
        <v xml:space="preserve"> </v>
      </c>
      <c r="L278" s="2" t="str">
        <f t="shared" si="21"/>
        <v xml:space="preserve"> </v>
      </c>
      <c r="M278" s="2" t="str">
        <f t="shared" si="22"/>
        <v xml:space="preserve"> </v>
      </c>
    </row>
    <row r="279" spans="1:13" x14ac:dyDescent="0.25">
      <c r="A279" s="43" t="str">
        <f t="shared" si="20"/>
        <v xml:space="preserve"> </v>
      </c>
      <c r="D279" s="42"/>
      <c r="E279" s="42"/>
      <c r="J279" s="17">
        <f t="shared" si="23"/>
        <v>0</v>
      </c>
      <c r="K279" s="2" t="str">
        <f t="shared" si="24"/>
        <v xml:space="preserve"> </v>
      </c>
      <c r="L279" s="2" t="str">
        <f t="shared" si="21"/>
        <v xml:space="preserve"> </v>
      </c>
      <c r="M279" s="2" t="str">
        <f t="shared" si="22"/>
        <v xml:space="preserve"> </v>
      </c>
    </row>
    <row r="280" spans="1:13" x14ac:dyDescent="0.25">
      <c r="A280" s="43" t="str">
        <f t="shared" si="20"/>
        <v xml:space="preserve"> </v>
      </c>
      <c r="D280" s="42"/>
      <c r="E280" s="42"/>
      <c r="J280" s="17">
        <f t="shared" si="23"/>
        <v>0</v>
      </c>
      <c r="K280" s="2" t="str">
        <f t="shared" si="24"/>
        <v xml:space="preserve"> </v>
      </c>
      <c r="L280" s="2" t="str">
        <f t="shared" si="21"/>
        <v xml:space="preserve"> </v>
      </c>
      <c r="M280" s="2" t="str">
        <f t="shared" si="22"/>
        <v xml:space="preserve"> </v>
      </c>
    </row>
    <row r="281" spans="1:13" x14ac:dyDescent="0.25">
      <c r="A281" s="43" t="str">
        <f t="shared" si="20"/>
        <v xml:space="preserve"> </v>
      </c>
      <c r="D281" s="42"/>
      <c r="E281" s="42"/>
      <c r="J281" s="17">
        <f t="shared" si="23"/>
        <v>0</v>
      </c>
      <c r="K281" s="2" t="str">
        <f t="shared" si="24"/>
        <v xml:space="preserve"> </v>
      </c>
      <c r="L281" s="2" t="str">
        <f t="shared" si="21"/>
        <v xml:space="preserve"> </v>
      </c>
      <c r="M281" s="2" t="str">
        <f t="shared" si="22"/>
        <v xml:space="preserve"> </v>
      </c>
    </row>
    <row r="282" spans="1:13" x14ac:dyDescent="0.25">
      <c r="A282" s="43" t="str">
        <f t="shared" si="20"/>
        <v xml:space="preserve"> </v>
      </c>
      <c r="D282" s="42"/>
      <c r="E282" s="42"/>
      <c r="J282" s="17">
        <f t="shared" si="23"/>
        <v>0</v>
      </c>
      <c r="K282" s="2" t="str">
        <f t="shared" si="24"/>
        <v xml:space="preserve"> </v>
      </c>
      <c r="L282" s="2" t="str">
        <f t="shared" si="21"/>
        <v xml:space="preserve"> </v>
      </c>
      <c r="M282" s="2" t="str">
        <f t="shared" si="22"/>
        <v xml:space="preserve"> </v>
      </c>
    </row>
    <row r="283" spans="1:13" x14ac:dyDescent="0.25">
      <c r="A283" s="43" t="str">
        <f t="shared" si="20"/>
        <v xml:space="preserve"> </v>
      </c>
      <c r="D283" s="42"/>
      <c r="E283" s="42"/>
      <c r="J283" s="17">
        <f t="shared" si="23"/>
        <v>0</v>
      </c>
      <c r="K283" s="2" t="str">
        <f t="shared" si="24"/>
        <v xml:space="preserve"> </v>
      </c>
      <c r="L283" s="2" t="str">
        <f t="shared" si="21"/>
        <v xml:space="preserve"> </v>
      </c>
      <c r="M283" s="2" t="str">
        <f t="shared" si="22"/>
        <v xml:space="preserve"> </v>
      </c>
    </row>
    <row r="284" spans="1:13" x14ac:dyDescent="0.25">
      <c r="A284" s="43" t="str">
        <f t="shared" si="20"/>
        <v xml:space="preserve"> </v>
      </c>
      <c r="D284" s="42"/>
      <c r="E284" s="42"/>
      <c r="J284" s="17">
        <f t="shared" si="23"/>
        <v>0</v>
      </c>
      <c r="K284" s="2" t="str">
        <f t="shared" si="24"/>
        <v xml:space="preserve"> </v>
      </c>
      <c r="L284" s="2" t="str">
        <f t="shared" si="21"/>
        <v xml:space="preserve"> </v>
      </c>
      <c r="M284" s="2" t="str">
        <f t="shared" si="22"/>
        <v xml:space="preserve"> </v>
      </c>
    </row>
    <row r="285" spans="1:13" x14ac:dyDescent="0.25">
      <c r="A285" s="43" t="str">
        <f t="shared" si="20"/>
        <v xml:space="preserve"> </v>
      </c>
      <c r="D285" s="42"/>
      <c r="E285" s="42"/>
      <c r="J285" s="17">
        <f t="shared" si="23"/>
        <v>0</v>
      </c>
      <c r="K285" s="2" t="str">
        <f t="shared" si="24"/>
        <v xml:space="preserve"> </v>
      </c>
      <c r="L285" s="2" t="str">
        <f t="shared" si="21"/>
        <v xml:space="preserve"> </v>
      </c>
      <c r="M285" s="2" t="str">
        <f t="shared" si="22"/>
        <v xml:space="preserve"> </v>
      </c>
    </row>
    <row r="286" spans="1:13" x14ac:dyDescent="0.25">
      <c r="A286" s="43" t="str">
        <f t="shared" si="20"/>
        <v xml:space="preserve"> </v>
      </c>
      <c r="D286" s="42"/>
      <c r="E286" s="42"/>
      <c r="J286" s="17">
        <f t="shared" si="23"/>
        <v>0</v>
      </c>
      <c r="K286" s="2" t="str">
        <f t="shared" si="24"/>
        <v xml:space="preserve"> </v>
      </c>
      <c r="L286" s="2" t="str">
        <f t="shared" si="21"/>
        <v xml:space="preserve"> </v>
      </c>
      <c r="M286" s="2" t="str">
        <f t="shared" si="22"/>
        <v xml:space="preserve"> </v>
      </c>
    </row>
    <row r="287" spans="1:13" x14ac:dyDescent="0.25">
      <c r="A287" s="43" t="str">
        <f t="shared" si="20"/>
        <v xml:space="preserve"> </v>
      </c>
      <c r="D287" s="42"/>
      <c r="E287" s="42"/>
      <c r="J287" s="17">
        <f t="shared" si="23"/>
        <v>0</v>
      </c>
      <c r="K287" s="2" t="str">
        <f t="shared" si="24"/>
        <v xml:space="preserve"> </v>
      </c>
      <c r="L287" s="2" t="str">
        <f t="shared" si="21"/>
        <v xml:space="preserve"> </v>
      </c>
      <c r="M287" s="2" t="str">
        <f t="shared" si="22"/>
        <v xml:space="preserve"> </v>
      </c>
    </row>
    <row r="288" spans="1:13" x14ac:dyDescent="0.25">
      <c r="A288" s="43" t="str">
        <f t="shared" si="20"/>
        <v xml:space="preserve"> </v>
      </c>
      <c r="D288" s="42"/>
      <c r="E288" s="42"/>
      <c r="J288" s="17">
        <f t="shared" si="23"/>
        <v>0</v>
      </c>
      <c r="K288" s="2" t="str">
        <f t="shared" si="24"/>
        <v xml:space="preserve"> </v>
      </c>
      <c r="L288" s="2" t="str">
        <f t="shared" si="21"/>
        <v xml:space="preserve"> </v>
      </c>
      <c r="M288" s="2" t="str">
        <f t="shared" si="22"/>
        <v xml:space="preserve"> </v>
      </c>
    </row>
    <row r="289" spans="1:13" x14ac:dyDescent="0.25">
      <c r="A289" s="43" t="str">
        <f t="shared" si="20"/>
        <v xml:space="preserve"> </v>
      </c>
      <c r="D289" s="42"/>
      <c r="E289" s="42"/>
      <c r="J289" s="17">
        <f t="shared" si="23"/>
        <v>0</v>
      </c>
      <c r="K289" s="2" t="str">
        <f t="shared" si="24"/>
        <v xml:space="preserve"> </v>
      </c>
      <c r="L289" s="2" t="str">
        <f t="shared" si="21"/>
        <v xml:space="preserve"> </v>
      </c>
      <c r="M289" s="2" t="str">
        <f t="shared" si="22"/>
        <v xml:space="preserve"> </v>
      </c>
    </row>
    <row r="290" spans="1:13" x14ac:dyDescent="0.25">
      <c r="A290" s="43" t="str">
        <f t="shared" si="20"/>
        <v xml:space="preserve"> </v>
      </c>
      <c r="D290" s="42"/>
      <c r="E290" s="42"/>
      <c r="J290" s="17">
        <f t="shared" si="23"/>
        <v>0</v>
      </c>
      <c r="K290" s="2" t="str">
        <f t="shared" si="24"/>
        <v xml:space="preserve"> </v>
      </c>
      <c r="L290" s="2" t="str">
        <f t="shared" si="21"/>
        <v xml:space="preserve"> </v>
      </c>
      <c r="M290" s="2" t="str">
        <f t="shared" si="22"/>
        <v xml:space="preserve"> </v>
      </c>
    </row>
    <row r="291" spans="1:13" x14ac:dyDescent="0.25">
      <c r="A291" s="43" t="str">
        <f t="shared" si="20"/>
        <v xml:space="preserve"> </v>
      </c>
      <c r="D291" s="42"/>
      <c r="E291" s="42"/>
      <c r="J291" s="17">
        <f t="shared" si="23"/>
        <v>0</v>
      </c>
      <c r="K291" s="2" t="str">
        <f t="shared" si="24"/>
        <v xml:space="preserve"> </v>
      </c>
      <c r="L291" s="2" t="str">
        <f t="shared" si="21"/>
        <v xml:space="preserve"> </v>
      </c>
      <c r="M291" s="2" t="str">
        <f t="shared" si="22"/>
        <v xml:space="preserve"> </v>
      </c>
    </row>
    <row r="292" spans="1:13" x14ac:dyDescent="0.25">
      <c r="A292" s="43" t="str">
        <f t="shared" si="20"/>
        <v xml:space="preserve"> </v>
      </c>
      <c r="D292" s="42"/>
      <c r="E292" s="42"/>
      <c r="J292" s="17">
        <f t="shared" si="23"/>
        <v>0</v>
      </c>
      <c r="K292" s="2" t="str">
        <f t="shared" si="24"/>
        <v xml:space="preserve"> </v>
      </c>
      <c r="L292" s="2" t="str">
        <f t="shared" si="21"/>
        <v xml:space="preserve"> </v>
      </c>
      <c r="M292" s="2" t="str">
        <f t="shared" si="22"/>
        <v xml:space="preserve"> </v>
      </c>
    </row>
    <row r="293" spans="1:13" x14ac:dyDescent="0.25">
      <c r="A293" s="43" t="str">
        <f t="shared" si="20"/>
        <v xml:space="preserve"> </v>
      </c>
      <c r="D293" s="42"/>
      <c r="E293" s="42"/>
      <c r="J293" s="17">
        <f t="shared" si="23"/>
        <v>0</v>
      </c>
      <c r="K293" s="2" t="str">
        <f t="shared" si="24"/>
        <v xml:space="preserve"> </v>
      </c>
      <c r="L293" s="2" t="str">
        <f t="shared" si="21"/>
        <v xml:space="preserve"> </v>
      </c>
      <c r="M293" s="2" t="str">
        <f t="shared" si="22"/>
        <v xml:space="preserve"> </v>
      </c>
    </row>
    <row r="294" spans="1:13" x14ac:dyDescent="0.25">
      <c r="A294" s="43" t="str">
        <f t="shared" si="20"/>
        <v xml:space="preserve"> </v>
      </c>
      <c r="D294" s="42"/>
      <c r="E294" s="42"/>
      <c r="J294" s="17">
        <f t="shared" si="23"/>
        <v>0</v>
      </c>
      <c r="K294" s="2" t="str">
        <f t="shared" si="24"/>
        <v xml:space="preserve"> </v>
      </c>
      <c r="L294" s="2" t="str">
        <f t="shared" si="21"/>
        <v xml:space="preserve"> </v>
      </c>
      <c r="M294" s="2" t="str">
        <f t="shared" si="22"/>
        <v xml:space="preserve"> </v>
      </c>
    </row>
    <row r="295" spans="1:13" x14ac:dyDescent="0.25">
      <c r="A295" s="43" t="str">
        <f t="shared" si="20"/>
        <v xml:space="preserve"> </v>
      </c>
      <c r="D295" s="42"/>
      <c r="E295" s="42"/>
      <c r="J295" s="17">
        <f t="shared" si="23"/>
        <v>0</v>
      </c>
      <c r="K295" s="2" t="str">
        <f t="shared" si="24"/>
        <v xml:space="preserve"> </v>
      </c>
      <c r="L295" s="2" t="str">
        <f t="shared" si="21"/>
        <v xml:space="preserve"> </v>
      </c>
      <c r="M295" s="2" t="str">
        <f t="shared" si="22"/>
        <v xml:space="preserve"> </v>
      </c>
    </row>
    <row r="296" spans="1:13" x14ac:dyDescent="0.25">
      <c r="A296" s="43" t="str">
        <f t="shared" si="20"/>
        <v xml:space="preserve"> </v>
      </c>
      <c r="D296" s="42"/>
      <c r="E296" s="42"/>
      <c r="J296" s="17">
        <f t="shared" si="23"/>
        <v>0</v>
      </c>
      <c r="K296" s="2" t="str">
        <f t="shared" si="24"/>
        <v xml:space="preserve"> </v>
      </c>
      <c r="L296" s="2" t="str">
        <f t="shared" si="21"/>
        <v xml:space="preserve"> </v>
      </c>
      <c r="M296" s="2" t="str">
        <f t="shared" si="22"/>
        <v xml:space="preserve"> </v>
      </c>
    </row>
    <row r="297" spans="1:13" x14ac:dyDescent="0.25">
      <c r="A297" s="43" t="str">
        <f t="shared" si="20"/>
        <v xml:space="preserve"> </v>
      </c>
      <c r="D297" s="42"/>
      <c r="E297" s="42"/>
      <c r="J297" s="17">
        <f t="shared" si="23"/>
        <v>0</v>
      </c>
      <c r="K297" s="2" t="str">
        <f t="shared" si="24"/>
        <v xml:space="preserve"> </v>
      </c>
      <c r="L297" s="2" t="str">
        <f t="shared" si="21"/>
        <v xml:space="preserve"> </v>
      </c>
      <c r="M297" s="2" t="str">
        <f t="shared" si="22"/>
        <v xml:space="preserve"> </v>
      </c>
    </row>
    <row r="298" spans="1:13" x14ac:dyDescent="0.25">
      <c r="A298" s="43" t="str">
        <f t="shared" si="20"/>
        <v xml:space="preserve"> </v>
      </c>
      <c r="D298" s="42"/>
      <c r="E298" s="42"/>
      <c r="J298" s="17">
        <f t="shared" si="23"/>
        <v>0</v>
      </c>
      <c r="K298" s="2" t="str">
        <f t="shared" si="24"/>
        <v xml:space="preserve"> </v>
      </c>
      <c r="L298" s="2" t="str">
        <f t="shared" si="21"/>
        <v xml:space="preserve"> </v>
      </c>
      <c r="M298" s="2" t="str">
        <f t="shared" si="22"/>
        <v xml:space="preserve"> </v>
      </c>
    </row>
    <row r="299" spans="1:13" x14ac:dyDescent="0.25">
      <c r="A299" s="43" t="str">
        <f t="shared" si="20"/>
        <v xml:space="preserve"> </v>
      </c>
      <c r="D299" s="42"/>
      <c r="E299" s="42"/>
      <c r="J299" s="17">
        <f t="shared" si="23"/>
        <v>0</v>
      </c>
      <c r="K299" s="2" t="str">
        <f t="shared" si="24"/>
        <v xml:space="preserve"> </v>
      </c>
      <c r="L299" s="2" t="str">
        <f t="shared" si="21"/>
        <v xml:space="preserve"> </v>
      </c>
      <c r="M299" s="2" t="str">
        <f t="shared" si="22"/>
        <v xml:space="preserve"> </v>
      </c>
    </row>
    <row r="300" spans="1:13" x14ac:dyDescent="0.25">
      <c r="A300" s="43" t="str">
        <f t="shared" si="20"/>
        <v xml:space="preserve"> </v>
      </c>
      <c r="D300" s="42"/>
      <c r="E300" s="42"/>
      <c r="J300" s="17">
        <f t="shared" si="23"/>
        <v>0</v>
      </c>
      <c r="K300" s="2" t="str">
        <f t="shared" si="24"/>
        <v xml:space="preserve"> </v>
      </c>
      <c r="L300" s="2" t="str">
        <f t="shared" si="21"/>
        <v xml:space="preserve"> </v>
      </c>
      <c r="M300" s="2" t="str">
        <f t="shared" si="22"/>
        <v xml:space="preserve"> </v>
      </c>
    </row>
    <row r="301" spans="1:13" x14ac:dyDescent="0.25">
      <c r="A301" s="43" t="str">
        <f t="shared" si="20"/>
        <v xml:space="preserve"> </v>
      </c>
      <c r="D301" s="42"/>
      <c r="E301" s="42"/>
      <c r="J301" s="17">
        <f t="shared" si="23"/>
        <v>0</v>
      </c>
      <c r="K301" s="2" t="str">
        <f t="shared" si="24"/>
        <v xml:space="preserve"> </v>
      </c>
      <c r="L301" s="2" t="str">
        <f t="shared" si="21"/>
        <v xml:space="preserve"> </v>
      </c>
      <c r="M301" s="2" t="str">
        <f t="shared" si="22"/>
        <v xml:space="preserve"> </v>
      </c>
    </row>
    <row r="302" spans="1:13" x14ac:dyDescent="0.25">
      <c r="A302" s="43" t="str">
        <f t="shared" si="20"/>
        <v xml:space="preserve"> </v>
      </c>
      <c r="D302" s="42"/>
      <c r="E302" s="42"/>
      <c r="J302" s="17">
        <f t="shared" si="23"/>
        <v>0</v>
      </c>
      <c r="K302" s="2" t="str">
        <f t="shared" si="24"/>
        <v xml:space="preserve"> </v>
      </c>
      <c r="L302" s="2" t="str">
        <f t="shared" si="21"/>
        <v xml:space="preserve"> </v>
      </c>
      <c r="M302" s="2" t="str">
        <f t="shared" si="22"/>
        <v xml:space="preserve"> </v>
      </c>
    </row>
    <row r="303" spans="1:13" x14ac:dyDescent="0.25">
      <c r="A303" s="43" t="str">
        <f t="shared" si="20"/>
        <v xml:space="preserve"> </v>
      </c>
      <c r="D303" s="42"/>
      <c r="E303" s="42"/>
      <c r="J303" s="17">
        <f t="shared" si="23"/>
        <v>0</v>
      </c>
      <c r="K303" s="2" t="str">
        <f t="shared" si="24"/>
        <v xml:space="preserve"> </v>
      </c>
      <c r="L303" s="2" t="str">
        <f t="shared" si="21"/>
        <v xml:space="preserve"> </v>
      </c>
      <c r="M303" s="2" t="str">
        <f t="shared" si="22"/>
        <v xml:space="preserve"> </v>
      </c>
    </row>
    <row r="304" spans="1:13" x14ac:dyDescent="0.25">
      <c r="A304" s="43" t="str">
        <f t="shared" si="20"/>
        <v xml:space="preserve"> </v>
      </c>
      <c r="D304" s="42"/>
      <c r="E304" s="42"/>
      <c r="J304" s="17">
        <f t="shared" si="23"/>
        <v>0</v>
      </c>
      <c r="K304" s="2" t="str">
        <f t="shared" si="24"/>
        <v xml:space="preserve"> </v>
      </c>
      <c r="L304" s="2" t="str">
        <f t="shared" si="21"/>
        <v xml:space="preserve"> </v>
      </c>
      <c r="M304" s="2" t="str">
        <f t="shared" si="22"/>
        <v xml:space="preserve"> </v>
      </c>
    </row>
    <row r="305" spans="1:13" x14ac:dyDescent="0.25">
      <c r="A305" s="43" t="str">
        <f t="shared" si="20"/>
        <v xml:space="preserve"> </v>
      </c>
      <c r="D305" s="42"/>
      <c r="E305" s="42"/>
      <c r="J305" s="17">
        <f t="shared" si="23"/>
        <v>0</v>
      </c>
      <c r="K305" s="2" t="str">
        <f t="shared" si="24"/>
        <v xml:space="preserve"> </v>
      </c>
      <c r="L305" s="2" t="str">
        <f t="shared" si="21"/>
        <v xml:space="preserve"> </v>
      </c>
      <c r="M305" s="2" t="str">
        <f t="shared" si="22"/>
        <v xml:space="preserve"> </v>
      </c>
    </row>
    <row r="306" spans="1:13" x14ac:dyDescent="0.25">
      <c r="A306" s="43" t="str">
        <f t="shared" si="20"/>
        <v xml:space="preserve"> </v>
      </c>
      <c r="D306" s="42"/>
      <c r="E306" s="42"/>
      <c r="J306" s="17">
        <f t="shared" si="23"/>
        <v>0</v>
      </c>
      <c r="K306" s="2" t="str">
        <f t="shared" si="24"/>
        <v xml:space="preserve"> </v>
      </c>
      <c r="L306" s="2" t="str">
        <f t="shared" si="21"/>
        <v xml:space="preserve"> </v>
      </c>
      <c r="M306" s="2" t="str">
        <f t="shared" si="22"/>
        <v xml:space="preserve"> </v>
      </c>
    </row>
    <row r="307" spans="1:13" x14ac:dyDescent="0.25">
      <c r="A307" s="43" t="str">
        <f t="shared" si="20"/>
        <v xml:space="preserve"> </v>
      </c>
      <c r="D307" s="42"/>
      <c r="E307" s="42"/>
      <c r="J307" s="17">
        <f t="shared" si="23"/>
        <v>0</v>
      </c>
      <c r="K307" s="2" t="str">
        <f t="shared" si="24"/>
        <v xml:space="preserve"> </v>
      </c>
      <c r="L307" s="2" t="str">
        <f t="shared" si="21"/>
        <v xml:space="preserve"> </v>
      </c>
      <c r="M307" s="2" t="str">
        <f t="shared" si="22"/>
        <v xml:space="preserve"> </v>
      </c>
    </row>
    <row r="308" spans="1:13" x14ac:dyDescent="0.25">
      <c r="A308" s="43" t="str">
        <f t="shared" si="20"/>
        <v xml:space="preserve"> </v>
      </c>
      <c r="D308" s="42"/>
      <c r="E308" s="42"/>
      <c r="J308" s="17">
        <f t="shared" si="23"/>
        <v>0</v>
      </c>
      <c r="K308" s="2" t="str">
        <f t="shared" si="24"/>
        <v xml:space="preserve"> </v>
      </c>
      <c r="L308" s="2" t="str">
        <f t="shared" si="21"/>
        <v xml:space="preserve"> </v>
      </c>
      <c r="M308" s="2" t="str">
        <f t="shared" si="22"/>
        <v xml:space="preserve"> </v>
      </c>
    </row>
    <row r="309" spans="1:13" x14ac:dyDescent="0.25">
      <c r="A309" s="43" t="str">
        <f t="shared" si="20"/>
        <v xml:space="preserve"> </v>
      </c>
      <c r="D309" s="42"/>
      <c r="E309" s="42"/>
      <c r="J309" s="17">
        <f t="shared" si="23"/>
        <v>0</v>
      </c>
      <c r="K309" s="2" t="str">
        <f t="shared" si="24"/>
        <v xml:space="preserve"> </v>
      </c>
      <c r="L309" s="2" t="str">
        <f t="shared" si="21"/>
        <v xml:space="preserve"> </v>
      </c>
      <c r="M309" s="2" t="str">
        <f t="shared" si="22"/>
        <v xml:space="preserve"> </v>
      </c>
    </row>
    <row r="310" spans="1:13" x14ac:dyDescent="0.25">
      <c r="A310" s="43" t="str">
        <f t="shared" si="20"/>
        <v xml:space="preserve"> </v>
      </c>
      <c r="D310" s="42"/>
      <c r="E310" s="42"/>
      <c r="J310" s="17">
        <f t="shared" si="23"/>
        <v>0</v>
      </c>
      <c r="K310" s="2" t="str">
        <f t="shared" si="24"/>
        <v xml:space="preserve"> </v>
      </c>
      <c r="L310" s="2" t="str">
        <f t="shared" si="21"/>
        <v xml:space="preserve"> </v>
      </c>
      <c r="M310" s="2" t="str">
        <f t="shared" si="22"/>
        <v xml:space="preserve"> </v>
      </c>
    </row>
    <row r="311" spans="1:13" x14ac:dyDescent="0.25">
      <c r="A311" s="43" t="str">
        <f t="shared" si="20"/>
        <v xml:space="preserve"> </v>
      </c>
      <c r="D311" s="42"/>
      <c r="E311" s="42"/>
      <c r="J311" s="17">
        <f t="shared" si="23"/>
        <v>0</v>
      </c>
      <c r="K311" s="2" t="str">
        <f t="shared" si="24"/>
        <v xml:space="preserve"> </v>
      </c>
      <c r="L311" s="2" t="str">
        <f t="shared" si="21"/>
        <v xml:space="preserve"> </v>
      </c>
      <c r="M311" s="2" t="str">
        <f t="shared" si="22"/>
        <v xml:space="preserve"> </v>
      </c>
    </row>
    <row r="312" spans="1:13" x14ac:dyDescent="0.25">
      <c r="A312" s="43" t="str">
        <f t="shared" si="20"/>
        <v xml:space="preserve"> </v>
      </c>
      <c r="D312" s="42"/>
      <c r="E312" s="42"/>
      <c r="J312" s="17">
        <f t="shared" si="23"/>
        <v>0</v>
      </c>
      <c r="K312" s="2" t="str">
        <f t="shared" si="24"/>
        <v xml:space="preserve"> </v>
      </c>
      <c r="L312" s="2" t="str">
        <f t="shared" si="21"/>
        <v xml:space="preserve"> </v>
      </c>
      <c r="M312" s="2" t="str">
        <f t="shared" si="22"/>
        <v xml:space="preserve"> </v>
      </c>
    </row>
    <row r="313" spans="1:13" x14ac:dyDescent="0.25">
      <c r="A313" s="43" t="str">
        <f t="shared" si="20"/>
        <v xml:space="preserve"> </v>
      </c>
      <c r="D313" s="42"/>
      <c r="E313" s="42"/>
      <c r="J313" s="17">
        <f t="shared" si="23"/>
        <v>0</v>
      </c>
      <c r="K313" s="2" t="str">
        <f t="shared" si="24"/>
        <v xml:space="preserve"> </v>
      </c>
      <c r="L313" s="2" t="str">
        <f t="shared" si="21"/>
        <v xml:space="preserve"> </v>
      </c>
      <c r="M313" s="2" t="str">
        <f t="shared" si="22"/>
        <v xml:space="preserve"> </v>
      </c>
    </row>
    <row r="314" spans="1:13" x14ac:dyDescent="0.25">
      <c r="A314" s="43" t="str">
        <f t="shared" si="20"/>
        <v xml:space="preserve"> </v>
      </c>
      <c r="D314" s="42"/>
      <c r="E314" s="42"/>
      <c r="J314" s="17">
        <f t="shared" si="23"/>
        <v>0</v>
      </c>
      <c r="K314" s="2" t="str">
        <f t="shared" si="24"/>
        <v xml:space="preserve"> </v>
      </c>
      <c r="L314" s="2" t="str">
        <f t="shared" si="21"/>
        <v xml:space="preserve"> </v>
      </c>
      <c r="M314" s="2" t="str">
        <f t="shared" si="22"/>
        <v xml:space="preserve"> </v>
      </c>
    </row>
    <row r="315" spans="1:13" x14ac:dyDescent="0.25">
      <c r="A315" s="43" t="str">
        <f t="shared" si="20"/>
        <v xml:space="preserve"> </v>
      </c>
      <c r="D315" s="42"/>
      <c r="E315" s="42"/>
      <c r="J315" s="17">
        <f t="shared" si="23"/>
        <v>0</v>
      </c>
      <c r="K315" s="2" t="str">
        <f t="shared" si="24"/>
        <v xml:space="preserve"> </v>
      </c>
      <c r="L315" s="2" t="str">
        <f t="shared" si="21"/>
        <v xml:space="preserve"> </v>
      </c>
      <c r="M315" s="2" t="str">
        <f t="shared" si="22"/>
        <v xml:space="preserve"> </v>
      </c>
    </row>
    <row r="316" spans="1:13" x14ac:dyDescent="0.25">
      <c r="A316" s="43" t="str">
        <f t="shared" si="20"/>
        <v xml:space="preserve"> </v>
      </c>
      <c r="D316" s="42"/>
      <c r="E316" s="42"/>
      <c r="J316" s="17">
        <f t="shared" si="23"/>
        <v>0</v>
      </c>
      <c r="K316" s="2" t="str">
        <f t="shared" si="24"/>
        <v xml:space="preserve"> </v>
      </c>
      <c r="L316" s="2" t="str">
        <f t="shared" si="21"/>
        <v xml:space="preserve"> </v>
      </c>
      <c r="M316" s="2" t="str">
        <f t="shared" si="22"/>
        <v xml:space="preserve"> </v>
      </c>
    </row>
    <row r="317" spans="1:13" x14ac:dyDescent="0.25">
      <c r="A317" s="43" t="str">
        <f t="shared" si="20"/>
        <v xml:space="preserve"> </v>
      </c>
      <c r="D317" s="42"/>
      <c r="E317" s="42"/>
      <c r="J317" s="17">
        <f t="shared" si="23"/>
        <v>0</v>
      </c>
      <c r="K317" s="2" t="str">
        <f t="shared" si="24"/>
        <v xml:space="preserve"> </v>
      </c>
      <c r="L317" s="2" t="str">
        <f t="shared" si="21"/>
        <v xml:space="preserve"> </v>
      </c>
      <c r="M317" s="2" t="str">
        <f t="shared" si="22"/>
        <v xml:space="preserve"> </v>
      </c>
    </row>
    <row r="318" spans="1:13" x14ac:dyDescent="0.25">
      <c r="A318" s="43" t="str">
        <f t="shared" si="20"/>
        <v xml:space="preserve"> </v>
      </c>
      <c r="D318" s="42"/>
      <c r="E318" s="42"/>
      <c r="J318" s="17">
        <f t="shared" si="23"/>
        <v>0</v>
      </c>
      <c r="K318" s="2" t="str">
        <f t="shared" si="24"/>
        <v xml:space="preserve"> </v>
      </c>
      <c r="L318" s="2" t="str">
        <f t="shared" si="21"/>
        <v xml:space="preserve"> </v>
      </c>
      <c r="M318" s="2" t="str">
        <f t="shared" si="22"/>
        <v xml:space="preserve"> </v>
      </c>
    </row>
    <row r="319" spans="1:13" x14ac:dyDescent="0.25">
      <c r="A319" s="43" t="str">
        <f t="shared" si="20"/>
        <v xml:space="preserve"> </v>
      </c>
      <c r="D319" s="42"/>
      <c r="E319" s="42"/>
      <c r="J319" s="17">
        <f t="shared" si="23"/>
        <v>0</v>
      </c>
      <c r="K319" s="2" t="str">
        <f t="shared" si="24"/>
        <v xml:space="preserve"> </v>
      </c>
      <c r="L319" s="2" t="str">
        <f t="shared" si="21"/>
        <v xml:space="preserve"> </v>
      </c>
      <c r="M319" s="2" t="str">
        <f t="shared" si="22"/>
        <v xml:space="preserve"> </v>
      </c>
    </row>
    <row r="320" spans="1:13" x14ac:dyDescent="0.25">
      <c r="A320" s="43" t="str">
        <f t="shared" si="20"/>
        <v xml:space="preserve"> </v>
      </c>
      <c r="D320" s="42"/>
      <c r="E320" s="42"/>
      <c r="J320" s="17">
        <f t="shared" si="23"/>
        <v>0</v>
      </c>
      <c r="K320" s="2" t="str">
        <f t="shared" si="24"/>
        <v xml:space="preserve"> </v>
      </c>
      <c r="L320" s="2" t="str">
        <f t="shared" si="21"/>
        <v xml:space="preserve"> </v>
      </c>
      <c r="M320" s="2" t="str">
        <f t="shared" si="22"/>
        <v xml:space="preserve"> </v>
      </c>
    </row>
    <row r="321" spans="1:13" x14ac:dyDescent="0.25">
      <c r="A321" s="43" t="str">
        <f t="shared" si="20"/>
        <v xml:space="preserve"> </v>
      </c>
      <c r="D321" s="42"/>
      <c r="E321" s="42"/>
      <c r="J321" s="17">
        <f t="shared" si="23"/>
        <v>0</v>
      </c>
      <c r="K321" s="2" t="str">
        <f t="shared" si="24"/>
        <v xml:space="preserve"> </v>
      </c>
      <c r="L321" s="2" t="str">
        <f t="shared" si="21"/>
        <v xml:space="preserve"> </v>
      </c>
      <c r="M321" s="2" t="str">
        <f t="shared" si="22"/>
        <v xml:space="preserve"> </v>
      </c>
    </row>
    <row r="322" spans="1:13" x14ac:dyDescent="0.25">
      <c r="A322" s="43" t="str">
        <f t="shared" si="20"/>
        <v xml:space="preserve"> </v>
      </c>
      <c r="D322" s="42"/>
      <c r="E322" s="42"/>
      <c r="J322" s="17">
        <f t="shared" si="23"/>
        <v>0</v>
      </c>
      <c r="K322" s="2" t="str">
        <f t="shared" si="24"/>
        <v xml:space="preserve"> </v>
      </c>
      <c r="L322" s="2" t="str">
        <f t="shared" si="21"/>
        <v xml:space="preserve"> </v>
      </c>
      <c r="M322" s="2" t="str">
        <f t="shared" si="22"/>
        <v xml:space="preserve"> </v>
      </c>
    </row>
    <row r="323" spans="1:13" x14ac:dyDescent="0.25">
      <c r="A323" s="43" t="str">
        <f t="shared" si="20"/>
        <v xml:space="preserve"> </v>
      </c>
      <c r="D323" s="42"/>
      <c r="E323" s="42"/>
      <c r="J323" s="17">
        <f t="shared" si="23"/>
        <v>0</v>
      </c>
      <c r="K323" s="2" t="str">
        <f t="shared" si="24"/>
        <v xml:space="preserve"> </v>
      </c>
      <c r="L323" s="2" t="str">
        <f t="shared" si="21"/>
        <v xml:space="preserve"> </v>
      </c>
      <c r="M323" s="2" t="str">
        <f t="shared" si="22"/>
        <v xml:space="preserve"> </v>
      </c>
    </row>
    <row r="324" spans="1:13" x14ac:dyDescent="0.25">
      <c r="A324" s="43" t="str">
        <f t="shared" si="20"/>
        <v xml:space="preserve"> </v>
      </c>
      <c r="D324" s="42"/>
      <c r="E324" s="42"/>
      <c r="J324" s="17">
        <f t="shared" si="23"/>
        <v>0</v>
      </c>
      <c r="K324" s="2" t="str">
        <f t="shared" si="24"/>
        <v xml:space="preserve"> </v>
      </c>
      <c r="L324" s="2" t="str">
        <f t="shared" si="21"/>
        <v xml:space="preserve"> </v>
      </c>
      <c r="M324" s="2" t="str">
        <f t="shared" si="22"/>
        <v xml:space="preserve"> </v>
      </c>
    </row>
    <row r="325" spans="1:13" x14ac:dyDescent="0.25">
      <c r="A325" s="43" t="str">
        <f t="shared" si="20"/>
        <v xml:space="preserve"> </v>
      </c>
      <c r="D325" s="42"/>
      <c r="E325" s="42"/>
      <c r="J325" s="17">
        <f t="shared" si="23"/>
        <v>0</v>
      </c>
      <c r="K325" s="2" t="str">
        <f t="shared" si="24"/>
        <v xml:space="preserve"> </v>
      </c>
      <c r="L325" s="2" t="str">
        <f t="shared" si="21"/>
        <v xml:space="preserve"> </v>
      </c>
      <c r="M325" s="2" t="str">
        <f t="shared" si="22"/>
        <v xml:space="preserve"> </v>
      </c>
    </row>
    <row r="326" spans="1:13" x14ac:dyDescent="0.25">
      <c r="A326" s="43" t="str">
        <f t="shared" si="20"/>
        <v xml:space="preserve"> </v>
      </c>
      <c r="D326" s="42"/>
      <c r="E326" s="42"/>
      <c r="J326" s="17">
        <f t="shared" si="23"/>
        <v>0</v>
      </c>
      <c r="K326" s="2" t="str">
        <f t="shared" si="24"/>
        <v xml:space="preserve"> </v>
      </c>
      <c r="L326" s="2" t="str">
        <f t="shared" si="21"/>
        <v xml:space="preserve"> </v>
      </c>
      <c r="M326" s="2" t="str">
        <f t="shared" si="22"/>
        <v xml:space="preserve"> </v>
      </c>
    </row>
    <row r="327" spans="1:13" x14ac:dyDescent="0.25">
      <c r="A327" s="43" t="str">
        <f t="shared" si="20"/>
        <v xml:space="preserve"> </v>
      </c>
      <c r="D327" s="42"/>
      <c r="E327" s="42"/>
      <c r="J327" s="17">
        <f t="shared" si="23"/>
        <v>0</v>
      </c>
      <c r="K327" s="2" t="str">
        <f t="shared" si="24"/>
        <v xml:space="preserve"> </v>
      </c>
      <c r="L327" s="2" t="str">
        <f t="shared" si="21"/>
        <v xml:space="preserve"> </v>
      </c>
      <c r="M327" s="2" t="str">
        <f t="shared" si="22"/>
        <v xml:space="preserve"> </v>
      </c>
    </row>
    <row r="328" spans="1:13" x14ac:dyDescent="0.25">
      <c r="A328" s="43" t="str">
        <f t="shared" si="20"/>
        <v xml:space="preserve"> </v>
      </c>
      <c r="D328" s="42"/>
      <c r="E328" s="42"/>
      <c r="J328" s="17">
        <f t="shared" si="23"/>
        <v>0</v>
      </c>
      <c r="K328" s="2" t="str">
        <f t="shared" si="24"/>
        <v xml:space="preserve"> </v>
      </c>
      <c r="L328" s="2" t="str">
        <f t="shared" si="21"/>
        <v xml:space="preserve"> </v>
      </c>
      <c r="M328" s="2" t="str">
        <f t="shared" si="22"/>
        <v xml:space="preserve"> </v>
      </c>
    </row>
    <row r="329" spans="1:13" x14ac:dyDescent="0.25">
      <c r="A329" s="43" t="str">
        <f t="shared" si="20"/>
        <v xml:space="preserve"> </v>
      </c>
      <c r="D329" s="42"/>
      <c r="E329" s="42"/>
      <c r="J329" s="17">
        <f t="shared" si="23"/>
        <v>0</v>
      </c>
      <c r="K329" s="2" t="str">
        <f t="shared" si="24"/>
        <v xml:space="preserve"> </v>
      </c>
      <c r="L329" s="2" t="str">
        <f t="shared" si="21"/>
        <v xml:space="preserve"> </v>
      </c>
      <c r="M329" s="2" t="str">
        <f t="shared" si="22"/>
        <v xml:space="preserve"> </v>
      </c>
    </row>
    <row r="330" spans="1:13" x14ac:dyDescent="0.25">
      <c r="A330" s="43" t="str">
        <f t="shared" si="20"/>
        <v xml:space="preserve"> </v>
      </c>
      <c r="D330" s="42"/>
      <c r="E330" s="42"/>
      <c r="J330" s="17">
        <f t="shared" si="23"/>
        <v>0</v>
      </c>
      <c r="K330" s="2" t="str">
        <f t="shared" si="24"/>
        <v xml:space="preserve"> </v>
      </c>
      <c r="L330" s="2" t="str">
        <f t="shared" si="21"/>
        <v xml:space="preserve"> </v>
      </c>
      <c r="M330" s="2" t="str">
        <f t="shared" si="22"/>
        <v xml:space="preserve"> </v>
      </c>
    </row>
    <row r="331" spans="1:13" x14ac:dyDescent="0.25">
      <c r="A331" s="43" t="str">
        <f t="shared" si="20"/>
        <v xml:space="preserve"> </v>
      </c>
      <c r="D331" s="42"/>
      <c r="E331" s="42"/>
      <c r="J331" s="17">
        <f t="shared" si="23"/>
        <v>0</v>
      </c>
      <c r="K331" s="2" t="str">
        <f t="shared" si="24"/>
        <v xml:space="preserve"> </v>
      </c>
      <c r="L331" s="2" t="str">
        <f t="shared" si="21"/>
        <v xml:space="preserve"> </v>
      </c>
      <c r="M331" s="2" t="str">
        <f t="shared" si="22"/>
        <v xml:space="preserve"> </v>
      </c>
    </row>
    <row r="332" spans="1:13" x14ac:dyDescent="0.25">
      <c r="A332" s="43" t="str">
        <f t="shared" si="20"/>
        <v xml:space="preserve"> </v>
      </c>
      <c r="D332" s="42"/>
      <c r="E332" s="42"/>
      <c r="J332" s="17">
        <f t="shared" si="23"/>
        <v>0</v>
      </c>
      <c r="K332" s="2" t="str">
        <f t="shared" si="24"/>
        <v xml:space="preserve"> </v>
      </c>
      <c r="L332" s="2" t="str">
        <f t="shared" si="21"/>
        <v xml:space="preserve"> </v>
      </c>
      <c r="M332" s="2" t="str">
        <f t="shared" si="22"/>
        <v xml:space="preserve"> </v>
      </c>
    </row>
    <row r="333" spans="1:13" x14ac:dyDescent="0.25">
      <c r="A333" s="43" t="str">
        <f t="shared" si="20"/>
        <v xml:space="preserve"> </v>
      </c>
      <c r="D333" s="42"/>
      <c r="E333" s="42"/>
      <c r="J333" s="17">
        <f t="shared" si="23"/>
        <v>0</v>
      </c>
      <c r="K333" s="2" t="str">
        <f t="shared" si="24"/>
        <v xml:space="preserve"> </v>
      </c>
      <c r="L333" s="2" t="str">
        <f t="shared" si="21"/>
        <v xml:space="preserve"> </v>
      </c>
      <c r="M333" s="2" t="str">
        <f t="shared" si="22"/>
        <v xml:space="preserve"> </v>
      </c>
    </row>
    <row r="334" spans="1:13" x14ac:dyDescent="0.25">
      <c r="A334" s="43" t="str">
        <f t="shared" si="20"/>
        <v xml:space="preserve"> </v>
      </c>
      <c r="D334" s="42"/>
      <c r="E334" s="42"/>
      <c r="J334" s="17">
        <f t="shared" si="23"/>
        <v>0</v>
      </c>
      <c r="K334" s="2" t="str">
        <f t="shared" si="24"/>
        <v xml:space="preserve"> </v>
      </c>
      <c r="L334" s="2" t="str">
        <f t="shared" si="21"/>
        <v xml:space="preserve"> </v>
      </c>
      <c r="M334" s="2" t="str">
        <f t="shared" si="22"/>
        <v xml:space="preserve"> </v>
      </c>
    </row>
    <row r="335" spans="1:13" x14ac:dyDescent="0.25">
      <c r="A335" s="43" t="str">
        <f t="shared" ref="A335:A398" si="25">IF(COUNTIF(K335:M335,"ERROR")&gt;0,"ERROR"," ")</f>
        <v xml:space="preserve"> </v>
      </c>
      <c r="D335" s="42"/>
      <c r="E335" s="42"/>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43" t="str">
        <f t="shared" si="25"/>
        <v xml:space="preserve"> </v>
      </c>
      <c r="D336" s="42"/>
      <c r="E336" s="42"/>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3" t="str">
        <f t="shared" si="25"/>
        <v xml:space="preserve"> </v>
      </c>
      <c r="D337" s="42"/>
      <c r="E337" s="42"/>
      <c r="J337" s="17">
        <f t="shared" si="28"/>
        <v>0</v>
      </c>
      <c r="K337" s="2" t="str">
        <f t="shared" si="29"/>
        <v xml:space="preserve"> </v>
      </c>
      <c r="L337" s="2" t="str">
        <f t="shared" si="26"/>
        <v xml:space="preserve"> </v>
      </c>
      <c r="M337" s="2" t="str">
        <f t="shared" si="27"/>
        <v xml:space="preserve"> </v>
      </c>
    </row>
    <row r="338" spans="1:13" x14ac:dyDescent="0.25">
      <c r="A338" s="43" t="str">
        <f t="shared" si="25"/>
        <v xml:space="preserve"> </v>
      </c>
      <c r="D338" s="42"/>
      <c r="E338" s="42"/>
      <c r="J338" s="17">
        <f t="shared" si="28"/>
        <v>0</v>
      </c>
      <c r="K338" s="2" t="str">
        <f t="shared" si="29"/>
        <v xml:space="preserve"> </v>
      </c>
      <c r="L338" s="2" t="str">
        <f t="shared" si="26"/>
        <v xml:space="preserve"> </v>
      </c>
      <c r="M338" s="2" t="str">
        <f t="shared" si="27"/>
        <v xml:space="preserve"> </v>
      </c>
    </row>
    <row r="339" spans="1:13" x14ac:dyDescent="0.25">
      <c r="A339" s="43" t="str">
        <f t="shared" si="25"/>
        <v xml:space="preserve"> </v>
      </c>
      <c r="D339" s="42"/>
      <c r="E339" s="42"/>
      <c r="J339" s="17">
        <f t="shared" si="28"/>
        <v>0</v>
      </c>
      <c r="K339" s="2" t="str">
        <f t="shared" si="29"/>
        <v xml:space="preserve"> </v>
      </c>
      <c r="L339" s="2" t="str">
        <f t="shared" si="26"/>
        <v xml:space="preserve"> </v>
      </c>
      <c r="M339" s="2" t="str">
        <f t="shared" si="27"/>
        <v xml:space="preserve"> </v>
      </c>
    </row>
    <row r="340" spans="1:13" x14ac:dyDescent="0.25">
      <c r="A340" s="43" t="str">
        <f t="shared" si="25"/>
        <v xml:space="preserve"> </v>
      </c>
      <c r="D340" s="42"/>
      <c r="E340" s="42"/>
      <c r="J340" s="17">
        <f t="shared" si="28"/>
        <v>0</v>
      </c>
      <c r="K340" s="2" t="str">
        <f t="shared" si="29"/>
        <v xml:space="preserve"> </v>
      </c>
      <c r="L340" s="2" t="str">
        <f t="shared" si="26"/>
        <v xml:space="preserve"> </v>
      </c>
      <c r="M340" s="2" t="str">
        <f t="shared" si="27"/>
        <v xml:space="preserve"> </v>
      </c>
    </row>
    <row r="341" spans="1:13" x14ac:dyDescent="0.25">
      <c r="A341" s="43" t="str">
        <f t="shared" si="25"/>
        <v xml:space="preserve"> </v>
      </c>
      <c r="D341" s="42"/>
      <c r="E341" s="42"/>
      <c r="J341" s="17">
        <f t="shared" si="28"/>
        <v>0</v>
      </c>
      <c r="K341" s="2" t="str">
        <f t="shared" si="29"/>
        <v xml:space="preserve"> </v>
      </c>
      <c r="L341" s="2" t="str">
        <f t="shared" si="26"/>
        <v xml:space="preserve"> </v>
      </c>
      <c r="M341" s="2" t="str">
        <f t="shared" si="27"/>
        <v xml:space="preserve"> </v>
      </c>
    </row>
    <row r="342" spans="1:13" x14ac:dyDescent="0.25">
      <c r="A342" s="43" t="str">
        <f t="shared" si="25"/>
        <v xml:space="preserve"> </v>
      </c>
      <c r="D342" s="42"/>
      <c r="E342" s="42"/>
      <c r="J342" s="17">
        <f t="shared" si="28"/>
        <v>0</v>
      </c>
      <c r="K342" s="2" t="str">
        <f t="shared" si="29"/>
        <v xml:space="preserve"> </v>
      </c>
      <c r="L342" s="2" t="str">
        <f t="shared" si="26"/>
        <v xml:space="preserve"> </v>
      </c>
      <c r="M342" s="2" t="str">
        <f t="shared" si="27"/>
        <v xml:space="preserve"> </v>
      </c>
    </row>
    <row r="343" spans="1:13" x14ac:dyDescent="0.25">
      <c r="A343" s="43" t="str">
        <f t="shared" si="25"/>
        <v xml:space="preserve"> </v>
      </c>
      <c r="D343" s="42"/>
      <c r="E343" s="42"/>
      <c r="J343" s="17">
        <f t="shared" si="28"/>
        <v>0</v>
      </c>
      <c r="K343" s="2" t="str">
        <f t="shared" si="29"/>
        <v xml:space="preserve"> </v>
      </c>
      <c r="L343" s="2" t="str">
        <f t="shared" si="26"/>
        <v xml:space="preserve"> </v>
      </c>
      <c r="M343" s="2" t="str">
        <f t="shared" si="27"/>
        <v xml:space="preserve"> </v>
      </c>
    </row>
    <row r="344" spans="1:13" x14ac:dyDescent="0.25">
      <c r="A344" s="43" t="str">
        <f t="shared" si="25"/>
        <v xml:space="preserve"> </v>
      </c>
      <c r="D344" s="42"/>
      <c r="E344" s="42"/>
      <c r="J344" s="17">
        <f t="shared" si="28"/>
        <v>0</v>
      </c>
      <c r="K344" s="2" t="str">
        <f t="shared" si="29"/>
        <v xml:space="preserve"> </v>
      </c>
      <c r="L344" s="2" t="str">
        <f t="shared" si="26"/>
        <v xml:space="preserve"> </v>
      </c>
      <c r="M344" s="2" t="str">
        <f t="shared" si="27"/>
        <v xml:space="preserve"> </v>
      </c>
    </row>
    <row r="345" spans="1:13" x14ac:dyDescent="0.25">
      <c r="A345" s="43" t="str">
        <f t="shared" si="25"/>
        <v xml:space="preserve"> </v>
      </c>
      <c r="D345" s="42"/>
      <c r="E345" s="42"/>
      <c r="J345" s="17">
        <f t="shared" si="28"/>
        <v>0</v>
      </c>
      <c r="K345" s="2" t="str">
        <f t="shared" si="29"/>
        <v xml:space="preserve"> </v>
      </c>
      <c r="L345" s="2" t="str">
        <f t="shared" si="26"/>
        <v xml:space="preserve"> </v>
      </c>
      <c r="M345" s="2" t="str">
        <f t="shared" si="27"/>
        <v xml:space="preserve"> </v>
      </c>
    </row>
    <row r="346" spans="1:13" x14ac:dyDescent="0.25">
      <c r="A346" s="43" t="str">
        <f t="shared" si="25"/>
        <v xml:space="preserve"> </v>
      </c>
      <c r="D346" s="42"/>
      <c r="E346" s="42"/>
      <c r="J346" s="17">
        <f t="shared" si="28"/>
        <v>0</v>
      </c>
      <c r="K346" s="2" t="str">
        <f t="shared" si="29"/>
        <v xml:space="preserve"> </v>
      </c>
      <c r="L346" s="2" t="str">
        <f t="shared" si="26"/>
        <v xml:space="preserve"> </v>
      </c>
      <c r="M346" s="2" t="str">
        <f t="shared" si="27"/>
        <v xml:space="preserve"> </v>
      </c>
    </row>
    <row r="347" spans="1:13" x14ac:dyDescent="0.25">
      <c r="A347" s="43" t="str">
        <f t="shared" si="25"/>
        <v xml:space="preserve"> </v>
      </c>
      <c r="D347" s="42"/>
      <c r="E347" s="42"/>
      <c r="J347" s="17">
        <f t="shared" si="28"/>
        <v>0</v>
      </c>
      <c r="K347" s="2" t="str">
        <f t="shared" si="29"/>
        <v xml:space="preserve"> </v>
      </c>
      <c r="L347" s="2" t="str">
        <f t="shared" si="26"/>
        <v xml:space="preserve"> </v>
      </c>
      <c r="M347" s="2" t="str">
        <f t="shared" si="27"/>
        <v xml:space="preserve"> </v>
      </c>
    </row>
    <row r="348" spans="1:13" x14ac:dyDescent="0.25">
      <c r="A348" s="43" t="str">
        <f t="shared" si="25"/>
        <v xml:space="preserve"> </v>
      </c>
      <c r="D348" s="42"/>
      <c r="E348" s="42"/>
      <c r="J348" s="17">
        <f t="shared" si="28"/>
        <v>0</v>
      </c>
      <c r="K348" s="2" t="str">
        <f t="shared" si="29"/>
        <v xml:space="preserve"> </v>
      </c>
      <c r="L348" s="2" t="str">
        <f t="shared" si="26"/>
        <v xml:space="preserve"> </v>
      </c>
      <c r="M348" s="2" t="str">
        <f t="shared" si="27"/>
        <v xml:space="preserve"> </v>
      </c>
    </row>
    <row r="349" spans="1:13" x14ac:dyDescent="0.25">
      <c r="A349" s="43" t="str">
        <f t="shared" si="25"/>
        <v xml:space="preserve"> </v>
      </c>
      <c r="D349" s="42"/>
      <c r="E349" s="42"/>
      <c r="J349" s="17">
        <f t="shared" si="28"/>
        <v>0</v>
      </c>
      <c r="K349" s="2" t="str">
        <f t="shared" si="29"/>
        <v xml:space="preserve"> </v>
      </c>
      <c r="L349" s="2" t="str">
        <f t="shared" si="26"/>
        <v xml:space="preserve"> </v>
      </c>
      <c r="M349" s="2" t="str">
        <f t="shared" si="27"/>
        <v xml:space="preserve"> </v>
      </c>
    </row>
    <row r="350" spans="1:13" x14ac:dyDescent="0.25">
      <c r="A350" s="43" t="str">
        <f t="shared" si="25"/>
        <v xml:space="preserve"> </v>
      </c>
      <c r="D350" s="42"/>
      <c r="E350" s="42"/>
      <c r="J350" s="17">
        <f t="shared" si="28"/>
        <v>0</v>
      </c>
      <c r="K350" s="2" t="str">
        <f t="shared" si="29"/>
        <v xml:space="preserve"> </v>
      </c>
      <c r="L350" s="2" t="str">
        <f t="shared" si="26"/>
        <v xml:space="preserve"> </v>
      </c>
      <c r="M350" s="2" t="str">
        <f t="shared" si="27"/>
        <v xml:space="preserve"> </v>
      </c>
    </row>
    <row r="351" spans="1:13" x14ac:dyDescent="0.25">
      <c r="A351" s="43" t="str">
        <f t="shared" si="25"/>
        <v xml:space="preserve"> </v>
      </c>
      <c r="D351" s="42"/>
      <c r="E351" s="42"/>
      <c r="J351" s="17">
        <f t="shared" si="28"/>
        <v>0</v>
      </c>
      <c r="K351" s="2" t="str">
        <f t="shared" si="29"/>
        <v xml:space="preserve"> </v>
      </c>
      <c r="L351" s="2" t="str">
        <f t="shared" si="26"/>
        <v xml:space="preserve"> </v>
      </c>
      <c r="M351" s="2" t="str">
        <f t="shared" si="27"/>
        <v xml:space="preserve"> </v>
      </c>
    </row>
    <row r="352" spans="1:13" x14ac:dyDescent="0.25">
      <c r="A352" s="43" t="str">
        <f t="shared" si="25"/>
        <v xml:space="preserve"> </v>
      </c>
      <c r="D352" s="42"/>
      <c r="E352" s="42"/>
      <c r="J352" s="17">
        <f t="shared" si="28"/>
        <v>0</v>
      </c>
      <c r="K352" s="2" t="str">
        <f t="shared" si="29"/>
        <v xml:space="preserve"> </v>
      </c>
      <c r="L352" s="2" t="str">
        <f t="shared" si="26"/>
        <v xml:space="preserve"> </v>
      </c>
      <c r="M352" s="2" t="str">
        <f t="shared" si="27"/>
        <v xml:space="preserve"> </v>
      </c>
    </row>
    <row r="353" spans="1:13" x14ac:dyDescent="0.25">
      <c r="A353" s="43" t="str">
        <f t="shared" si="25"/>
        <v xml:space="preserve"> </v>
      </c>
      <c r="D353" s="42"/>
      <c r="E353" s="42"/>
      <c r="J353" s="17">
        <f t="shared" si="28"/>
        <v>0</v>
      </c>
      <c r="K353" s="2" t="str">
        <f t="shared" si="29"/>
        <v xml:space="preserve"> </v>
      </c>
      <c r="L353" s="2" t="str">
        <f t="shared" si="26"/>
        <v xml:space="preserve"> </v>
      </c>
      <c r="M353" s="2" t="str">
        <f t="shared" si="27"/>
        <v xml:space="preserve"> </v>
      </c>
    </row>
    <row r="354" spans="1:13" x14ac:dyDescent="0.25">
      <c r="A354" s="43" t="str">
        <f t="shared" si="25"/>
        <v xml:space="preserve"> </v>
      </c>
      <c r="D354" s="42"/>
      <c r="E354" s="42"/>
      <c r="J354" s="17">
        <f t="shared" si="28"/>
        <v>0</v>
      </c>
      <c r="K354" s="2" t="str">
        <f t="shared" si="29"/>
        <v xml:space="preserve"> </v>
      </c>
      <c r="L354" s="2" t="str">
        <f t="shared" si="26"/>
        <v xml:space="preserve"> </v>
      </c>
      <c r="M354" s="2" t="str">
        <f t="shared" si="27"/>
        <v xml:space="preserve"> </v>
      </c>
    </row>
    <row r="355" spans="1:13" x14ac:dyDescent="0.25">
      <c r="A355" s="43" t="str">
        <f t="shared" si="25"/>
        <v xml:space="preserve"> </v>
      </c>
      <c r="D355" s="42"/>
      <c r="E355" s="42"/>
      <c r="J355" s="17">
        <f t="shared" si="28"/>
        <v>0</v>
      </c>
      <c r="K355" s="2" t="str">
        <f t="shared" si="29"/>
        <v xml:space="preserve"> </v>
      </c>
      <c r="L355" s="2" t="str">
        <f t="shared" si="26"/>
        <v xml:space="preserve"> </v>
      </c>
      <c r="M355" s="2" t="str">
        <f t="shared" si="27"/>
        <v xml:space="preserve"> </v>
      </c>
    </row>
    <row r="356" spans="1:13" x14ac:dyDescent="0.25">
      <c r="A356" s="43" t="str">
        <f t="shared" si="25"/>
        <v xml:space="preserve"> </v>
      </c>
      <c r="D356" s="42"/>
      <c r="E356" s="42"/>
      <c r="J356" s="17">
        <f t="shared" si="28"/>
        <v>0</v>
      </c>
      <c r="K356" s="2" t="str">
        <f t="shared" si="29"/>
        <v xml:space="preserve"> </v>
      </c>
      <c r="L356" s="2" t="str">
        <f t="shared" si="26"/>
        <v xml:space="preserve"> </v>
      </c>
      <c r="M356" s="2" t="str">
        <f t="shared" si="27"/>
        <v xml:space="preserve"> </v>
      </c>
    </row>
    <row r="357" spans="1:13" x14ac:dyDescent="0.25">
      <c r="A357" s="43" t="str">
        <f t="shared" si="25"/>
        <v xml:space="preserve"> </v>
      </c>
      <c r="D357" s="42"/>
      <c r="E357" s="42"/>
      <c r="J357" s="17">
        <f t="shared" si="28"/>
        <v>0</v>
      </c>
      <c r="K357" s="2" t="str">
        <f t="shared" si="29"/>
        <v xml:space="preserve"> </v>
      </c>
      <c r="L357" s="2" t="str">
        <f t="shared" si="26"/>
        <v xml:space="preserve"> </v>
      </c>
      <c r="M357" s="2" t="str">
        <f t="shared" si="27"/>
        <v xml:space="preserve"> </v>
      </c>
    </row>
    <row r="358" spans="1:13" x14ac:dyDescent="0.25">
      <c r="A358" s="43" t="str">
        <f t="shared" si="25"/>
        <v xml:space="preserve"> </v>
      </c>
      <c r="D358" s="42"/>
      <c r="E358" s="42"/>
      <c r="J358" s="17">
        <f t="shared" si="28"/>
        <v>0</v>
      </c>
      <c r="K358" s="2" t="str">
        <f t="shared" si="29"/>
        <v xml:space="preserve"> </v>
      </c>
      <c r="L358" s="2" t="str">
        <f t="shared" si="26"/>
        <v xml:space="preserve"> </v>
      </c>
      <c r="M358" s="2" t="str">
        <f t="shared" si="27"/>
        <v xml:space="preserve"> </v>
      </c>
    </row>
    <row r="359" spans="1:13" x14ac:dyDescent="0.25">
      <c r="A359" s="43" t="str">
        <f t="shared" si="25"/>
        <v xml:space="preserve"> </v>
      </c>
      <c r="D359" s="42"/>
      <c r="E359" s="42"/>
      <c r="J359" s="17">
        <f t="shared" si="28"/>
        <v>0</v>
      </c>
      <c r="K359" s="2" t="str">
        <f t="shared" si="29"/>
        <v xml:space="preserve"> </v>
      </c>
      <c r="L359" s="2" t="str">
        <f t="shared" si="26"/>
        <v xml:space="preserve"> </v>
      </c>
      <c r="M359" s="2" t="str">
        <f t="shared" si="27"/>
        <v xml:space="preserve"> </v>
      </c>
    </row>
    <row r="360" spans="1:13" x14ac:dyDescent="0.25">
      <c r="A360" s="43" t="str">
        <f t="shared" si="25"/>
        <v xml:space="preserve"> </v>
      </c>
      <c r="D360" s="42"/>
      <c r="E360" s="42"/>
      <c r="J360" s="17">
        <f t="shared" si="28"/>
        <v>0</v>
      </c>
      <c r="K360" s="2" t="str">
        <f t="shared" si="29"/>
        <v xml:space="preserve"> </v>
      </c>
      <c r="L360" s="2" t="str">
        <f t="shared" si="26"/>
        <v xml:space="preserve"> </v>
      </c>
      <c r="M360" s="2" t="str">
        <f t="shared" si="27"/>
        <v xml:space="preserve"> </v>
      </c>
    </row>
    <row r="361" spans="1:13" x14ac:dyDescent="0.25">
      <c r="A361" s="43" t="str">
        <f t="shared" si="25"/>
        <v xml:space="preserve"> </v>
      </c>
      <c r="D361" s="42"/>
      <c r="E361" s="42"/>
      <c r="J361" s="17">
        <f t="shared" si="28"/>
        <v>0</v>
      </c>
      <c r="K361" s="2" t="str">
        <f t="shared" si="29"/>
        <v xml:space="preserve"> </v>
      </c>
      <c r="L361" s="2" t="str">
        <f t="shared" si="26"/>
        <v xml:space="preserve"> </v>
      </c>
      <c r="M361" s="2" t="str">
        <f t="shared" si="27"/>
        <v xml:space="preserve"> </v>
      </c>
    </row>
    <row r="362" spans="1:13" x14ac:dyDescent="0.25">
      <c r="A362" s="43" t="str">
        <f t="shared" si="25"/>
        <v xml:space="preserve"> </v>
      </c>
      <c r="D362" s="42"/>
      <c r="E362" s="42"/>
      <c r="J362" s="17">
        <f t="shared" si="28"/>
        <v>0</v>
      </c>
      <c r="K362" s="2" t="str">
        <f t="shared" si="29"/>
        <v xml:space="preserve"> </v>
      </c>
      <c r="L362" s="2" t="str">
        <f t="shared" si="26"/>
        <v xml:space="preserve"> </v>
      </c>
      <c r="M362" s="2" t="str">
        <f t="shared" si="27"/>
        <v xml:space="preserve"> </v>
      </c>
    </row>
    <row r="363" spans="1:13" x14ac:dyDescent="0.25">
      <c r="A363" s="43" t="str">
        <f t="shared" si="25"/>
        <v xml:space="preserve"> </v>
      </c>
      <c r="D363" s="42"/>
      <c r="E363" s="42"/>
      <c r="J363" s="17">
        <f t="shared" si="28"/>
        <v>0</v>
      </c>
      <c r="K363" s="2" t="str">
        <f t="shared" si="29"/>
        <v xml:space="preserve"> </v>
      </c>
      <c r="L363" s="2" t="str">
        <f t="shared" si="26"/>
        <v xml:space="preserve"> </v>
      </c>
      <c r="M363" s="2" t="str">
        <f t="shared" si="27"/>
        <v xml:space="preserve"> </v>
      </c>
    </row>
    <row r="364" spans="1:13" x14ac:dyDescent="0.25">
      <c r="A364" s="43" t="str">
        <f t="shared" si="25"/>
        <v xml:space="preserve"> </v>
      </c>
      <c r="D364" s="42"/>
      <c r="E364" s="42"/>
      <c r="J364" s="17">
        <f t="shared" si="28"/>
        <v>0</v>
      </c>
      <c r="K364" s="2" t="str">
        <f t="shared" si="29"/>
        <v xml:space="preserve"> </v>
      </c>
      <c r="L364" s="2" t="str">
        <f t="shared" si="26"/>
        <v xml:space="preserve"> </v>
      </c>
      <c r="M364" s="2" t="str">
        <f t="shared" si="27"/>
        <v xml:space="preserve"> </v>
      </c>
    </row>
    <row r="365" spans="1:13" x14ac:dyDescent="0.25">
      <c r="A365" s="43" t="str">
        <f t="shared" si="25"/>
        <v xml:space="preserve"> </v>
      </c>
      <c r="D365" s="42"/>
      <c r="E365" s="42"/>
      <c r="J365" s="17">
        <f t="shared" si="28"/>
        <v>0</v>
      </c>
      <c r="K365" s="2" t="str">
        <f t="shared" si="29"/>
        <v xml:space="preserve"> </v>
      </c>
      <c r="L365" s="2" t="str">
        <f t="shared" si="26"/>
        <v xml:space="preserve"> </v>
      </c>
      <c r="M365" s="2" t="str">
        <f t="shared" si="27"/>
        <v xml:space="preserve"> </v>
      </c>
    </row>
    <row r="366" spans="1:13" x14ac:dyDescent="0.25">
      <c r="A366" s="43" t="str">
        <f t="shared" si="25"/>
        <v xml:space="preserve"> </v>
      </c>
      <c r="D366" s="42"/>
      <c r="E366" s="42"/>
      <c r="J366" s="17">
        <f t="shared" si="28"/>
        <v>0</v>
      </c>
      <c r="K366" s="2" t="str">
        <f t="shared" si="29"/>
        <v xml:space="preserve"> </v>
      </c>
      <c r="L366" s="2" t="str">
        <f t="shared" si="26"/>
        <v xml:space="preserve"> </v>
      </c>
      <c r="M366" s="2" t="str">
        <f t="shared" si="27"/>
        <v xml:space="preserve"> </v>
      </c>
    </row>
    <row r="367" spans="1:13" x14ac:dyDescent="0.25">
      <c r="A367" s="43" t="str">
        <f t="shared" si="25"/>
        <v xml:space="preserve"> </v>
      </c>
      <c r="D367" s="42"/>
      <c r="E367" s="42"/>
      <c r="J367" s="17">
        <f t="shared" si="28"/>
        <v>0</v>
      </c>
      <c r="K367" s="2" t="str">
        <f t="shared" si="29"/>
        <v xml:space="preserve"> </v>
      </c>
      <c r="L367" s="2" t="str">
        <f t="shared" si="26"/>
        <v xml:space="preserve"> </v>
      </c>
      <c r="M367" s="2" t="str">
        <f t="shared" si="27"/>
        <v xml:space="preserve"> </v>
      </c>
    </row>
    <row r="368" spans="1:13" x14ac:dyDescent="0.25">
      <c r="A368" s="43" t="str">
        <f t="shared" si="25"/>
        <v xml:space="preserve"> </v>
      </c>
      <c r="D368" s="42"/>
      <c r="E368" s="42"/>
      <c r="J368" s="17">
        <f t="shared" si="28"/>
        <v>0</v>
      </c>
      <c r="K368" s="2" t="str">
        <f t="shared" si="29"/>
        <v xml:space="preserve"> </v>
      </c>
      <c r="L368" s="2" t="str">
        <f t="shared" si="26"/>
        <v xml:space="preserve"> </v>
      </c>
      <c r="M368" s="2" t="str">
        <f t="shared" si="27"/>
        <v xml:space="preserve"> </v>
      </c>
    </row>
    <row r="369" spans="1:13" x14ac:dyDescent="0.25">
      <c r="A369" s="43" t="str">
        <f t="shared" si="25"/>
        <v xml:space="preserve"> </v>
      </c>
      <c r="D369" s="42"/>
      <c r="E369" s="42"/>
      <c r="J369" s="17">
        <f t="shared" si="28"/>
        <v>0</v>
      </c>
      <c r="K369" s="2" t="str">
        <f t="shared" si="29"/>
        <v xml:space="preserve"> </v>
      </c>
      <c r="L369" s="2" t="str">
        <f t="shared" si="26"/>
        <v xml:space="preserve"> </v>
      </c>
      <c r="M369" s="2" t="str">
        <f t="shared" si="27"/>
        <v xml:space="preserve"> </v>
      </c>
    </row>
    <row r="370" spans="1:13" x14ac:dyDescent="0.25">
      <c r="A370" s="43" t="str">
        <f t="shared" si="25"/>
        <v xml:space="preserve"> </v>
      </c>
      <c r="D370" s="42"/>
      <c r="E370" s="42"/>
      <c r="J370" s="17">
        <f t="shared" si="28"/>
        <v>0</v>
      </c>
      <c r="K370" s="2" t="str">
        <f t="shared" si="29"/>
        <v xml:space="preserve"> </v>
      </c>
      <c r="L370" s="2" t="str">
        <f t="shared" si="26"/>
        <v xml:space="preserve"> </v>
      </c>
      <c r="M370" s="2" t="str">
        <f t="shared" si="27"/>
        <v xml:space="preserve"> </v>
      </c>
    </row>
    <row r="371" spans="1:13" x14ac:dyDescent="0.25">
      <c r="A371" s="43" t="str">
        <f t="shared" si="25"/>
        <v xml:space="preserve"> </v>
      </c>
      <c r="D371" s="42"/>
      <c r="E371" s="42"/>
      <c r="J371" s="17">
        <f t="shared" si="28"/>
        <v>0</v>
      </c>
      <c r="K371" s="2" t="str">
        <f t="shared" si="29"/>
        <v xml:space="preserve"> </v>
      </c>
      <c r="L371" s="2" t="str">
        <f t="shared" si="26"/>
        <v xml:space="preserve"> </v>
      </c>
      <c r="M371" s="2" t="str">
        <f t="shared" si="27"/>
        <v xml:space="preserve"> </v>
      </c>
    </row>
    <row r="372" spans="1:13" x14ac:dyDescent="0.25">
      <c r="A372" s="43" t="str">
        <f t="shared" si="25"/>
        <v xml:space="preserve"> </v>
      </c>
      <c r="D372" s="42"/>
      <c r="E372" s="42"/>
      <c r="J372" s="17">
        <f t="shared" si="28"/>
        <v>0</v>
      </c>
      <c r="K372" s="2" t="str">
        <f t="shared" si="29"/>
        <v xml:space="preserve"> </v>
      </c>
      <c r="L372" s="2" t="str">
        <f t="shared" si="26"/>
        <v xml:space="preserve"> </v>
      </c>
      <c r="M372" s="2" t="str">
        <f t="shared" si="27"/>
        <v xml:space="preserve"> </v>
      </c>
    </row>
    <row r="373" spans="1:13" x14ac:dyDescent="0.25">
      <c r="A373" s="43" t="str">
        <f t="shared" si="25"/>
        <v xml:space="preserve"> </v>
      </c>
      <c r="D373" s="42"/>
      <c r="E373" s="42"/>
      <c r="J373" s="17">
        <f t="shared" si="28"/>
        <v>0</v>
      </c>
      <c r="K373" s="2" t="str">
        <f t="shared" si="29"/>
        <v xml:space="preserve"> </v>
      </c>
      <c r="L373" s="2" t="str">
        <f t="shared" si="26"/>
        <v xml:space="preserve"> </v>
      </c>
      <c r="M373" s="2" t="str">
        <f t="shared" si="27"/>
        <v xml:space="preserve"> </v>
      </c>
    </row>
    <row r="374" spans="1:13" x14ac:dyDescent="0.25">
      <c r="A374" s="43" t="str">
        <f t="shared" si="25"/>
        <v xml:space="preserve"> </v>
      </c>
      <c r="D374" s="42"/>
      <c r="E374" s="42"/>
      <c r="J374" s="17">
        <f t="shared" si="28"/>
        <v>0</v>
      </c>
      <c r="K374" s="2" t="str">
        <f t="shared" si="29"/>
        <v xml:space="preserve"> </v>
      </c>
      <c r="L374" s="2" t="str">
        <f t="shared" si="26"/>
        <v xml:space="preserve"> </v>
      </c>
      <c r="M374" s="2" t="str">
        <f t="shared" si="27"/>
        <v xml:space="preserve"> </v>
      </c>
    </row>
    <row r="375" spans="1:13" x14ac:dyDescent="0.25">
      <c r="A375" s="43" t="str">
        <f t="shared" si="25"/>
        <v xml:space="preserve"> </v>
      </c>
      <c r="D375" s="42"/>
      <c r="E375" s="42"/>
      <c r="J375" s="17">
        <f t="shared" si="28"/>
        <v>0</v>
      </c>
      <c r="K375" s="2" t="str">
        <f t="shared" si="29"/>
        <v xml:space="preserve"> </v>
      </c>
      <c r="L375" s="2" t="str">
        <f t="shared" si="26"/>
        <v xml:space="preserve"> </v>
      </c>
      <c r="M375" s="2" t="str">
        <f t="shared" si="27"/>
        <v xml:space="preserve"> </v>
      </c>
    </row>
    <row r="376" spans="1:13" x14ac:dyDescent="0.25">
      <c r="A376" s="43" t="str">
        <f t="shared" si="25"/>
        <v xml:space="preserve"> </v>
      </c>
      <c r="D376" s="42"/>
      <c r="E376" s="42"/>
      <c r="J376" s="17">
        <f t="shared" si="28"/>
        <v>0</v>
      </c>
      <c r="K376" s="2" t="str">
        <f t="shared" si="29"/>
        <v xml:space="preserve"> </v>
      </c>
      <c r="L376" s="2" t="str">
        <f t="shared" si="26"/>
        <v xml:space="preserve"> </v>
      </c>
      <c r="M376" s="2" t="str">
        <f t="shared" si="27"/>
        <v xml:space="preserve"> </v>
      </c>
    </row>
    <row r="377" spans="1:13" x14ac:dyDescent="0.25">
      <c r="A377" s="43" t="str">
        <f t="shared" si="25"/>
        <v xml:space="preserve"> </v>
      </c>
      <c r="D377" s="42"/>
      <c r="E377" s="42"/>
      <c r="J377" s="17">
        <f t="shared" si="28"/>
        <v>0</v>
      </c>
      <c r="K377" s="2" t="str">
        <f t="shared" si="29"/>
        <v xml:space="preserve"> </v>
      </c>
      <c r="L377" s="2" t="str">
        <f t="shared" si="26"/>
        <v xml:space="preserve"> </v>
      </c>
      <c r="M377" s="2" t="str">
        <f t="shared" si="27"/>
        <v xml:space="preserve"> </v>
      </c>
    </row>
    <row r="378" spans="1:13" x14ac:dyDescent="0.25">
      <c r="A378" s="43" t="str">
        <f t="shared" si="25"/>
        <v xml:space="preserve"> </v>
      </c>
      <c r="D378" s="42"/>
      <c r="E378" s="42"/>
      <c r="J378" s="17">
        <f t="shared" si="28"/>
        <v>0</v>
      </c>
      <c r="K378" s="2" t="str">
        <f t="shared" si="29"/>
        <v xml:space="preserve"> </v>
      </c>
      <c r="L378" s="2" t="str">
        <f t="shared" si="26"/>
        <v xml:space="preserve"> </v>
      </c>
      <c r="M378" s="2" t="str">
        <f t="shared" si="27"/>
        <v xml:space="preserve"> </v>
      </c>
    </row>
    <row r="379" spans="1:13" x14ac:dyDescent="0.25">
      <c r="A379" s="43" t="str">
        <f t="shared" si="25"/>
        <v xml:space="preserve"> </v>
      </c>
      <c r="D379" s="42"/>
      <c r="E379" s="42"/>
      <c r="J379" s="17">
        <f t="shared" si="28"/>
        <v>0</v>
      </c>
      <c r="K379" s="2" t="str">
        <f t="shared" si="29"/>
        <v xml:space="preserve"> </v>
      </c>
      <c r="L379" s="2" t="str">
        <f t="shared" si="26"/>
        <v xml:space="preserve"> </v>
      </c>
      <c r="M379" s="2" t="str">
        <f t="shared" si="27"/>
        <v xml:space="preserve"> </v>
      </c>
    </row>
    <row r="380" spans="1:13" x14ac:dyDescent="0.25">
      <c r="A380" s="43" t="str">
        <f t="shared" si="25"/>
        <v xml:space="preserve"> </v>
      </c>
      <c r="D380" s="42"/>
      <c r="E380" s="42"/>
      <c r="J380" s="17">
        <f t="shared" si="28"/>
        <v>0</v>
      </c>
      <c r="K380" s="2" t="str">
        <f t="shared" si="29"/>
        <v xml:space="preserve"> </v>
      </c>
      <c r="L380" s="2" t="str">
        <f t="shared" si="26"/>
        <v xml:space="preserve"> </v>
      </c>
      <c r="M380" s="2" t="str">
        <f t="shared" si="27"/>
        <v xml:space="preserve"> </v>
      </c>
    </row>
    <row r="381" spans="1:13" x14ac:dyDescent="0.25">
      <c r="A381" s="43" t="str">
        <f t="shared" si="25"/>
        <v xml:space="preserve"> </v>
      </c>
      <c r="D381" s="42"/>
      <c r="E381" s="42"/>
      <c r="J381" s="17">
        <f t="shared" si="28"/>
        <v>0</v>
      </c>
      <c r="K381" s="2" t="str">
        <f t="shared" si="29"/>
        <v xml:space="preserve"> </v>
      </c>
      <c r="L381" s="2" t="str">
        <f t="shared" si="26"/>
        <v xml:space="preserve"> </v>
      </c>
      <c r="M381" s="2" t="str">
        <f t="shared" si="27"/>
        <v xml:space="preserve"> </v>
      </c>
    </row>
    <row r="382" spans="1:13" x14ac:dyDescent="0.25">
      <c r="A382" s="43" t="str">
        <f t="shared" si="25"/>
        <v xml:space="preserve"> </v>
      </c>
      <c r="D382" s="42"/>
      <c r="E382" s="42"/>
      <c r="J382" s="17">
        <f t="shared" si="28"/>
        <v>0</v>
      </c>
      <c r="K382" s="2" t="str">
        <f t="shared" si="29"/>
        <v xml:space="preserve"> </v>
      </c>
      <c r="L382" s="2" t="str">
        <f t="shared" si="26"/>
        <v xml:space="preserve"> </v>
      </c>
      <c r="M382" s="2" t="str">
        <f t="shared" si="27"/>
        <v xml:space="preserve"> </v>
      </c>
    </row>
    <row r="383" spans="1:13" x14ac:dyDescent="0.25">
      <c r="A383" s="43" t="str">
        <f t="shared" si="25"/>
        <v xml:space="preserve"> </v>
      </c>
      <c r="D383" s="42"/>
      <c r="E383" s="42"/>
      <c r="J383" s="17">
        <f t="shared" si="28"/>
        <v>0</v>
      </c>
      <c r="K383" s="2" t="str">
        <f t="shared" si="29"/>
        <v xml:space="preserve"> </v>
      </c>
      <c r="L383" s="2" t="str">
        <f t="shared" si="26"/>
        <v xml:space="preserve"> </v>
      </c>
      <c r="M383" s="2" t="str">
        <f t="shared" si="27"/>
        <v xml:space="preserve"> </v>
      </c>
    </row>
    <row r="384" spans="1:13" x14ac:dyDescent="0.25">
      <c r="A384" s="43" t="str">
        <f t="shared" si="25"/>
        <v xml:space="preserve"> </v>
      </c>
      <c r="D384" s="42"/>
      <c r="E384" s="42"/>
      <c r="J384" s="17">
        <f t="shared" si="28"/>
        <v>0</v>
      </c>
      <c r="K384" s="2" t="str">
        <f t="shared" si="29"/>
        <v xml:space="preserve"> </v>
      </c>
      <c r="L384" s="2" t="str">
        <f t="shared" si="26"/>
        <v xml:space="preserve"> </v>
      </c>
      <c r="M384" s="2" t="str">
        <f t="shared" si="27"/>
        <v xml:space="preserve"> </v>
      </c>
    </row>
    <row r="385" spans="1:13" x14ac:dyDescent="0.25">
      <c r="A385" s="43" t="str">
        <f t="shared" si="25"/>
        <v xml:space="preserve"> </v>
      </c>
      <c r="D385" s="42"/>
      <c r="E385" s="42"/>
      <c r="J385" s="17">
        <f t="shared" si="28"/>
        <v>0</v>
      </c>
      <c r="K385" s="2" t="str">
        <f t="shared" si="29"/>
        <v xml:space="preserve"> </v>
      </c>
      <c r="L385" s="2" t="str">
        <f t="shared" si="26"/>
        <v xml:space="preserve"> </v>
      </c>
      <c r="M385" s="2" t="str">
        <f t="shared" si="27"/>
        <v xml:space="preserve"> </v>
      </c>
    </row>
    <row r="386" spans="1:13" x14ac:dyDescent="0.25">
      <c r="A386" s="43" t="str">
        <f t="shared" si="25"/>
        <v xml:space="preserve"> </v>
      </c>
      <c r="D386" s="42"/>
      <c r="E386" s="42"/>
      <c r="J386" s="17">
        <f t="shared" si="28"/>
        <v>0</v>
      </c>
      <c r="K386" s="2" t="str">
        <f t="shared" si="29"/>
        <v xml:space="preserve"> </v>
      </c>
      <c r="L386" s="2" t="str">
        <f t="shared" si="26"/>
        <v xml:space="preserve"> </v>
      </c>
      <c r="M386" s="2" t="str">
        <f t="shared" si="27"/>
        <v xml:space="preserve"> </v>
      </c>
    </row>
    <row r="387" spans="1:13" x14ac:dyDescent="0.25">
      <c r="A387" s="43" t="str">
        <f t="shared" si="25"/>
        <v xml:space="preserve"> </v>
      </c>
      <c r="D387" s="42"/>
      <c r="E387" s="42"/>
      <c r="J387" s="17">
        <f t="shared" si="28"/>
        <v>0</v>
      </c>
      <c r="K387" s="2" t="str">
        <f t="shared" si="29"/>
        <v xml:space="preserve"> </v>
      </c>
      <c r="L387" s="2" t="str">
        <f t="shared" si="26"/>
        <v xml:space="preserve"> </v>
      </c>
      <c r="M387" s="2" t="str">
        <f t="shared" si="27"/>
        <v xml:space="preserve"> </v>
      </c>
    </row>
    <row r="388" spans="1:13" x14ac:dyDescent="0.25">
      <c r="A388" s="43" t="str">
        <f t="shared" si="25"/>
        <v xml:space="preserve"> </v>
      </c>
      <c r="D388" s="42"/>
      <c r="E388" s="42"/>
      <c r="J388" s="17">
        <f t="shared" si="28"/>
        <v>0</v>
      </c>
      <c r="K388" s="2" t="str">
        <f t="shared" si="29"/>
        <v xml:space="preserve"> </v>
      </c>
      <c r="L388" s="2" t="str">
        <f t="shared" si="26"/>
        <v xml:space="preserve"> </v>
      </c>
      <c r="M388" s="2" t="str">
        <f t="shared" si="27"/>
        <v xml:space="preserve"> </v>
      </c>
    </row>
    <row r="389" spans="1:13" x14ac:dyDescent="0.25">
      <c r="A389" s="43" t="str">
        <f t="shared" si="25"/>
        <v xml:space="preserve"> </v>
      </c>
      <c r="D389" s="42"/>
      <c r="E389" s="42"/>
      <c r="J389" s="17">
        <f t="shared" si="28"/>
        <v>0</v>
      </c>
      <c r="K389" s="2" t="str">
        <f t="shared" si="29"/>
        <v xml:space="preserve"> </v>
      </c>
      <c r="L389" s="2" t="str">
        <f t="shared" si="26"/>
        <v xml:space="preserve"> </v>
      </c>
      <c r="M389" s="2" t="str">
        <f t="shared" si="27"/>
        <v xml:space="preserve"> </v>
      </c>
    </row>
    <row r="390" spans="1:13" x14ac:dyDescent="0.25">
      <c r="A390" s="43" t="str">
        <f t="shared" si="25"/>
        <v xml:space="preserve"> </v>
      </c>
      <c r="D390" s="42"/>
      <c r="E390" s="42"/>
      <c r="J390" s="17">
        <f t="shared" si="28"/>
        <v>0</v>
      </c>
      <c r="K390" s="2" t="str">
        <f t="shared" si="29"/>
        <v xml:space="preserve"> </v>
      </c>
      <c r="L390" s="2" t="str">
        <f t="shared" si="26"/>
        <v xml:space="preserve"> </v>
      </c>
      <c r="M390" s="2" t="str">
        <f t="shared" si="27"/>
        <v xml:space="preserve"> </v>
      </c>
    </row>
    <row r="391" spans="1:13" x14ac:dyDescent="0.25">
      <c r="A391" s="43" t="str">
        <f t="shared" si="25"/>
        <v xml:space="preserve"> </v>
      </c>
      <c r="D391" s="42"/>
      <c r="E391" s="42"/>
      <c r="J391" s="17">
        <f t="shared" si="28"/>
        <v>0</v>
      </c>
      <c r="K391" s="2" t="str">
        <f t="shared" si="29"/>
        <v xml:space="preserve"> </v>
      </c>
      <c r="L391" s="2" t="str">
        <f t="shared" si="26"/>
        <v xml:space="preserve"> </v>
      </c>
      <c r="M391" s="2" t="str">
        <f t="shared" si="27"/>
        <v xml:space="preserve"> </v>
      </c>
    </row>
    <row r="392" spans="1:13" x14ac:dyDescent="0.25">
      <c r="A392" s="43" t="str">
        <f t="shared" si="25"/>
        <v xml:space="preserve"> </v>
      </c>
      <c r="D392" s="42"/>
      <c r="E392" s="42"/>
      <c r="J392" s="17">
        <f t="shared" si="28"/>
        <v>0</v>
      </c>
      <c r="K392" s="2" t="str">
        <f t="shared" si="29"/>
        <v xml:space="preserve"> </v>
      </c>
      <c r="L392" s="2" t="str">
        <f t="shared" si="26"/>
        <v xml:space="preserve"> </v>
      </c>
      <c r="M392" s="2" t="str">
        <f t="shared" si="27"/>
        <v xml:space="preserve"> </v>
      </c>
    </row>
    <row r="393" spans="1:13" x14ac:dyDescent="0.25">
      <c r="A393" s="43" t="str">
        <f t="shared" si="25"/>
        <v xml:space="preserve"> </v>
      </c>
      <c r="D393" s="42"/>
      <c r="E393" s="42"/>
      <c r="J393" s="17">
        <f t="shared" si="28"/>
        <v>0</v>
      </c>
      <c r="K393" s="2" t="str">
        <f t="shared" si="29"/>
        <v xml:space="preserve"> </v>
      </c>
      <c r="L393" s="2" t="str">
        <f t="shared" si="26"/>
        <v xml:space="preserve"> </v>
      </c>
      <c r="M393" s="2" t="str">
        <f t="shared" si="27"/>
        <v xml:space="preserve"> </v>
      </c>
    </row>
    <row r="394" spans="1:13" x14ac:dyDescent="0.25">
      <c r="A394" s="43" t="str">
        <f t="shared" si="25"/>
        <v xml:space="preserve"> </v>
      </c>
      <c r="D394" s="42"/>
      <c r="E394" s="42"/>
      <c r="J394" s="17">
        <f t="shared" si="28"/>
        <v>0</v>
      </c>
      <c r="K394" s="2" t="str">
        <f t="shared" si="29"/>
        <v xml:space="preserve"> </v>
      </c>
      <c r="L394" s="2" t="str">
        <f t="shared" si="26"/>
        <v xml:space="preserve"> </v>
      </c>
      <c r="M394" s="2" t="str">
        <f t="shared" si="27"/>
        <v xml:space="preserve"> </v>
      </c>
    </row>
    <row r="395" spans="1:13" x14ac:dyDescent="0.25">
      <c r="A395" s="43" t="str">
        <f t="shared" si="25"/>
        <v xml:space="preserve"> </v>
      </c>
      <c r="D395" s="42"/>
      <c r="E395" s="42"/>
      <c r="J395" s="17">
        <f t="shared" si="28"/>
        <v>0</v>
      </c>
      <c r="K395" s="2" t="str">
        <f t="shared" si="29"/>
        <v xml:space="preserve"> </v>
      </c>
      <c r="L395" s="2" t="str">
        <f t="shared" si="26"/>
        <v xml:space="preserve"> </v>
      </c>
      <c r="M395" s="2" t="str">
        <f t="shared" si="27"/>
        <v xml:space="preserve"> </v>
      </c>
    </row>
    <row r="396" spans="1:13" x14ac:dyDescent="0.25">
      <c r="A396" s="43" t="str">
        <f t="shared" si="25"/>
        <v xml:space="preserve"> </v>
      </c>
      <c r="D396" s="42"/>
      <c r="E396" s="42"/>
      <c r="J396" s="17">
        <f t="shared" si="28"/>
        <v>0</v>
      </c>
      <c r="K396" s="2" t="str">
        <f t="shared" si="29"/>
        <v xml:space="preserve"> </v>
      </c>
      <c r="L396" s="2" t="str">
        <f t="shared" si="26"/>
        <v xml:space="preserve"> </v>
      </c>
      <c r="M396" s="2" t="str">
        <f t="shared" si="27"/>
        <v xml:space="preserve"> </v>
      </c>
    </row>
    <row r="397" spans="1:13" x14ac:dyDescent="0.25">
      <c r="A397" s="43" t="str">
        <f t="shared" si="25"/>
        <v xml:space="preserve"> </v>
      </c>
      <c r="D397" s="42"/>
      <c r="E397" s="42"/>
      <c r="J397" s="17">
        <f t="shared" si="28"/>
        <v>0</v>
      </c>
      <c r="K397" s="2" t="str">
        <f t="shared" si="29"/>
        <v xml:space="preserve"> </v>
      </c>
      <c r="L397" s="2" t="str">
        <f t="shared" si="26"/>
        <v xml:space="preserve"> </v>
      </c>
      <c r="M397" s="2" t="str">
        <f t="shared" si="27"/>
        <v xml:space="preserve"> </v>
      </c>
    </row>
    <row r="398" spans="1:13" x14ac:dyDescent="0.25">
      <c r="A398" s="43" t="str">
        <f t="shared" si="25"/>
        <v xml:space="preserve"> </v>
      </c>
      <c r="D398" s="42"/>
      <c r="E398" s="42"/>
      <c r="J398" s="17">
        <f t="shared" si="28"/>
        <v>0</v>
      </c>
      <c r="K398" s="2" t="str">
        <f t="shared" si="29"/>
        <v xml:space="preserve"> </v>
      </c>
      <c r="L398" s="2" t="str">
        <f t="shared" si="26"/>
        <v xml:space="preserve"> </v>
      </c>
      <c r="M398" s="2" t="str">
        <f t="shared" si="27"/>
        <v xml:space="preserve"> </v>
      </c>
    </row>
    <row r="399" spans="1:13" x14ac:dyDescent="0.25">
      <c r="A399" s="43" t="str">
        <f t="shared" ref="A399:A462" si="30">IF(COUNTIF(K399:M399,"ERROR")&gt;0,"ERROR"," ")</f>
        <v xml:space="preserve"> </v>
      </c>
      <c r="D399" s="42"/>
      <c r="E399" s="42"/>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43" t="str">
        <f t="shared" si="30"/>
        <v xml:space="preserve"> </v>
      </c>
      <c r="D400" s="42"/>
      <c r="E400" s="42"/>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3" t="str">
        <f t="shared" si="30"/>
        <v xml:space="preserve"> </v>
      </c>
      <c r="D401" s="42"/>
      <c r="E401" s="42"/>
      <c r="J401" s="17">
        <f t="shared" si="33"/>
        <v>0</v>
      </c>
      <c r="K401" s="2" t="str">
        <f t="shared" si="34"/>
        <v xml:space="preserve"> </v>
      </c>
      <c r="L401" s="2" t="str">
        <f t="shared" si="31"/>
        <v xml:space="preserve"> </v>
      </c>
      <c r="M401" s="2" t="str">
        <f t="shared" si="32"/>
        <v xml:space="preserve"> </v>
      </c>
    </row>
    <row r="402" spans="1:13" x14ac:dyDescent="0.25">
      <c r="A402" s="43" t="str">
        <f t="shared" si="30"/>
        <v xml:space="preserve"> </v>
      </c>
      <c r="D402" s="42"/>
      <c r="E402" s="42"/>
      <c r="J402" s="17">
        <f t="shared" si="33"/>
        <v>0</v>
      </c>
      <c r="K402" s="2" t="str">
        <f t="shared" si="34"/>
        <v xml:space="preserve"> </v>
      </c>
      <c r="L402" s="2" t="str">
        <f t="shared" si="31"/>
        <v xml:space="preserve"> </v>
      </c>
      <c r="M402" s="2" t="str">
        <f t="shared" si="32"/>
        <v xml:space="preserve"> </v>
      </c>
    </row>
    <row r="403" spans="1:13" x14ac:dyDescent="0.25">
      <c r="A403" s="43" t="str">
        <f t="shared" si="30"/>
        <v xml:space="preserve"> </v>
      </c>
      <c r="D403" s="42"/>
      <c r="E403" s="42"/>
      <c r="J403" s="17">
        <f t="shared" si="33"/>
        <v>0</v>
      </c>
      <c r="K403" s="2" t="str">
        <f t="shared" si="34"/>
        <v xml:space="preserve"> </v>
      </c>
      <c r="L403" s="2" t="str">
        <f t="shared" si="31"/>
        <v xml:space="preserve"> </v>
      </c>
      <c r="M403" s="2" t="str">
        <f t="shared" si="32"/>
        <v xml:space="preserve"> </v>
      </c>
    </row>
    <row r="404" spans="1:13" x14ac:dyDescent="0.25">
      <c r="A404" s="43" t="str">
        <f t="shared" si="30"/>
        <v xml:space="preserve"> </v>
      </c>
      <c r="D404" s="42"/>
      <c r="E404" s="42"/>
      <c r="J404" s="17">
        <f t="shared" si="33"/>
        <v>0</v>
      </c>
      <c r="K404" s="2" t="str">
        <f t="shared" si="34"/>
        <v xml:space="preserve"> </v>
      </c>
      <c r="L404" s="2" t="str">
        <f t="shared" si="31"/>
        <v xml:space="preserve"> </v>
      </c>
      <c r="M404" s="2" t="str">
        <f t="shared" si="32"/>
        <v xml:space="preserve"> </v>
      </c>
    </row>
    <row r="405" spans="1:13" x14ac:dyDescent="0.25">
      <c r="A405" s="43" t="str">
        <f t="shared" si="30"/>
        <v xml:space="preserve"> </v>
      </c>
      <c r="D405" s="42"/>
      <c r="E405" s="42"/>
      <c r="J405" s="17">
        <f t="shared" si="33"/>
        <v>0</v>
      </c>
      <c r="K405" s="2" t="str">
        <f t="shared" si="34"/>
        <v xml:space="preserve"> </v>
      </c>
      <c r="L405" s="2" t="str">
        <f t="shared" si="31"/>
        <v xml:space="preserve"> </v>
      </c>
      <c r="M405" s="2" t="str">
        <f t="shared" si="32"/>
        <v xml:space="preserve"> </v>
      </c>
    </row>
    <row r="406" spans="1:13" x14ac:dyDescent="0.25">
      <c r="A406" s="43" t="str">
        <f t="shared" si="30"/>
        <v xml:space="preserve"> </v>
      </c>
      <c r="D406" s="42"/>
      <c r="E406" s="42"/>
      <c r="J406" s="17">
        <f t="shared" si="33"/>
        <v>0</v>
      </c>
      <c r="K406" s="2" t="str">
        <f t="shared" si="34"/>
        <v xml:space="preserve"> </v>
      </c>
      <c r="L406" s="2" t="str">
        <f t="shared" si="31"/>
        <v xml:space="preserve"> </v>
      </c>
      <c r="M406" s="2" t="str">
        <f t="shared" si="32"/>
        <v xml:space="preserve"> </v>
      </c>
    </row>
    <row r="407" spans="1:13" x14ac:dyDescent="0.25">
      <c r="A407" s="43" t="str">
        <f t="shared" si="30"/>
        <v xml:space="preserve"> </v>
      </c>
      <c r="D407" s="42"/>
      <c r="E407" s="42"/>
      <c r="J407" s="17">
        <f t="shared" si="33"/>
        <v>0</v>
      </c>
      <c r="K407" s="2" t="str">
        <f t="shared" si="34"/>
        <v xml:space="preserve"> </v>
      </c>
      <c r="L407" s="2" t="str">
        <f t="shared" si="31"/>
        <v xml:space="preserve"> </v>
      </c>
      <c r="M407" s="2" t="str">
        <f t="shared" si="32"/>
        <v xml:space="preserve"> </v>
      </c>
    </row>
    <row r="408" spans="1:13" x14ac:dyDescent="0.25">
      <c r="A408" s="43" t="str">
        <f t="shared" si="30"/>
        <v xml:space="preserve"> </v>
      </c>
      <c r="D408" s="42"/>
      <c r="E408" s="42"/>
      <c r="J408" s="17">
        <f t="shared" si="33"/>
        <v>0</v>
      </c>
      <c r="K408" s="2" t="str">
        <f t="shared" si="34"/>
        <v xml:space="preserve"> </v>
      </c>
      <c r="L408" s="2" t="str">
        <f t="shared" si="31"/>
        <v xml:space="preserve"> </v>
      </c>
      <c r="M408" s="2" t="str">
        <f t="shared" si="32"/>
        <v xml:space="preserve"> </v>
      </c>
    </row>
    <row r="409" spans="1:13" x14ac:dyDescent="0.25">
      <c r="A409" s="43" t="str">
        <f t="shared" si="30"/>
        <v xml:space="preserve"> </v>
      </c>
      <c r="D409" s="42"/>
      <c r="E409" s="42"/>
      <c r="J409" s="17">
        <f t="shared" si="33"/>
        <v>0</v>
      </c>
      <c r="K409" s="2" t="str">
        <f t="shared" si="34"/>
        <v xml:space="preserve"> </v>
      </c>
      <c r="L409" s="2" t="str">
        <f t="shared" si="31"/>
        <v xml:space="preserve"> </v>
      </c>
      <c r="M409" s="2" t="str">
        <f t="shared" si="32"/>
        <v xml:space="preserve"> </v>
      </c>
    </row>
    <row r="410" spans="1:13" x14ac:dyDescent="0.25">
      <c r="A410" s="43" t="str">
        <f t="shared" si="30"/>
        <v xml:space="preserve"> </v>
      </c>
      <c r="D410" s="42"/>
      <c r="E410" s="42"/>
      <c r="J410" s="17">
        <f t="shared" si="33"/>
        <v>0</v>
      </c>
      <c r="K410" s="2" t="str">
        <f t="shared" si="34"/>
        <v xml:space="preserve"> </v>
      </c>
      <c r="L410" s="2" t="str">
        <f t="shared" si="31"/>
        <v xml:space="preserve"> </v>
      </c>
      <c r="M410" s="2" t="str">
        <f t="shared" si="32"/>
        <v xml:space="preserve"> </v>
      </c>
    </row>
    <row r="411" spans="1:13" x14ac:dyDescent="0.25">
      <c r="A411" s="43" t="str">
        <f t="shared" si="30"/>
        <v xml:space="preserve"> </v>
      </c>
      <c r="D411" s="42"/>
      <c r="E411" s="42"/>
      <c r="J411" s="17">
        <f t="shared" si="33"/>
        <v>0</v>
      </c>
      <c r="K411" s="2" t="str">
        <f t="shared" si="34"/>
        <v xml:space="preserve"> </v>
      </c>
      <c r="L411" s="2" t="str">
        <f t="shared" si="31"/>
        <v xml:space="preserve"> </v>
      </c>
      <c r="M411" s="2" t="str">
        <f t="shared" si="32"/>
        <v xml:space="preserve"> </v>
      </c>
    </row>
    <row r="412" spans="1:13" x14ac:dyDescent="0.25">
      <c r="A412" s="43" t="str">
        <f t="shared" si="30"/>
        <v xml:space="preserve"> </v>
      </c>
      <c r="D412" s="42"/>
      <c r="E412" s="42"/>
      <c r="J412" s="17">
        <f t="shared" si="33"/>
        <v>0</v>
      </c>
      <c r="K412" s="2" t="str">
        <f t="shared" si="34"/>
        <v xml:space="preserve"> </v>
      </c>
      <c r="L412" s="2" t="str">
        <f t="shared" si="31"/>
        <v xml:space="preserve"> </v>
      </c>
      <c r="M412" s="2" t="str">
        <f t="shared" si="32"/>
        <v xml:space="preserve"> </v>
      </c>
    </row>
    <row r="413" spans="1:13" x14ac:dyDescent="0.25">
      <c r="A413" s="43" t="str">
        <f t="shared" si="30"/>
        <v xml:space="preserve"> </v>
      </c>
      <c r="D413" s="42"/>
      <c r="E413" s="42"/>
      <c r="J413" s="17">
        <f t="shared" si="33"/>
        <v>0</v>
      </c>
      <c r="K413" s="2" t="str">
        <f t="shared" si="34"/>
        <v xml:space="preserve"> </v>
      </c>
      <c r="L413" s="2" t="str">
        <f t="shared" si="31"/>
        <v xml:space="preserve"> </v>
      </c>
      <c r="M413" s="2" t="str">
        <f t="shared" si="32"/>
        <v xml:space="preserve"> </v>
      </c>
    </row>
    <row r="414" spans="1:13" x14ac:dyDescent="0.25">
      <c r="A414" s="43" t="str">
        <f t="shared" si="30"/>
        <v xml:space="preserve"> </v>
      </c>
      <c r="D414" s="42"/>
      <c r="E414" s="42"/>
      <c r="J414" s="17">
        <f t="shared" si="33"/>
        <v>0</v>
      </c>
      <c r="K414" s="2" t="str">
        <f t="shared" si="34"/>
        <v xml:space="preserve"> </v>
      </c>
      <c r="L414" s="2" t="str">
        <f t="shared" si="31"/>
        <v xml:space="preserve"> </v>
      </c>
      <c r="M414" s="2" t="str">
        <f t="shared" si="32"/>
        <v xml:space="preserve"> </v>
      </c>
    </row>
    <row r="415" spans="1:13" x14ac:dyDescent="0.25">
      <c r="A415" s="43" t="str">
        <f t="shared" si="30"/>
        <v xml:space="preserve"> </v>
      </c>
      <c r="D415" s="42"/>
      <c r="E415" s="42"/>
      <c r="J415" s="17">
        <f t="shared" si="33"/>
        <v>0</v>
      </c>
      <c r="K415" s="2" t="str">
        <f t="shared" si="34"/>
        <v xml:space="preserve"> </v>
      </c>
      <c r="L415" s="2" t="str">
        <f t="shared" si="31"/>
        <v xml:space="preserve"> </v>
      </c>
      <c r="M415" s="2" t="str">
        <f t="shared" si="32"/>
        <v xml:space="preserve"> </v>
      </c>
    </row>
    <row r="416" spans="1:13" x14ac:dyDescent="0.25">
      <c r="A416" s="43" t="str">
        <f t="shared" si="30"/>
        <v xml:space="preserve"> </v>
      </c>
      <c r="D416" s="42"/>
      <c r="E416" s="42"/>
      <c r="J416" s="17">
        <f t="shared" si="33"/>
        <v>0</v>
      </c>
      <c r="K416" s="2" t="str">
        <f t="shared" si="34"/>
        <v xml:space="preserve"> </v>
      </c>
      <c r="L416" s="2" t="str">
        <f t="shared" si="31"/>
        <v xml:space="preserve"> </v>
      </c>
      <c r="M416" s="2" t="str">
        <f t="shared" si="32"/>
        <v xml:space="preserve"> </v>
      </c>
    </row>
    <row r="417" spans="1:13" x14ac:dyDescent="0.25">
      <c r="A417" s="43" t="str">
        <f t="shared" si="30"/>
        <v xml:space="preserve"> </v>
      </c>
      <c r="D417" s="42"/>
      <c r="E417" s="42"/>
      <c r="J417" s="17">
        <f t="shared" si="33"/>
        <v>0</v>
      </c>
      <c r="K417" s="2" t="str">
        <f t="shared" si="34"/>
        <v xml:space="preserve"> </v>
      </c>
      <c r="L417" s="2" t="str">
        <f t="shared" si="31"/>
        <v xml:space="preserve"> </v>
      </c>
      <c r="M417" s="2" t="str">
        <f t="shared" si="32"/>
        <v xml:space="preserve"> </v>
      </c>
    </row>
    <row r="418" spans="1:13" x14ac:dyDescent="0.25">
      <c r="A418" s="43" t="str">
        <f t="shared" si="30"/>
        <v xml:space="preserve"> </v>
      </c>
      <c r="D418" s="42"/>
      <c r="E418" s="42"/>
      <c r="J418" s="17">
        <f t="shared" si="33"/>
        <v>0</v>
      </c>
      <c r="K418" s="2" t="str">
        <f t="shared" si="34"/>
        <v xml:space="preserve"> </v>
      </c>
      <c r="L418" s="2" t="str">
        <f t="shared" si="31"/>
        <v xml:space="preserve"> </v>
      </c>
      <c r="M418" s="2" t="str">
        <f t="shared" si="32"/>
        <v xml:space="preserve"> </v>
      </c>
    </row>
    <row r="419" spans="1:13" x14ac:dyDescent="0.25">
      <c r="A419" s="43" t="str">
        <f t="shared" si="30"/>
        <v xml:space="preserve"> </v>
      </c>
      <c r="D419" s="42"/>
      <c r="E419" s="42"/>
      <c r="J419" s="17">
        <f t="shared" si="33"/>
        <v>0</v>
      </c>
      <c r="K419" s="2" t="str">
        <f t="shared" si="34"/>
        <v xml:space="preserve"> </v>
      </c>
      <c r="L419" s="2" t="str">
        <f t="shared" si="31"/>
        <v xml:space="preserve"> </v>
      </c>
      <c r="M419" s="2" t="str">
        <f t="shared" si="32"/>
        <v xml:space="preserve"> </v>
      </c>
    </row>
    <row r="420" spans="1:13" x14ac:dyDescent="0.25">
      <c r="A420" s="43" t="str">
        <f t="shared" si="30"/>
        <v xml:space="preserve"> </v>
      </c>
      <c r="D420" s="42"/>
      <c r="E420" s="42"/>
      <c r="J420" s="17">
        <f t="shared" si="33"/>
        <v>0</v>
      </c>
      <c r="K420" s="2" t="str">
        <f t="shared" si="34"/>
        <v xml:space="preserve"> </v>
      </c>
      <c r="L420" s="2" t="str">
        <f t="shared" si="31"/>
        <v xml:space="preserve"> </v>
      </c>
      <c r="M420" s="2" t="str">
        <f t="shared" si="32"/>
        <v xml:space="preserve"> </v>
      </c>
    </row>
    <row r="421" spans="1:13" x14ac:dyDescent="0.25">
      <c r="A421" s="43" t="str">
        <f t="shared" si="30"/>
        <v xml:space="preserve"> </v>
      </c>
      <c r="D421" s="42"/>
      <c r="E421" s="42"/>
      <c r="J421" s="17">
        <f t="shared" si="33"/>
        <v>0</v>
      </c>
      <c r="K421" s="2" t="str">
        <f t="shared" si="34"/>
        <v xml:space="preserve"> </v>
      </c>
      <c r="L421" s="2" t="str">
        <f t="shared" si="31"/>
        <v xml:space="preserve"> </v>
      </c>
      <c r="M421" s="2" t="str">
        <f t="shared" si="32"/>
        <v xml:space="preserve"> </v>
      </c>
    </row>
    <row r="422" spans="1:13" x14ac:dyDescent="0.25">
      <c r="A422" s="43" t="str">
        <f t="shared" si="30"/>
        <v xml:space="preserve"> </v>
      </c>
      <c r="D422" s="42"/>
      <c r="E422" s="42"/>
      <c r="J422" s="17">
        <f t="shared" si="33"/>
        <v>0</v>
      </c>
      <c r="K422" s="2" t="str">
        <f t="shared" si="34"/>
        <v xml:space="preserve"> </v>
      </c>
      <c r="L422" s="2" t="str">
        <f t="shared" si="31"/>
        <v xml:space="preserve"> </v>
      </c>
      <c r="M422" s="2" t="str">
        <f t="shared" si="32"/>
        <v xml:space="preserve"> </v>
      </c>
    </row>
    <row r="423" spans="1:13" x14ac:dyDescent="0.25">
      <c r="A423" s="43" t="str">
        <f t="shared" si="30"/>
        <v xml:space="preserve"> </v>
      </c>
      <c r="D423" s="42"/>
      <c r="E423" s="42"/>
      <c r="J423" s="17">
        <f t="shared" si="33"/>
        <v>0</v>
      </c>
      <c r="K423" s="2" t="str">
        <f t="shared" si="34"/>
        <v xml:space="preserve"> </v>
      </c>
      <c r="L423" s="2" t="str">
        <f t="shared" si="31"/>
        <v xml:space="preserve"> </v>
      </c>
      <c r="M423" s="2" t="str">
        <f t="shared" si="32"/>
        <v xml:space="preserve"> </v>
      </c>
    </row>
    <row r="424" spans="1:13" x14ac:dyDescent="0.25">
      <c r="A424" s="43" t="str">
        <f t="shared" si="30"/>
        <v xml:space="preserve"> </v>
      </c>
      <c r="D424" s="42"/>
      <c r="E424" s="42"/>
      <c r="J424" s="17">
        <f t="shared" si="33"/>
        <v>0</v>
      </c>
      <c r="K424" s="2" t="str">
        <f t="shared" si="34"/>
        <v xml:space="preserve"> </v>
      </c>
      <c r="L424" s="2" t="str">
        <f t="shared" si="31"/>
        <v xml:space="preserve"> </v>
      </c>
      <c r="M424" s="2" t="str">
        <f t="shared" si="32"/>
        <v xml:space="preserve"> </v>
      </c>
    </row>
    <row r="425" spans="1:13" x14ac:dyDescent="0.25">
      <c r="A425" s="43" t="str">
        <f t="shared" si="30"/>
        <v xml:space="preserve"> </v>
      </c>
      <c r="D425" s="42"/>
      <c r="E425" s="42"/>
      <c r="J425" s="17">
        <f t="shared" si="33"/>
        <v>0</v>
      </c>
      <c r="K425" s="2" t="str">
        <f t="shared" si="34"/>
        <v xml:space="preserve"> </v>
      </c>
      <c r="L425" s="2" t="str">
        <f t="shared" si="31"/>
        <v xml:space="preserve"> </v>
      </c>
      <c r="M425" s="2" t="str">
        <f t="shared" si="32"/>
        <v xml:space="preserve"> </v>
      </c>
    </row>
    <row r="426" spans="1:13" x14ac:dyDescent="0.25">
      <c r="A426" s="43" t="str">
        <f t="shared" si="30"/>
        <v xml:space="preserve"> </v>
      </c>
      <c r="D426" s="42"/>
      <c r="E426" s="42"/>
      <c r="J426" s="17">
        <f t="shared" si="33"/>
        <v>0</v>
      </c>
      <c r="K426" s="2" t="str">
        <f t="shared" si="34"/>
        <v xml:space="preserve"> </v>
      </c>
      <c r="L426" s="2" t="str">
        <f t="shared" si="31"/>
        <v xml:space="preserve"> </v>
      </c>
      <c r="M426" s="2" t="str">
        <f t="shared" si="32"/>
        <v xml:space="preserve"> </v>
      </c>
    </row>
    <row r="427" spans="1:13" x14ac:dyDescent="0.25">
      <c r="A427" s="43" t="str">
        <f t="shared" si="30"/>
        <v xml:space="preserve"> </v>
      </c>
      <c r="D427" s="42"/>
      <c r="E427" s="42"/>
      <c r="J427" s="17">
        <f t="shared" si="33"/>
        <v>0</v>
      </c>
      <c r="K427" s="2" t="str">
        <f t="shared" si="34"/>
        <v xml:space="preserve"> </v>
      </c>
      <c r="L427" s="2" t="str">
        <f t="shared" si="31"/>
        <v xml:space="preserve"> </v>
      </c>
      <c r="M427" s="2" t="str">
        <f t="shared" si="32"/>
        <v xml:space="preserve"> </v>
      </c>
    </row>
    <row r="428" spans="1:13" x14ac:dyDescent="0.25">
      <c r="A428" s="43" t="str">
        <f t="shared" si="30"/>
        <v xml:space="preserve"> </v>
      </c>
      <c r="D428" s="42"/>
      <c r="E428" s="42"/>
      <c r="J428" s="17">
        <f t="shared" si="33"/>
        <v>0</v>
      </c>
      <c r="K428" s="2" t="str">
        <f t="shared" si="34"/>
        <v xml:space="preserve"> </v>
      </c>
      <c r="L428" s="2" t="str">
        <f t="shared" si="31"/>
        <v xml:space="preserve"> </v>
      </c>
      <c r="M428" s="2" t="str">
        <f t="shared" si="32"/>
        <v xml:space="preserve"> </v>
      </c>
    </row>
    <row r="429" spans="1:13" x14ac:dyDescent="0.25">
      <c r="A429" s="43" t="str">
        <f t="shared" si="30"/>
        <v xml:space="preserve"> </v>
      </c>
      <c r="D429" s="42"/>
      <c r="E429" s="42"/>
      <c r="J429" s="17">
        <f t="shared" si="33"/>
        <v>0</v>
      </c>
      <c r="K429" s="2" t="str">
        <f t="shared" si="34"/>
        <v xml:space="preserve"> </v>
      </c>
      <c r="L429" s="2" t="str">
        <f t="shared" si="31"/>
        <v xml:space="preserve"> </v>
      </c>
      <c r="M429" s="2" t="str">
        <f t="shared" si="32"/>
        <v xml:space="preserve"> </v>
      </c>
    </row>
    <row r="430" spans="1:13" x14ac:dyDescent="0.25">
      <c r="A430" s="43" t="str">
        <f t="shared" si="30"/>
        <v xml:space="preserve"> </v>
      </c>
      <c r="D430" s="42"/>
      <c r="E430" s="42"/>
      <c r="J430" s="17">
        <f t="shared" si="33"/>
        <v>0</v>
      </c>
      <c r="K430" s="2" t="str">
        <f t="shared" si="34"/>
        <v xml:space="preserve"> </v>
      </c>
      <c r="L430" s="2" t="str">
        <f t="shared" si="31"/>
        <v xml:space="preserve"> </v>
      </c>
      <c r="M430" s="2" t="str">
        <f t="shared" si="32"/>
        <v xml:space="preserve"> </v>
      </c>
    </row>
    <row r="431" spans="1:13" x14ac:dyDescent="0.25">
      <c r="A431" s="43" t="str">
        <f t="shared" si="30"/>
        <v xml:space="preserve"> </v>
      </c>
      <c r="D431" s="42"/>
      <c r="E431" s="42"/>
      <c r="J431" s="17">
        <f t="shared" si="33"/>
        <v>0</v>
      </c>
      <c r="K431" s="2" t="str">
        <f t="shared" si="34"/>
        <v xml:space="preserve"> </v>
      </c>
      <c r="L431" s="2" t="str">
        <f t="shared" si="31"/>
        <v xml:space="preserve"> </v>
      </c>
      <c r="M431" s="2" t="str">
        <f t="shared" si="32"/>
        <v xml:space="preserve"> </v>
      </c>
    </row>
    <row r="432" spans="1:13" x14ac:dyDescent="0.25">
      <c r="A432" s="43" t="str">
        <f t="shared" si="30"/>
        <v xml:space="preserve"> </v>
      </c>
      <c r="D432" s="42"/>
      <c r="E432" s="42"/>
      <c r="J432" s="17">
        <f t="shared" si="33"/>
        <v>0</v>
      </c>
      <c r="K432" s="2" t="str">
        <f t="shared" si="34"/>
        <v xml:space="preserve"> </v>
      </c>
      <c r="L432" s="2" t="str">
        <f t="shared" si="31"/>
        <v xml:space="preserve"> </v>
      </c>
      <c r="M432" s="2" t="str">
        <f t="shared" si="32"/>
        <v xml:space="preserve"> </v>
      </c>
    </row>
    <row r="433" spans="1:13" x14ac:dyDescent="0.25">
      <c r="A433" s="43" t="str">
        <f t="shared" si="30"/>
        <v xml:space="preserve"> </v>
      </c>
      <c r="D433" s="42"/>
      <c r="E433" s="42"/>
      <c r="J433" s="17">
        <f t="shared" si="33"/>
        <v>0</v>
      </c>
      <c r="K433" s="2" t="str">
        <f t="shared" si="34"/>
        <v xml:space="preserve"> </v>
      </c>
      <c r="L433" s="2" t="str">
        <f t="shared" si="31"/>
        <v xml:space="preserve"> </v>
      </c>
      <c r="M433" s="2" t="str">
        <f t="shared" si="32"/>
        <v xml:space="preserve"> </v>
      </c>
    </row>
    <row r="434" spans="1:13" x14ac:dyDescent="0.25">
      <c r="A434" s="43" t="str">
        <f t="shared" si="30"/>
        <v xml:space="preserve"> </v>
      </c>
      <c r="D434" s="42"/>
      <c r="E434" s="42"/>
      <c r="J434" s="17">
        <f t="shared" si="33"/>
        <v>0</v>
      </c>
      <c r="K434" s="2" t="str">
        <f t="shared" si="34"/>
        <v xml:space="preserve"> </v>
      </c>
      <c r="L434" s="2" t="str">
        <f t="shared" si="31"/>
        <v xml:space="preserve"> </v>
      </c>
      <c r="M434" s="2" t="str">
        <f t="shared" si="32"/>
        <v xml:space="preserve"> </v>
      </c>
    </row>
    <row r="435" spans="1:13" x14ac:dyDescent="0.25">
      <c r="A435" s="43" t="str">
        <f t="shared" si="30"/>
        <v xml:space="preserve"> </v>
      </c>
      <c r="D435" s="42"/>
      <c r="E435" s="42"/>
      <c r="J435" s="17">
        <f t="shared" si="33"/>
        <v>0</v>
      </c>
      <c r="K435" s="2" t="str">
        <f t="shared" si="34"/>
        <v xml:space="preserve"> </v>
      </c>
      <c r="L435" s="2" t="str">
        <f t="shared" si="31"/>
        <v xml:space="preserve"> </v>
      </c>
      <c r="M435" s="2" t="str">
        <f t="shared" si="32"/>
        <v xml:space="preserve"> </v>
      </c>
    </row>
    <row r="436" spans="1:13" x14ac:dyDescent="0.25">
      <c r="A436" s="43" t="str">
        <f t="shared" si="30"/>
        <v xml:space="preserve"> </v>
      </c>
      <c r="D436" s="42"/>
      <c r="E436" s="42"/>
      <c r="J436" s="17">
        <f t="shared" si="33"/>
        <v>0</v>
      </c>
      <c r="K436" s="2" t="str">
        <f t="shared" si="34"/>
        <v xml:space="preserve"> </v>
      </c>
      <c r="L436" s="2" t="str">
        <f t="shared" si="31"/>
        <v xml:space="preserve"> </v>
      </c>
      <c r="M436" s="2" t="str">
        <f t="shared" si="32"/>
        <v xml:space="preserve"> </v>
      </c>
    </row>
    <row r="437" spans="1:13" x14ac:dyDescent="0.25">
      <c r="A437" s="43" t="str">
        <f t="shared" si="30"/>
        <v xml:space="preserve"> </v>
      </c>
      <c r="D437" s="42"/>
      <c r="E437" s="42"/>
      <c r="J437" s="17">
        <f t="shared" si="33"/>
        <v>0</v>
      </c>
      <c r="K437" s="2" t="str">
        <f t="shared" si="34"/>
        <v xml:space="preserve"> </v>
      </c>
      <c r="L437" s="2" t="str">
        <f t="shared" si="31"/>
        <v xml:space="preserve"> </v>
      </c>
      <c r="M437" s="2" t="str">
        <f t="shared" si="32"/>
        <v xml:space="preserve"> </v>
      </c>
    </row>
    <row r="438" spans="1:13" x14ac:dyDescent="0.25">
      <c r="A438" s="43" t="str">
        <f t="shared" si="30"/>
        <v xml:space="preserve"> </v>
      </c>
      <c r="D438" s="42"/>
      <c r="E438" s="42"/>
      <c r="J438" s="17">
        <f t="shared" si="33"/>
        <v>0</v>
      </c>
      <c r="K438" s="2" t="str">
        <f t="shared" si="34"/>
        <v xml:space="preserve"> </v>
      </c>
      <c r="L438" s="2" t="str">
        <f t="shared" si="31"/>
        <v xml:space="preserve"> </v>
      </c>
      <c r="M438" s="2" t="str">
        <f t="shared" si="32"/>
        <v xml:space="preserve"> </v>
      </c>
    </row>
    <row r="439" spans="1:13" x14ac:dyDescent="0.25">
      <c r="A439" s="43" t="str">
        <f t="shared" si="30"/>
        <v xml:space="preserve"> </v>
      </c>
      <c r="D439" s="42"/>
      <c r="E439" s="42"/>
      <c r="J439" s="17">
        <f t="shared" si="33"/>
        <v>0</v>
      </c>
      <c r="K439" s="2" t="str">
        <f t="shared" si="34"/>
        <v xml:space="preserve"> </v>
      </c>
      <c r="L439" s="2" t="str">
        <f t="shared" si="31"/>
        <v xml:space="preserve"> </v>
      </c>
      <c r="M439" s="2" t="str">
        <f t="shared" si="32"/>
        <v xml:space="preserve"> </v>
      </c>
    </row>
    <row r="440" spans="1:13" x14ac:dyDescent="0.25">
      <c r="A440" s="43" t="str">
        <f t="shared" si="30"/>
        <v xml:space="preserve"> </v>
      </c>
      <c r="D440" s="42"/>
      <c r="E440" s="42"/>
      <c r="J440" s="17">
        <f t="shared" si="33"/>
        <v>0</v>
      </c>
      <c r="K440" s="2" t="str">
        <f t="shared" si="34"/>
        <v xml:space="preserve"> </v>
      </c>
      <c r="L440" s="2" t="str">
        <f t="shared" si="31"/>
        <v xml:space="preserve"> </v>
      </c>
      <c r="M440" s="2" t="str">
        <f t="shared" si="32"/>
        <v xml:space="preserve"> </v>
      </c>
    </row>
    <row r="441" spans="1:13" x14ac:dyDescent="0.25">
      <c r="A441" s="43" t="str">
        <f t="shared" si="30"/>
        <v xml:space="preserve"> </v>
      </c>
      <c r="D441" s="42"/>
      <c r="E441" s="42"/>
      <c r="J441" s="17">
        <f t="shared" si="33"/>
        <v>0</v>
      </c>
      <c r="K441" s="2" t="str">
        <f t="shared" si="34"/>
        <v xml:space="preserve"> </v>
      </c>
      <c r="L441" s="2" t="str">
        <f t="shared" si="31"/>
        <v xml:space="preserve"> </v>
      </c>
      <c r="M441" s="2" t="str">
        <f t="shared" si="32"/>
        <v xml:space="preserve"> </v>
      </c>
    </row>
    <row r="442" spans="1:13" x14ac:dyDescent="0.25">
      <c r="A442" s="43" t="str">
        <f t="shared" si="30"/>
        <v xml:space="preserve"> </v>
      </c>
      <c r="D442" s="42"/>
      <c r="E442" s="42"/>
      <c r="J442" s="17">
        <f t="shared" si="33"/>
        <v>0</v>
      </c>
      <c r="K442" s="2" t="str">
        <f t="shared" si="34"/>
        <v xml:space="preserve"> </v>
      </c>
      <c r="L442" s="2" t="str">
        <f t="shared" si="31"/>
        <v xml:space="preserve"> </v>
      </c>
      <c r="M442" s="2" t="str">
        <f t="shared" si="32"/>
        <v xml:space="preserve"> </v>
      </c>
    </row>
    <row r="443" spans="1:13" x14ac:dyDescent="0.25">
      <c r="A443" s="43" t="str">
        <f t="shared" si="30"/>
        <v xml:space="preserve"> </v>
      </c>
      <c r="D443" s="42"/>
      <c r="E443" s="42"/>
      <c r="J443" s="17">
        <f t="shared" si="33"/>
        <v>0</v>
      </c>
      <c r="K443" s="2" t="str">
        <f t="shared" si="34"/>
        <v xml:space="preserve"> </v>
      </c>
      <c r="L443" s="2" t="str">
        <f t="shared" si="31"/>
        <v xml:space="preserve"> </v>
      </c>
      <c r="M443" s="2" t="str">
        <f t="shared" si="32"/>
        <v xml:space="preserve"> </v>
      </c>
    </row>
    <row r="444" spans="1:13" x14ac:dyDescent="0.25">
      <c r="A444" s="43" t="str">
        <f t="shared" si="30"/>
        <v xml:space="preserve"> </v>
      </c>
      <c r="D444" s="42"/>
      <c r="E444" s="42"/>
      <c r="J444" s="17">
        <f t="shared" si="33"/>
        <v>0</v>
      </c>
      <c r="K444" s="2" t="str">
        <f t="shared" si="34"/>
        <v xml:space="preserve"> </v>
      </c>
      <c r="L444" s="2" t="str">
        <f t="shared" si="31"/>
        <v xml:space="preserve"> </v>
      </c>
      <c r="M444" s="2" t="str">
        <f t="shared" si="32"/>
        <v xml:space="preserve"> </v>
      </c>
    </row>
    <row r="445" spans="1:13" x14ac:dyDescent="0.25">
      <c r="A445" s="43" t="str">
        <f t="shared" si="30"/>
        <v xml:space="preserve"> </v>
      </c>
      <c r="D445" s="42"/>
      <c r="E445" s="42"/>
      <c r="J445" s="17">
        <f t="shared" si="33"/>
        <v>0</v>
      </c>
      <c r="K445" s="2" t="str">
        <f t="shared" si="34"/>
        <v xml:space="preserve"> </v>
      </c>
      <c r="L445" s="2" t="str">
        <f t="shared" si="31"/>
        <v xml:space="preserve"> </v>
      </c>
      <c r="M445" s="2" t="str">
        <f t="shared" si="32"/>
        <v xml:space="preserve"> </v>
      </c>
    </row>
    <row r="446" spans="1:13" x14ac:dyDescent="0.25">
      <c r="A446" s="43" t="str">
        <f t="shared" si="30"/>
        <v xml:space="preserve"> </v>
      </c>
      <c r="D446" s="42"/>
      <c r="E446" s="42"/>
      <c r="J446" s="17">
        <f t="shared" si="33"/>
        <v>0</v>
      </c>
      <c r="K446" s="2" t="str">
        <f t="shared" si="34"/>
        <v xml:space="preserve"> </v>
      </c>
      <c r="L446" s="2" t="str">
        <f t="shared" si="31"/>
        <v xml:space="preserve"> </v>
      </c>
      <c r="M446" s="2" t="str">
        <f t="shared" si="32"/>
        <v xml:space="preserve"> </v>
      </c>
    </row>
    <row r="447" spans="1:13" x14ac:dyDescent="0.25">
      <c r="A447" s="43" t="str">
        <f t="shared" si="30"/>
        <v xml:space="preserve"> </v>
      </c>
      <c r="D447" s="42"/>
      <c r="E447" s="42"/>
      <c r="J447" s="17">
        <f t="shared" si="33"/>
        <v>0</v>
      </c>
      <c r="K447" s="2" t="str">
        <f t="shared" si="34"/>
        <v xml:space="preserve"> </v>
      </c>
      <c r="L447" s="2" t="str">
        <f t="shared" si="31"/>
        <v xml:space="preserve"> </v>
      </c>
      <c r="M447" s="2" t="str">
        <f t="shared" si="32"/>
        <v xml:space="preserve"> </v>
      </c>
    </row>
    <row r="448" spans="1:13" x14ac:dyDescent="0.25">
      <c r="A448" s="43" t="str">
        <f t="shared" si="30"/>
        <v xml:space="preserve"> </v>
      </c>
      <c r="D448" s="42"/>
      <c r="E448" s="42"/>
      <c r="J448" s="17">
        <f t="shared" si="33"/>
        <v>0</v>
      </c>
      <c r="K448" s="2" t="str">
        <f t="shared" si="34"/>
        <v xml:space="preserve"> </v>
      </c>
      <c r="L448" s="2" t="str">
        <f t="shared" si="31"/>
        <v xml:space="preserve"> </v>
      </c>
      <c r="M448" s="2" t="str">
        <f t="shared" si="32"/>
        <v xml:space="preserve"> </v>
      </c>
    </row>
    <row r="449" spans="1:13" x14ac:dyDescent="0.25">
      <c r="A449" s="43" t="str">
        <f t="shared" si="30"/>
        <v xml:space="preserve"> </v>
      </c>
      <c r="D449" s="42"/>
      <c r="E449" s="42"/>
      <c r="J449" s="17">
        <f t="shared" si="33"/>
        <v>0</v>
      </c>
      <c r="K449" s="2" t="str">
        <f t="shared" si="34"/>
        <v xml:space="preserve"> </v>
      </c>
      <c r="L449" s="2" t="str">
        <f t="shared" si="31"/>
        <v xml:space="preserve"> </v>
      </c>
      <c r="M449" s="2" t="str">
        <f t="shared" si="32"/>
        <v xml:space="preserve"> </v>
      </c>
    </row>
    <row r="450" spans="1:13" x14ac:dyDescent="0.25">
      <c r="A450" s="43" t="str">
        <f t="shared" si="30"/>
        <v xml:space="preserve"> </v>
      </c>
      <c r="D450" s="42"/>
      <c r="E450" s="42"/>
      <c r="J450" s="17">
        <f t="shared" si="33"/>
        <v>0</v>
      </c>
      <c r="K450" s="2" t="str">
        <f t="shared" si="34"/>
        <v xml:space="preserve"> </v>
      </c>
      <c r="L450" s="2" t="str">
        <f t="shared" si="31"/>
        <v xml:space="preserve"> </v>
      </c>
      <c r="M450" s="2" t="str">
        <f t="shared" si="32"/>
        <v xml:space="preserve"> </v>
      </c>
    </row>
    <row r="451" spans="1:13" x14ac:dyDescent="0.25">
      <c r="A451" s="43" t="str">
        <f t="shared" si="30"/>
        <v xml:space="preserve"> </v>
      </c>
      <c r="D451" s="42"/>
      <c r="E451" s="42"/>
      <c r="J451" s="17">
        <f t="shared" si="33"/>
        <v>0</v>
      </c>
      <c r="K451" s="2" t="str">
        <f t="shared" si="34"/>
        <v xml:space="preserve"> </v>
      </c>
      <c r="L451" s="2" t="str">
        <f t="shared" si="31"/>
        <v xml:space="preserve"> </v>
      </c>
      <c r="M451" s="2" t="str">
        <f t="shared" si="32"/>
        <v xml:space="preserve"> </v>
      </c>
    </row>
    <row r="452" spans="1:13" x14ac:dyDescent="0.25">
      <c r="A452" s="43" t="str">
        <f t="shared" si="30"/>
        <v xml:space="preserve"> </v>
      </c>
      <c r="D452" s="42"/>
      <c r="E452" s="42"/>
      <c r="J452" s="17">
        <f t="shared" si="33"/>
        <v>0</v>
      </c>
      <c r="K452" s="2" t="str">
        <f t="shared" si="34"/>
        <v xml:space="preserve"> </v>
      </c>
      <c r="L452" s="2" t="str">
        <f t="shared" si="31"/>
        <v xml:space="preserve"> </v>
      </c>
      <c r="M452" s="2" t="str">
        <f t="shared" si="32"/>
        <v xml:space="preserve"> </v>
      </c>
    </row>
    <row r="453" spans="1:13" x14ac:dyDescent="0.25">
      <c r="A453" s="43" t="str">
        <f t="shared" si="30"/>
        <v xml:space="preserve"> </v>
      </c>
      <c r="D453" s="42"/>
      <c r="E453" s="42"/>
      <c r="J453" s="17">
        <f t="shared" si="33"/>
        <v>0</v>
      </c>
      <c r="K453" s="2" t="str">
        <f t="shared" si="34"/>
        <v xml:space="preserve"> </v>
      </c>
      <c r="L453" s="2" t="str">
        <f t="shared" si="31"/>
        <v xml:space="preserve"> </v>
      </c>
      <c r="M453" s="2" t="str">
        <f t="shared" si="32"/>
        <v xml:space="preserve"> </v>
      </c>
    </row>
    <row r="454" spans="1:13" x14ac:dyDescent="0.25">
      <c r="A454" s="43" t="str">
        <f t="shared" si="30"/>
        <v xml:space="preserve"> </v>
      </c>
      <c r="D454" s="42"/>
      <c r="E454" s="42"/>
      <c r="J454" s="17">
        <f t="shared" si="33"/>
        <v>0</v>
      </c>
      <c r="K454" s="2" t="str">
        <f t="shared" si="34"/>
        <v xml:space="preserve"> </v>
      </c>
      <c r="L454" s="2" t="str">
        <f t="shared" si="31"/>
        <v xml:space="preserve"> </v>
      </c>
      <c r="M454" s="2" t="str">
        <f t="shared" si="32"/>
        <v xml:space="preserve"> </v>
      </c>
    </row>
    <row r="455" spans="1:13" x14ac:dyDescent="0.25">
      <c r="A455" s="43" t="str">
        <f t="shared" si="30"/>
        <v xml:space="preserve"> </v>
      </c>
      <c r="D455" s="42"/>
      <c r="E455" s="42"/>
      <c r="J455" s="17">
        <f t="shared" si="33"/>
        <v>0</v>
      </c>
      <c r="K455" s="2" t="str">
        <f t="shared" si="34"/>
        <v xml:space="preserve"> </v>
      </c>
      <c r="L455" s="2" t="str">
        <f t="shared" si="31"/>
        <v xml:space="preserve"> </v>
      </c>
      <c r="M455" s="2" t="str">
        <f t="shared" si="32"/>
        <v xml:space="preserve"> </v>
      </c>
    </row>
    <row r="456" spans="1:13" x14ac:dyDescent="0.25">
      <c r="A456" s="43" t="str">
        <f t="shared" si="30"/>
        <v xml:space="preserve"> </v>
      </c>
      <c r="D456" s="42"/>
      <c r="E456" s="42"/>
      <c r="J456" s="17">
        <f t="shared" si="33"/>
        <v>0</v>
      </c>
      <c r="K456" s="2" t="str">
        <f t="shared" si="34"/>
        <v xml:space="preserve"> </v>
      </c>
      <c r="L456" s="2" t="str">
        <f t="shared" si="31"/>
        <v xml:space="preserve"> </v>
      </c>
      <c r="M456" s="2" t="str">
        <f t="shared" si="32"/>
        <v xml:space="preserve"> </v>
      </c>
    </row>
    <row r="457" spans="1:13" x14ac:dyDescent="0.25">
      <c r="A457" s="43" t="str">
        <f t="shared" si="30"/>
        <v xml:space="preserve"> </v>
      </c>
      <c r="D457" s="42"/>
      <c r="E457" s="42"/>
      <c r="J457" s="17">
        <f t="shared" si="33"/>
        <v>0</v>
      </c>
      <c r="K457" s="2" t="str">
        <f t="shared" si="34"/>
        <v xml:space="preserve"> </v>
      </c>
      <c r="L457" s="2" t="str">
        <f t="shared" si="31"/>
        <v xml:space="preserve"> </v>
      </c>
      <c r="M457" s="2" t="str">
        <f t="shared" si="32"/>
        <v xml:space="preserve"> </v>
      </c>
    </row>
    <row r="458" spans="1:13" x14ac:dyDescent="0.25">
      <c r="A458" s="43" t="str">
        <f t="shared" si="30"/>
        <v xml:space="preserve"> </v>
      </c>
      <c r="D458" s="42"/>
      <c r="E458" s="42"/>
      <c r="J458" s="17">
        <f t="shared" si="33"/>
        <v>0</v>
      </c>
      <c r="K458" s="2" t="str">
        <f t="shared" si="34"/>
        <v xml:space="preserve"> </v>
      </c>
      <c r="L458" s="2" t="str">
        <f t="shared" si="31"/>
        <v xml:space="preserve"> </v>
      </c>
      <c r="M458" s="2" t="str">
        <f t="shared" si="32"/>
        <v xml:space="preserve"> </v>
      </c>
    </row>
    <row r="459" spans="1:13" x14ac:dyDescent="0.25">
      <c r="A459" s="43" t="str">
        <f t="shared" si="30"/>
        <v xml:space="preserve"> </v>
      </c>
      <c r="D459" s="42"/>
      <c r="E459" s="42"/>
      <c r="J459" s="17">
        <f t="shared" si="33"/>
        <v>0</v>
      </c>
      <c r="K459" s="2" t="str">
        <f t="shared" si="34"/>
        <v xml:space="preserve"> </v>
      </c>
      <c r="L459" s="2" t="str">
        <f t="shared" si="31"/>
        <v xml:space="preserve"> </v>
      </c>
      <c r="M459" s="2" t="str">
        <f t="shared" si="32"/>
        <v xml:space="preserve"> </v>
      </c>
    </row>
    <row r="460" spans="1:13" x14ac:dyDescent="0.25">
      <c r="A460" s="43" t="str">
        <f t="shared" si="30"/>
        <v xml:space="preserve"> </v>
      </c>
      <c r="D460" s="42"/>
      <c r="E460" s="42"/>
      <c r="J460" s="17">
        <f t="shared" si="33"/>
        <v>0</v>
      </c>
      <c r="K460" s="2" t="str">
        <f t="shared" si="34"/>
        <v xml:space="preserve"> </v>
      </c>
      <c r="L460" s="2" t="str">
        <f t="shared" si="31"/>
        <v xml:space="preserve"> </v>
      </c>
      <c r="M460" s="2" t="str">
        <f t="shared" si="32"/>
        <v xml:space="preserve"> </v>
      </c>
    </row>
    <row r="461" spans="1:13" x14ac:dyDescent="0.25">
      <c r="A461" s="43" t="str">
        <f t="shared" si="30"/>
        <v xml:space="preserve"> </v>
      </c>
      <c r="D461" s="42"/>
      <c r="E461" s="42"/>
      <c r="J461" s="17">
        <f t="shared" si="33"/>
        <v>0</v>
      </c>
      <c r="K461" s="2" t="str">
        <f t="shared" si="34"/>
        <v xml:space="preserve"> </v>
      </c>
      <c r="L461" s="2" t="str">
        <f t="shared" si="31"/>
        <v xml:space="preserve"> </v>
      </c>
      <c r="M461" s="2" t="str">
        <f t="shared" si="32"/>
        <v xml:space="preserve"> </v>
      </c>
    </row>
    <row r="462" spans="1:13" x14ac:dyDescent="0.25">
      <c r="A462" s="43" t="str">
        <f t="shared" si="30"/>
        <v xml:space="preserve"> </v>
      </c>
      <c r="D462" s="42"/>
      <c r="E462" s="42"/>
      <c r="J462" s="17">
        <f t="shared" si="33"/>
        <v>0</v>
      </c>
      <c r="K462" s="2" t="str">
        <f t="shared" si="34"/>
        <v xml:space="preserve"> </v>
      </c>
      <c r="L462" s="2" t="str">
        <f t="shared" si="31"/>
        <v xml:space="preserve"> </v>
      </c>
      <c r="M462" s="2" t="str">
        <f t="shared" si="32"/>
        <v xml:space="preserve"> </v>
      </c>
    </row>
    <row r="463" spans="1:13" x14ac:dyDescent="0.25">
      <c r="A463" s="43" t="str">
        <f t="shared" ref="A463:A482" si="35">IF(COUNTIF(K463:M463,"ERROR")&gt;0,"ERROR"," ")</f>
        <v xml:space="preserve"> </v>
      </c>
      <c r="D463" s="42"/>
      <c r="E463" s="42"/>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43" t="str">
        <f t="shared" si="35"/>
        <v xml:space="preserve"> </v>
      </c>
      <c r="D464" s="42"/>
      <c r="E464" s="42"/>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3" t="str">
        <f t="shared" si="35"/>
        <v xml:space="preserve"> </v>
      </c>
      <c r="D465" s="42"/>
      <c r="E465" s="42"/>
      <c r="J465" s="17">
        <f t="shared" si="38"/>
        <v>0</v>
      </c>
      <c r="K465" s="2" t="str">
        <f t="shared" si="39"/>
        <v xml:space="preserve"> </v>
      </c>
      <c r="L465" s="2" t="str">
        <f t="shared" si="36"/>
        <v xml:space="preserve"> </v>
      </c>
      <c r="M465" s="2" t="str">
        <f t="shared" si="37"/>
        <v xml:space="preserve"> </v>
      </c>
    </row>
    <row r="466" spans="1:13" x14ac:dyDescent="0.25">
      <c r="A466" s="43" t="str">
        <f t="shared" si="35"/>
        <v xml:space="preserve"> </v>
      </c>
      <c r="D466" s="42"/>
      <c r="E466" s="42"/>
      <c r="J466" s="17">
        <f t="shared" si="38"/>
        <v>0</v>
      </c>
      <c r="K466" s="2" t="str">
        <f t="shared" si="39"/>
        <v xml:space="preserve"> </v>
      </c>
      <c r="L466" s="2" t="str">
        <f t="shared" si="36"/>
        <v xml:space="preserve"> </v>
      </c>
      <c r="M466" s="2" t="str">
        <f t="shared" si="37"/>
        <v xml:space="preserve"> </v>
      </c>
    </row>
    <row r="467" spans="1:13" x14ac:dyDescent="0.25">
      <c r="A467" s="43" t="str">
        <f t="shared" si="35"/>
        <v xml:space="preserve"> </v>
      </c>
      <c r="D467" s="42"/>
      <c r="E467" s="42"/>
      <c r="J467" s="17">
        <f t="shared" si="38"/>
        <v>0</v>
      </c>
      <c r="K467" s="2" t="str">
        <f t="shared" si="39"/>
        <v xml:space="preserve"> </v>
      </c>
      <c r="L467" s="2" t="str">
        <f t="shared" si="36"/>
        <v xml:space="preserve"> </v>
      </c>
      <c r="M467" s="2" t="str">
        <f t="shared" si="37"/>
        <v xml:space="preserve"> </v>
      </c>
    </row>
    <row r="468" spans="1:13" x14ac:dyDescent="0.25">
      <c r="A468" s="43" t="str">
        <f t="shared" si="35"/>
        <v xml:space="preserve"> </v>
      </c>
      <c r="D468" s="42"/>
      <c r="E468" s="42"/>
      <c r="J468" s="17">
        <f t="shared" si="38"/>
        <v>0</v>
      </c>
      <c r="K468" s="2" t="str">
        <f t="shared" si="39"/>
        <v xml:space="preserve"> </v>
      </c>
      <c r="L468" s="2" t="str">
        <f t="shared" si="36"/>
        <v xml:space="preserve"> </v>
      </c>
      <c r="M468" s="2" t="str">
        <f t="shared" si="37"/>
        <v xml:space="preserve"> </v>
      </c>
    </row>
    <row r="469" spans="1:13" x14ac:dyDescent="0.25">
      <c r="A469" s="43" t="str">
        <f t="shared" si="35"/>
        <v xml:space="preserve"> </v>
      </c>
      <c r="D469" s="42"/>
      <c r="E469" s="42"/>
      <c r="J469" s="17">
        <f t="shared" si="38"/>
        <v>0</v>
      </c>
      <c r="K469" s="2" t="str">
        <f t="shared" si="39"/>
        <v xml:space="preserve"> </v>
      </c>
      <c r="L469" s="2" t="str">
        <f t="shared" si="36"/>
        <v xml:space="preserve"> </v>
      </c>
      <c r="M469" s="2" t="str">
        <f t="shared" si="37"/>
        <v xml:space="preserve"> </v>
      </c>
    </row>
    <row r="470" spans="1:13" x14ac:dyDescent="0.25">
      <c r="A470" s="43" t="str">
        <f t="shared" si="35"/>
        <v xml:space="preserve"> </v>
      </c>
      <c r="D470" s="42"/>
      <c r="E470" s="42"/>
      <c r="J470" s="17">
        <f t="shared" si="38"/>
        <v>0</v>
      </c>
      <c r="K470" s="2" t="str">
        <f t="shared" si="39"/>
        <v xml:space="preserve"> </v>
      </c>
      <c r="L470" s="2" t="str">
        <f t="shared" si="36"/>
        <v xml:space="preserve"> </v>
      </c>
      <c r="M470" s="2" t="str">
        <f t="shared" si="37"/>
        <v xml:space="preserve"> </v>
      </c>
    </row>
    <row r="471" spans="1:13" x14ac:dyDescent="0.25">
      <c r="A471" s="43" t="str">
        <f t="shared" si="35"/>
        <v xml:space="preserve"> </v>
      </c>
      <c r="D471" s="42"/>
      <c r="E471" s="42"/>
      <c r="J471" s="17">
        <f t="shared" si="38"/>
        <v>0</v>
      </c>
      <c r="K471" s="2" t="str">
        <f t="shared" si="39"/>
        <v xml:space="preserve"> </v>
      </c>
      <c r="L471" s="2" t="str">
        <f t="shared" si="36"/>
        <v xml:space="preserve"> </v>
      </c>
      <c r="M471" s="2" t="str">
        <f t="shared" si="37"/>
        <v xml:space="preserve"> </v>
      </c>
    </row>
    <row r="472" spans="1:13" x14ac:dyDescent="0.25">
      <c r="A472" s="43" t="str">
        <f t="shared" si="35"/>
        <v xml:space="preserve"> </v>
      </c>
      <c r="D472" s="42"/>
      <c r="E472" s="42"/>
      <c r="J472" s="17">
        <f t="shared" si="38"/>
        <v>0</v>
      </c>
      <c r="K472" s="2" t="str">
        <f t="shared" si="39"/>
        <v xml:space="preserve"> </v>
      </c>
      <c r="L472" s="2" t="str">
        <f t="shared" si="36"/>
        <v xml:space="preserve"> </v>
      </c>
      <c r="M472" s="2" t="str">
        <f t="shared" si="37"/>
        <v xml:space="preserve"> </v>
      </c>
    </row>
    <row r="473" spans="1:13" x14ac:dyDescent="0.25">
      <c r="A473" s="43" t="str">
        <f t="shared" si="35"/>
        <v xml:space="preserve"> </v>
      </c>
      <c r="D473" s="42"/>
      <c r="E473" s="42"/>
      <c r="J473" s="17">
        <f t="shared" si="38"/>
        <v>0</v>
      </c>
      <c r="K473" s="2" t="str">
        <f t="shared" si="39"/>
        <v xml:space="preserve"> </v>
      </c>
      <c r="L473" s="2" t="str">
        <f t="shared" si="36"/>
        <v xml:space="preserve"> </v>
      </c>
      <c r="M473" s="2" t="str">
        <f t="shared" si="37"/>
        <v xml:space="preserve"> </v>
      </c>
    </row>
    <row r="474" spans="1:13" x14ac:dyDescent="0.25">
      <c r="A474" s="43" t="str">
        <f t="shared" si="35"/>
        <v xml:space="preserve"> </v>
      </c>
      <c r="D474" s="42"/>
      <c r="E474" s="42"/>
      <c r="J474" s="17">
        <f t="shared" si="38"/>
        <v>0</v>
      </c>
      <c r="K474" s="2" t="str">
        <f t="shared" si="39"/>
        <v xml:space="preserve"> </v>
      </c>
      <c r="L474" s="2" t="str">
        <f t="shared" si="36"/>
        <v xml:space="preserve"> </v>
      </c>
      <c r="M474" s="2" t="str">
        <f t="shared" si="37"/>
        <v xml:space="preserve"> </v>
      </c>
    </row>
    <row r="475" spans="1:13" x14ac:dyDescent="0.25">
      <c r="A475" s="43" t="str">
        <f t="shared" si="35"/>
        <v xml:space="preserve"> </v>
      </c>
      <c r="D475" s="42"/>
      <c r="E475" s="42"/>
      <c r="J475" s="17">
        <f t="shared" si="38"/>
        <v>0</v>
      </c>
      <c r="K475" s="2" t="str">
        <f t="shared" si="39"/>
        <v xml:space="preserve"> </v>
      </c>
      <c r="L475" s="2" t="str">
        <f t="shared" si="36"/>
        <v xml:space="preserve"> </v>
      </c>
      <c r="M475" s="2" t="str">
        <f t="shared" si="37"/>
        <v xml:space="preserve"> </v>
      </c>
    </row>
    <row r="476" spans="1:13" x14ac:dyDescent="0.25">
      <c r="A476" s="43" t="str">
        <f t="shared" si="35"/>
        <v xml:space="preserve"> </v>
      </c>
      <c r="D476" s="42"/>
      <c r="E476" s="42"/>
      <c r="J476" s="17">
        <f t="shared" si="38"/>
        <v>0</v>
      </c>
      <c r="K476" s="2" t="str">
        <f t="shared" si="39"/>
        <v xml:space="preserve"> </v>
      </c>
      <c r="L476" s="2" t="str">
        <f t="shared" si="36"/>
        <v xml:space="preserve"> </v>
      </c>
      <c r="M476" s="2" t="str">
        <f t="shared" si="37"/>
        <v xml:space="preserve"> </v>
      </c>
    </row>
    <row r="477" spans="1:13" x14ac:dyDescent="0.25">
      <c r="A477" s="43" t="str">
        <f t="shared" si="35"/>
        <v xml:space="preserve"> </v>
      </c>
      <c r="D477" s="42"/>
      <c r="E477" s="42"/>
      <c r="J477" s="17">
        <f t="shared" si="38"/>
        <v>0</v>
      </c>
      <c r="K477" s="2" t="str">
        <f t="shared" si="39"/>
        <v xml:space="preserve"> </v>
      </c>
      <c r="L477" s="2" t="str">
        <f t="shared" si="36"/>
        <v xml:space="preserve"> </v>
      </c>
      <c r="M477" s="2" t="str">
        <f t="shared" si="37"/>
        <v xml:space="preserve"> </v>
      </c>
    </row>
    <row r="478" spans="1:13" x14ac:dyDescent="0.25">
      <c r="A478" s="43" t="str">
        <f t="shared" si="35"/>
        <v xml:space="preserve"> </v>
      </c>
      <c r="D478" s="42"/>
      <c r="E478" s="42"/>
      <c r="J478" s="17">
        <f t="shared" si="38"/>
        <v>0</v>
      </c>
      <c r="K478" s="2" t="str">
        <f t="shared" si="39"/>
        <v xml:space="preserve"> </v>
      </c>
      <c r="L478" s="2" t="str">
        <f t="shared" si="36"/>
        <v xml:space="preserve"> </v>
      </c>
      <c r="M478" s="2" t="str">
        <f t="shared" si="37"/>
        <v xml:space="preserve"> </v>
      </c>
    </row>
    <row r="479" spans="1:13" x14ac:dyDescent="0.25">
      <c r="A479" s="43" t="str">
        <f t="shared" si="35"/>
        <v xml:space="preserve"> </v>
      </c>
      <c r="D479" s="42"/>
      <c r="E479" s="42"/>
      <c r="J479" s="17">
        <f t="shared" si="38"/>
        <v>0</v>
      </c>
      <c r="K479" s="2" t="str">
        <f t="shared" si="39"/>
        <v xml:space="preserve"> </v>
      </c>
      <c r="L479" s="2" t="str">
        <f t="shared" si="36"/>
        <v xml:space="preserve"> </v>
      </c>
      <c r="M479" s="2" t="str">
        <f t="shared" si="37"/>
        <v xml:space="preserve"> </v>
      </c>
    </row>
    <row r="480" spans="1:13" x14ac:dyDescent="0.25">
      <c r="A480" s="43" t="str">
        <f t="shared" si="35"/>
        <v xml:space="preserve"> </v>
      </c>
      <c r="D480" s="42"/>
      <c r="E480" s="42"/>
      <c r="J480" s="17">
        <f t="shared" si="38"/>
        <v>0</v>
      </c>
      <c r="K480" s="2" t="str">
        <f t="shared" si="39"/>
        <v xml:space="preserve"> </v>
      </c>
      <c r="L480" s="2" t="str">
        <f t="shared" si="36"/>
        <v xml:space="preserve"> </v>
      </c>
      <c r="M480" s="2" t="str">
        <f t="shared" si="37"/>
        <v xml:space="preserve"> </v>
      </c>
    </row>
    <row r="481" spans="1:13" x14ac:dyDescent="0.25">
      <c r="A481" s="43" t="str">
        <f t="shared" si="35"/>
        <v xml:space="preserve"> </v>
      </c>
      <c r="D481" s="42"/>
      <c r="E481" s="42"/>
      <c r="J481" s="17">
        <f t="shared" si="38"/>
        <v>0</v>
      </c>
      <c r="K481" s="2" t="str">
        <f t="shared" si="39"/>
        <v xml:space="preserve"> </v>
      </c>
      <c r="L481" s="2" t="str">
        <f t="shared" si="36"/>
        <v xml:space="preserve"> </v>
      </c>
      <c r="M481" s="2" t="str">
        <f t="shared" si="37"/>
        <v xml:space="preserve"> </v>
      </c>
    </row>
    <row r="482" spans="1:13" x14ac:dyDescent="0.25">
      <c r="A482" s="43" t="str">
        <f t="shared" si="35"/>
        <v xml:space="preserve"> </v>
      </c>
      <c r="D482" s="42"/>
      <c r="E482" s="42"/>
      <c r="J482" s="17">
        <f t="shared" si="38"/>
        <v>0</v>
      </c>
      <c r="K482" s="2" t="str">
        <f t="shared" si="39"/>
        <v xml:space="preserve"> </v>
      </c>
      <c r="L482" s="2" t="str">
        <f t="shared" si="36"/>
        <v xml:space="preserve"> </v>
      </c>
      <c r="M482" s="2" t="str">
        <f t="shared" si="37"/>
        <v xml:space="preserve"> </v>
      </c>
    </row>
    <row r="483" spans="1:13" x14ac:dyDescent="0.25">
      <c r="A483" s="43"/>
    </row>
    <row r="484" spans="1:13" ht="16.5" thickBot="1" x14ac:dyDescent="0.3">
      <c r="A484" s="43"/>
      <c r="F484" s="19">
        <f>SUM(F14:F483)</f>
        <v>0</v>
      </c>
      <c r="G484" s="19">
        <f>SUM(G14:G483)</f>
        <v>0</v>
      </c>
      <c r="H484" s="19">
        <f>SUM(H14:H483)</f>
        <v>0</v>
      </c>
      <c r="I484" s="19">
        <f>SUM(I14:I483)</f>
        <v>0</v>
      </c>
    </row>
    <row r="485" spans="1:13" ht="16.5" thickTop="1" x14ac:dyDescent="0.25">
      <c r="A485" s="43"/>
    </row>
    <row r="486" spans="1:13" x14ac:dyDescent="0.25">
      <c r="A486" s="43"/>
      <c r="C486" s="2" t="s">
        <v>354</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1"/>
  <sheetViews>
    <sheetView zoomScale="89" zoomScaleNormal="89" workbookViewId="0">
      <pane ySplit="3" topLeftCell="A4" activePane="bottomLeft" state="frozen"/>
      <selection pane="bottomLeft"/>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170" customWidth="1"/>
    <col min="10" max="10" width="3.85546875" style="85" customWidth="1"/>
    <col min="11" max="11" width="16.140625" bestFit="1" customWidth="1"/>
    <col min="12" max="12" width="4.140625" customWidth="1"/>
    <col min="13" max="13" width="8.85546875" customWidth="1"/>
    <col min="14" max="14" width="15.28515625" style="51" bestFit="1" customWidth="1"/>
    <col min="15" max="15" width="14.28515625" bestFit="1" customWidth="1"/>
    <col min="16" max="17" width="13.140625" bestFit="1" customWidth="1"/>
    <col min="18" max="18" width="13.85546875" bestFit="1" customWidth="1"/>
  </cols>
  <sheetData>
    <row r="1" spans="1:18" x14ac:dyDescent="0.2">
      <c r="A1" s="413"/>
      <c r="B1" s="414"/>
      <c r="C1" s="444" t="str">
        <f>Criteria!E15</f>
        <v>RENTAL PROPERTIES</v>
      </c>
      <c r="D1" s="440"/>
      <c r="E1" s="440"/>
      <c r="F1" s="415"/>
      <c r="G1" s="416" t="s">
        <v>202</v>
      </c>
      <c r="H1" s="416"/>
      <c r="I1" s="417">
        <f>Criteria!E22</f>
        <v>2024</v>
      </c>
      <c r="J1" s="417"/>
      <c r="K1" s="417">
        <f>Criteria!E27</f>
        <v>2023</v>
      </c>
      <c r="L1" s="414"/>
      <c r="M1" s="414"/>
      <c r="N1" s="400" t="s">
        <v>415</v>
      </c>
      <c r="O1" s="71"/>
      <c r="P1" s="71"/>
    </row>
    <row r="2" spans="1:18" x14ac:dyDescent="0.2">
      <c r="A2" s="418" t="s">
        <v>1437</v>
      </c>
      <c r="B2" s="414"/>
      <c r="C2" s="414"/>
      <c r="D2" s="715">
        <f>D403-E403</f>
        <v>0</v>
      </c>
      <c r="E2" s="715"/>
      <c r="F2" s="420" t="s">
        <v>521</v>
      </c>
      <c r="G2" s="415">
        <f>G403</f>
        <v>0</v>
      </c>
      <c r="H2" s="415">
        <f>D2-E2</f>
        <v>0</v>
      </c>
      <c r="I2" s="422">
        <f>I403</f>
        <v>0</v>
      </c>
      <c r="J2" s="423"/>
      <c r="K2" s="424">
        <f>K403</f>
        <v>0</v>
      </c>
      <c r="L2" s="414"/>
      <c r="M2" s="414"/>
      <c r="N2" s="424">
        <f>SUM(I5:I164)</f>
        <v>0</v>
      </c>
      <c r="O2" s="72"/>
      <c r="P2" s="72"/>
    </row>
    <row r="3" spans="1:18" x14ac:dyDescent="0.2">
      <c r="A3" s="418" t="s">
        <v>727</v>
      </c>
      <c r="B3" s="445" t="s">
        <v>283</v>
      </c>
      <c r="C3" s="425" t="s">
        <v>284</v>
      </c>
      <c r="D3" s="418" t="s">
        <v>285</v>
      </c>
      <c r="E3" s="418" t="s">
        <v>286</v>
      </c>
      <c r="F3" s="426" t="s">
        <v>166</v>
      </c>
      <c r="G3" s="413"/>
      <c r="H3" s="413"/>
      <c r="I3" s="435"/>
      <c r="J3" s="428"/>
      <c r="K3" s="414"/>
      <c r="L3" s="414"/>
      <c r="M3" s="414"/>
      <c r="N3" s="396"/>
    </row>
    <row r="4" spans="1:18" x14ac:dyDescent="0.2">
      <c r="A4" s="166"/>
      <c r="B4" s="114" t="s">
        <v>287</v>
      </c>
      <c r="C4" s="397" t="s">
        <v>137</v>
      </c>
      <c r="D4" s="92"/>
      <c r="E4" s="60"/>
      <c r="F4" s="60"/>
      <c r="G4" s="47"/>
      <c r="H4" s="47"/>
      <c r="I4" s="60"/>
      <c r="J4" s="68"/>
      <c r="K4" s="55" t="s">
        <v>284</v>
      </c>
      <c r="N4" s="52"/>
    </row>
    <row r="5" spans="1:18" x14ac:dyDescent="0.2">
      <c r="A5" s="394"/>
      <c r="B5" s="13" t="s">
        <v>288</v>
      </c>
      <c r="C5" s="398" t="s">
        <v>1308</v>
      </c>
      <c r="D5" s="436"/>
      <c r="E5" s="435"/>
      <c r="F5" s="88"/>
      <c r="G5" s="56">
        <f>SUMIF(JournalsB!D$14:D$920,TrialBalanceB!M5,JournalsB!J$14:J$920)+SUMIF(JournalsB!E$14:E$920,TrialBalanceB!M5,JournalsB!J$14:J$920)</f>
        <v>0</v>
      </c>
      <c r="H5" s="443"/>
      <c r="I5" s="447">
        <f t="shared" ref="I5:I72" si="0">ROUND(D5-E5+G5+F5,0)</f>
        <v>0</v>
      </c>
      <c r="J5" s="84"/>
      <c r="K5" s="57">
        <f t="shared" ref="K5:K72" si="1">ROUND(SUM(A5),0)</f>
        <v>0</v>
      </c>
      <c r="M5" s="197" t="str">
        <f t="shared" ref="M5:M72" si="2">CONCATENATE(B5,C5)</f>
        <v>1000/001Sale of goods</v>
      </c>
      <c r="N5" s="79"/>
      <c r="P5" s="80"/>
      <c r="Q5" s="60"/>
      <c r="R5" s="34"/>
    </row>
    <row r="6" spans="1:18" x14ac:dyDescent="0.2">
      <c r="A6" s="394"/>
      <c r="B6" s="114" t="s">
        <v>289</v>
      </c>
      <c r="C6" s="398" t="s">
        <v>1309</v>
      </c>
      <c r="D6" s="436"/>
      <c r="E6" s="435"/>
      <c r="F6" s="88"/>
      <c r="G6" s="56">
        <f>SUMIF(JournalsB!D$14:D$920,TrialBalanceB!M6,JournalsB!J$14:J$920)+SUMIF(JournalsB!E$14:E$920,TrialBalanceB!M6,JournalsB!J$14:J$920)</f>
        <v>0</v>
      </c>
      <c r="H6" s="443"/>
      <c r="I6" s="447">
        <f t="shared" ref="I6:I9" si="3">ROUND(D6-E6+G6+F6,0)</f>
        <v>0</v>
      </c>
      <c r="J6" s="84"/>
      <c r="K6" s="57">
        <f t="shared" ref="K6:K9" si="4">ROUND(SUM(A6),0)</f>
        <v>0</v>
      </c>
      <c r="M6" s="197" t="str">
        <f t="shared" ref="M6:M9" si="5">CONCATENATE(B6,C6)</f>
        <v>1000/002Rendering of services</v>
      </c>
      <c r="N6" s="79"/>
      <c r="P6" s="80"/>
      <c r="Q6" s="60"/>
      <c r="R6" s="34"/>
    </row>
    <row r="7" spans="1:18" x14ac:dyDescent="0.2">
      <c r="A7" s="394"/>
      <c r="B7" s="114" t="s">
        <v>290</v>
      </c>
      <c r="C7" s="398" t="s">
        <v>1310</v>
      </c>
      <c r="D7" s="436"/>
      <c r="E7" s="435"/>
      <c r="F7" s="88"/>
      <c r="G7" s="56">
        <f>SUMIF(JournalsB!D$14:D$920,TrialBalanceB!M7,JournalsB!J$14:J$920)+SUMIF(JournalsB!E$14:E$920,TrialBalanceB!M7,JournalsB!J$14:J$920)</f>
        <v>0</v>
      </c>
      <c r="H7" s="443"/>
      <c r="I7" s="447">
        <f t="shared" si="3"/>
        <v>0</v>
      </c>
      <c r="J7" s="84"/>
      <c r="K7" s="57">
        <f t="shared" si="4"/>
        <v>0</v>
      </c>
      <c r="M7" s="197" t="str">
        <f t="shared" si="5"/>
        <v>1000/003Commissions received</v>
      </c>
      <c r="N7" s="79"/>
      <c r="P7" s="80"/>
      <c r="Q7" s="60"/>
      <c r="R7" s="34"/>
    </row>
    <row r="8" spans="1:18" x14ac:dyDescent="0.2">
      <c r="A8" s="394"/>
      <c r="B8" s="114" t="s">
        <v>1311</v>
      </c>
      <c r="C8" s="430">
        <f>TrialBalance!C8</f>
        <v>0</v>
      </c>
      <c r="D8" s="436"/>
      <c r="E8" s="435"/>
      <c r="F8" s="88"/>
      <c r="G8" s="56">
        <f>SUMIF(JournalsB!D$14:D$920,TrialBalanceB!M8,JournalsB!J$14:J$920)+SUMIF(JournalsB!E$14:E$920,TrialBalanceB!M8,JournalsB!J$14:J$920)</f>
        <v>0</v>
      </c>
      <c r="H8" s="443"/>
      <c r="I8" s="447">
        <f t="shared" si="3"/>
        <v>0</v>
      </c>
      <c r="J8" s="84"/>
      <c r="K8" s="57">
        <f t="shared" si="4"/>
        <v>0</v>
      </c>
      <c r="M8" s="197" t="str">
        <f t="shared" si="5"/>
        <v>1000/0040</v>
      </c>
      <c r="N8" s="79"/>
      <c r="P8" s="80"/>
      <c r="Q8" s="60"/>
      <c r="R8" s="34"/>
    </row>
    <row r="9" spans="1:18" x14ac:dyDescent="0.2">
      <c r="A9" s="394"/>
      <c r="B9" s="114" t="s">
        <v>1312</v>
      </c>
      <c r="C9" s="430">
        <f>TrialBalance!C9</f>
        <v>0</v>
      </c>
      <c r="D9" s="436"/>
      <c r="E9" s="435"/>
      <c r="F9" s="88"/>
      <c r="G9" s="56">
        <f>SUMIF(JournalsB!D$14:D$920,TrialBalanceB!M9,JournalsB!J$14:J$920)+SUMIF(JournalsB!E$14:E$920,TrialBalanceB!M9,JournalsB!J$14:J$920)</f>
        <v>0</v>
      </c>
      <c r="H9" s="443"/>
      <c r="I9" s="447">
        <f t="shared" si="3"/>
        <v>0</v>
      </c>
      <c r="J9" s="84"/>
      <c r="K9" s="57">
        <f t="shared" si="4"/>
        <v>0</v>
      </c>
      <c r="M9" s="197" t="str">
        <f t="shared" si="5"/>
        <v>1000/0050</v>
      </c>
      <c r="N9" s="79"/>
      <c r="P9" s="80"/>
      <c r="Q9" s="60"/>
      <c r="R9" s="34"/>
    </row>
    <row r="10" spans="1:18" x14ac:dyDescent="0.2">
      <c r="A10" s="394"/>
      <c r="B10" s="114" t="s">
        <v>1313</v>
      </c>
      <c r="C10" s="430">
        <f>TrialBalance!C10</f>
        <v>0</v>
      </c>
      <c r="D10" s="436"/>
      <c r="E10" s="435"/>
      <c r="F10" s="88"/>
      <c r="G10" s="56">
        <f>SUMIF(JournalsB!D$14:D$920,TrialBalanceB!M10,JournalsB!J$14:J$920)+SUMIF(JournalsB!E$14:E$920,TrialBalanceB!M10,JournalsB!J$14:J$920)</f>
        <v>0</v>
      </c>
      <c r="H10" s="443"/>
      <c r="I10" s="447">
        <f t="shared" si="0"/>
        <v>0</v>
      </c>
      <c r="J10" s="84"/>
      <c r="K10" s="57">
        <f t="shared" si="1"/>
        <v>0</v>
      </c>
      <c r="M10" s="197" t="str">
        <f t="shared" si="2"/>
        <v>1000/0060</v>
      </c>
      <c r="N10" s="79"/>
      <c r="P10" s="80"/>
      <c r="Q10" s="60"/>
      <c r="R10" s="34"/>
    </row>
    <row r="11" spans="1:18" x14ac:dyDescent="0.2">
      <c r="A11" s="394"/>
      <c r="B11" s="114" t="s">
        <v>1314</v>
      </c>
      <c r="C11" s="396" t="s">
        <v>433</v>
      </c>
      <c r="D11" s="428"/>
      <c r="E11" s="435"/>
      <c r="F11" s="88"/>
      <c r="G11" s="56">
        <f>SUMIF(JournalsB!D$14:D$920,TrialBalanceB!M11,JournalsB!J$14:J$920)+SUMIF(JournalsB!E$14:E$920,TrialBalanceB!M11,JournalsB!J$14:J$920)</f>
        <v>0</v>
      </c>
      <c r="H11" s="443"/>
      <c r="I11" s="447">
        <f t="shared" si="0"/>
        <v>0</v>
      </c>
      <c r="J11" s="84"/>
      <c r="K11" s="57">
        <f t="shared" si="1"/>
        <v>0</v>
      </c>
      <c r="M11" s="197" t="str">
        <f t="shared" si="2"/>
        <v>1000/007Rent received</v>
      </c>
      <c r="N11" s="79"/>
      <c r="P11" s="80"/>
      <c r="Q11" s="60"/>
      <c r="R11" s="34"/>
    </row>
    <row r="12" spans="1:18" x14ac:dyDescent="0.2">
      <c r="A12" s="394"/>
      <c r="B12" s="63" t="s">
        <v>291</v>
      </c>
      <c r="C12" s="397" t="s">
        <v>138</v>
      </c>
      <c r="D12" s="437"/>
      <c r="E12" s="435"/>
      <c r="F12" s="88"/>
      <c r="G12" s="56">
        <f>SUMIF(JournalsB!D$14:D$920,TrialBalanceB!M12,JournalsB!J$14:J$920)+SUMIF(JournalsB!E$14:E$920,TrialBalanceB!M12,JournalsB!J$14:J$920)</f>
        <v>0</v>
      </c>
      <c r="H12" s="443"/>
      <c r="I12" s="447">
        <f t="shared" si="0"/>
        <v>0</v>
      </c>
      <c r="J12" s="84"/>
      <c r="K12" s="57">
        <f t="shared" si="1"/>
        <v>0</v>
      </c>
      <c r="M12" s="197" t="str">
        <f t="shared" si="2"/>
        <v>2000/000COST OF SALES</v>
      </c>
      <c r="N12" s="79"/>
      <c r="P12" s="80"/>
      <c r="Q12" s="60"/>
      <c r="R12" s="34"/>
    </row>
    <row r="13" spans="1:18" x14ac:dyDescent="0.2">
      <c r="A13" s="394"/>
      <c r="B13" s="63" t="s">
        <v>292</v>
      </c>
      <c r="C13" s="398" t="s">
        <v>773</v>
      </c>
      <c r="D13" s="438"/>
      <c r="E13" s="435"/>
      <c r="F13" s="88"/>
      <c r="G13" s="56">
        <f>SUMIF(JournalsB!D$14:D$920,TrialBalanceB!M13,JournalsB!J$14:J$920)+SUMIF(JournalsB!E$14:E$920,TrialBalanceB!M13,JournalsB!J$14:J$920)</f>
        <v>0</v>
      </c>
      <c r="H13" s="443"/>
      <c r="I13" s="447">
        <f t="shared" si="0"/>
        <v>0</v>
      </c>
      <c r="J13" s="84"/>
      <c r="K13" s="57">
        <f t="shared" si="1"/>
        <v>0</v>
      </c>
      <c r="M13" s="197" t="str">
        <f t="shared" si="2"/>
        <v>2000/001Opening stock - Raw materials</v>
      </c>
      <c r="N13" s="79"/>
      <c r="P13" s="80"/>
      <c r="Q13" s="60"/>
      <c r="R13" s="34"/>
    </row>
    <row r="14" spans="1:18" x14ac:dyDescent="0.2">
      <c r="A14" s="394"/>
      <c r="B14" s="63" t="s">
        <v>462</v>
      </c>
      <c r="C14" s="395" t="s">
        <v>463</v>
      </c>
      <c r="D14" s="436"/>
      <c r="E14" s="435"/>
      <c r="F14" s="88"/>
      <c r="G14" s="56">
        <f>SUMIF(JournalsB!D$14:D$920,TrialBalanceB!M14,JournalsB!J$14:J$920)+SUMIF(JournalsB!E$14:E$920,TrialBalanceB!M14,JournalsB!J$14:J$920)</f>
        <v>0</v>
      </c>
      <c r="H14" s="443"/>
      <c r="I14" s="447">
        <f t="shared" si="0"/>
        <v>0</v>
      </c>
      <c r="J14" s="84"/>
      <c r="K14" s="57">
        <f t="shared" si="1"/>
        <v>0</v>
      </c>
      <c r="M14" s="197" t="str">
        <f t="shared" si="2"/>
        <v>2000/002Opening stock - WIP</v>
      </c>
      <c r="N14" s="79"/>
      <c r="P14" s="80"/>
      <c r="Q14" s="60"/>
      <c r="R14" s="34"/>
    </row>
    <row r="15" spans="1:18" x14ac:dyDescent="0.2">
      <c r="A15" s="394"/>
      <c r="B15" s="63" t="s">
        <v>464</v>
      </c>
      <c r="C15" s="395" t="s">
        <v>465</v>
      </c>
      <c r="D15" s="436"/>
      <c r="E15" s="435"/>
      <c r="F15" s="88"/>
      <c r="G15" s="56">
        <f>SUMIF(JournalsB!D$14:D$920,TrialBalanceB!M15,JournalsB!J$14:J$920)+SUMIF(JournalsB!E$14:E$920,TrialBalanceB!M15,JournalsB!J$14:J$920)</f>
        <v>0</v>
      </c>
      <c r="H15" s="443"/>
      <c r="I15" s="447">
        <f t="shared" si="0"/>
        <v>0</v>
      </c>
      <c r="J15" s="84"/>
      <c r="K15" s="57">
        <f t="shared" si="1"/>
        <v>0</v>
      </c>
      <c r="M15" s="197" t="str">
        <f t="shared" si="2"/>
        <v>2000/003Opening stock - Finished goods</v>
      </c>
      <c r="N15" s="79"/>
      <c r="P15" s="80"/>
      <c r="Q15" s="60"/>
      <c r="R15" s="34"/>
    </row>
    <row r="16" spans="1:18" x14ac:dyDescent="0.2">
      <c r="A16" s="394"/>
      <c r="B16" s="63" t="s">
        <v>466</v>
      </c>
      <c r="C16" s="395" t="s">
        <v>467</v>
      </c>
      <c r="D16" s="436"/>
      <c r="E16" s="435"/>
      <c r="F16" s="88"/>
      <c r="G16" s="56">
        <f>SUMIF(JournalsB!D$14:D$920,TrialBalanceB!M16,JournalsB!J$14:J$920)+SUMIF(JournalsB!E$14:E$920,TrialBalanceB!M16,JournalsB!J$14:J$920)</f>
        <v>0</v>
      </c>
      <c r="H16" s="443"/>
      <c r="I16" s="447">
        <f t="shared" si="0"/>
        <v>0</v>
      </c>
      <c r="J16" s="84"/>
      <c r="K16" s="57">
        <f t="shared" si="1"/>
        <v>0</v>
      </c>
      <c r="M16" s="197" t="str">
        <f t="shared" si="2"/>
        <v>2000/004Opening stock - Trading stock</v>
      </c>
      <c r="N16" s="79"/>
      <c r="P16" s="80"/>
      <c r="Q16" s="60"/>
      <c r="R16" s="34"/>
    </row>
    <row r="17" spans="1:18" x14ac:dyDescent="0.2">
      <c r="A17" s="394"/>
      <c r="B17" s="13" t="s">
        <v>468</v>
      </c>
      <c r="C17" s="395" t="s">
        <v>334</v>
      </c>
      <c r="D17" s="436"/>
      <c r="E17" s="435"/>
      <c r="F17" s="88"/>
      <c r="G17" s="56">
        <f>SUMIF(JournalsB!D$14:D$920,TrialBalanceB!M17,JournalsB!J$14:J$920)+SUMIF(JournalsB!E$14:E$920,TrialBalanceB!M17,JournalsB!J$14:J$920)</f>
        <v>0</v>
      </c>
      <c r="H17" s="443"/>
      <c r="I17" s="447">
        <f t="shared" si="0"/>
        <v>0</v>
      </c>
      <c r="J17" s="84"/>
      <c r="K17" s="57">
        <f t="shared" si="1"/>
        <v>0</v>
      </c>
      <c r="M17" s="197" t="str">
        <f t="shared" si="2"/>
        <v>2000/010Purchases</v>
      </c>
      <c r="N17" s="79"/>
      <c r="P17" s="80"/>
      <c r="Q17" s="60"/>
      <c r="R17" s="34"/>
    </row>
    <row r="18" spans="1:18" x14ac:dyDescent="0.2">
      <c r="A18" s="394"/>
      <c r="B18" s="13" t="s">
        <v>469</v>
      </c>
      <c r="C18" s="430"/>
      <c r="D18" s="435"/>
      <c r="E18" s="435"/>
      <c r="F18" s="88"/>
      <c r="G18" s="56">
        <f>SUMIF(JournalsB!D$14:D$920,TrialBalanceB!M18,JournalsB!J$14:J$920)+SUMIF(JournalsB!E$14:E$920,TrialBalanceB!M18,JournalsB!J$14:J$920)</f>
        <v>0</v>
      </c>
      <c r="H18" s="443"/>
      <c r="I18" s="447">
        <f t="shared" si="0"/>
        <v>0</v>
      </c>
      <c r="J18" s="84"/>
      <c r="K18" s="57">
        <f t="shared" si="1"/>
        <v>0</v>
      </c>
      <c r="M18" s="197" t="str">
        <f t="shared" si="2"/>
        <v>2000/011</v>
      </c>
      <c r="N18" s="79"/>
      <c r="O18" s="34"/>
      <c r="P18" s="80"/>
      <c r="Q18" s="60"/>
      <c r="R18" s="34"/>
    </row>
    <row r="19" spans="1:18" x14ac:dyDescent="0.2">
      <c r="A19" s="394"/>
      <c r="B19" s="63" t="s">
        <v>470</v>
      </c>
      <c r="C19" s="431"/>
      <c r="D19" s="428"/>
      <c r="E19" s="435"/>
      <c r="F19" s="88"/>
      <c r="G19" s="56">
        <f>SUMIF(JournalsB!D$14:D$920,TrialBalanceB!M19,JournalsB!J$14:J$920)+SUMIF(JournalsB!E$14:E$920,TrialBalanceB!M19,JournalsB!J$14:J$920)</f>
        <v>0</v>
      </c>
      <c r="H19" s="443"/>
      <c r="I19" s="447">
        <f t="shared" si="0"/>
        <v>0</v>
      </c>
      <c r="J19" s="84"/>
      <c r="K19" s="57">
        <f t="shared" si="1"/>
        <v>0</v>
      </c>
      <c r="M19" s="197" t="str">
        <f t="shared" si="2"/>
        <v>2000/012</v>
      </c>
      <c r="N19" s="79"/>
      <c r="P19" s="80"/>
      <c r="Q19" s="60"/>
      <c r="R19" s="34"/>
    </row>
    <row r="20" spans="1:18" x14ac:dyDescent="0.2">
      <c r="A20" s="394"/>
      <c r="B20" s="63" t="s">
        <v>471</v>
      </c>
      <c r="C20" s="431"/>
      <c r="D20" s="428"/>
      <c r="E20" s="435"/>
      <c r="F20" s="88"/>
      <c r="G20" s="56">
        <f>SUMIF(JournalsB!D$14:D$920,TrialBalanceB!M20,JournalsB!J$14:J$920)+SUMIF(JournalsB!E$14:E$920,TrialBalanceB!M20,JournalsB!J$14:J$920)</f>
        <v>0</v>
      </c>
      <c r="H20" s="443"/>
      <c r="I20" s="447">
        <f t="shared" si="0"/>
        <v>0</v>
      </c>
      <c r="J20" s="84"/>
      <c r="K20" s="57">
        <f t="shared" si="1"/>
        <v>0</v>
      </c>
      <c r="M20" s="197" t="str">
        <f t="shared" si="2"/>
        <v>2000/013</v>
      </c>
      <c r="N20" s="79"/>
      <c r="P20" s="80"/>
      <c r="Q20" s="60"/>
      <c r="R20" s="34"/>
    </row>
    <row r="21" spans="1:18" x14ac:dyDescent="0.2">
      <c r="A21" s="394"/>
      <c r="B21" s="63" t="s">
        <v>472</v>
      </c>
      <c r="C21" s="431"/>
      <c r="D21" s="428"/>
      <c r="E21" s="435"/>
      <c r="F21" s="88"/>
      <c r="G21" s="56">
        <f>SUMIF(JournalsB!D$14:D$920,TrialBalanceB!M21,JournalsB!J$14:J$920)+SUMIF(JournalsB!E$14:E$920,TrialBalanceB!M21,JournalsB!J$14:J$920)</f>
        <v>0</v>
      </c>
      <c r="H21" s="443"/>
      <c r="I21" s="447">
        <f t="shared" si="0"/>
        <v>0</v>
      </c>
      <c r="J21" s="84"/>
      <c r="K21" s="57">
        <f t="shared" si="1"/>
        <v>0</v>
      </c>
      <c r="M21" s="197" t="str">
        <f t="shared" si="2"/>
        <v>2000/014</v>
      </c>
      <c r="N21" s="79"/>
      <c r="P21" s="80"/>
      <c r="Q21" s="60"/>
      <c r="R21" s="34"/>
    </row>
    <row r="22" spans="1:18" x14ac:dyDescent="0.2">
      <c r="A22" s="394"/>
      <c r="B22" s="63" t="s">
        <v>473</v>
      </c>
      <c r="C22" s="431"/>
      <c r="D22" s="428"/>
      <c r="E22" s="435"/>
      <c r="F22" s="88"/>
      <c r="G22" s="56">
        <f>SUMIF(JournalsB!D$14:D$920,TrialBalanceB!M22,JournalsB!J$14:J$920)+SUMIF(JournalsB!E$14:E$920,TrialBalanceB!M22,JournalsB!J$14:J$920)</f>
        <v>0</v>
      </c>
      <c r="H22" s="443"/>
      <c r="I22" s="447">
        <f t="shared" si="0"/>
        <v>0</v>
      </c>
      <c r="J22" s="84"/>
      <c r="K22" s="57">
        <f t="shared" si="1"/>
        <v>0</v>
      </c>
      <c r="M22" s="197" t="str">
        <f t="shared" si="2"/>
        <v>2000/015</v>
      </c>
      <c r="N22" s="79"/>
      <c r="P22" s="80"/>
      <c r="Q22" s="60"/>
      <c r="R22" s="34"/>
    </row>
    <row r="23" spans="1:18" x14ac:dyDescent="0.2">
      <c r="A23" s="394"/>
      <c r="B23" s="63" t="s">
        <v>474</v>
      </c>
      <c r="C23" s="395" t="s">
        <v>475</v>
      </c>
      <c r="D23" s="436"/>
      <c r="E23" s="435"/>
      <c r="F23" s="88"/>
      <c r="G23" s="56">
        <f>SUMIF(JournalsB!D$14:D$920,TrialBalanceB!M23,JournalsB!J$14:J$920)+SUMIF(JournalsB!E$14:E$920,TrialBalanceB!M23,JournalsB!J$14:J$920)</f>
        <v>0</v>
      </c>
      <c r="H23" s="443"/>
      <c r="I23" s="447">
        <f t="shared" si="0"/>
        <v>0</v>
      </c>
      <c r="J23" s="84"/>
      <c r="K23" s="57">
        <f t="shared" si="1"/>
        <v>0</v>
      </c>
      <c r="M23" s="197" t="str">
        <f t="shared" si="2"/>
        <v>2000/050Closing stock - Raw materials</v>
      </c>
      <c r="N23" s="79"/>
      <c r="P23" s="80"/>
      <c r="Q23" s="60"/>
      <c r="R23" s="34"/>
    </row>
    <row r="24" spans="1:18" x14ac:dyDescent="0.2">
      <c r="A24" s="394"/>
      <c r="B24" s="63" t="s">
        <v>476</v>
      </c>
      <c r="C24" s="395" t="s">
        <v>477</v>
      </c>
      <c r="D24" s="436"/>
      <c r="E24" s="435"/>
      <c r="F24" s="88"/>
      <c r="G24" s="56">
        <f>SUMIF(JournalsB!D$14:D$920,TrialBalanceB!M24,JournalsB!J$14:J$920)+SUMIF(JournalsB!E$14:E$920,TrialBalanceB!M24,JournalsB!J$14:J$920)</f>
        <v>0</v>
      </c>
      <c r="H24" s="443"/>
      <c r="I24" s="447">
        <f t="shared" si="0"/>
        <v>0</v>
      </c>
      <c r="J24" s="84"/>
      <c r="K24" s="57">
        <f t="shared" si="1"/>
        <v>0</v>
      </c>
      <c r="M24" s="197" t="str">
        <f t="shared" si="2"/>
        <v>2000/051Closing stock - WIP</v>
      </c>
      <c r="N24" s="79"/>
      <c r="P24" s="80"/>
      <c r="Q24" s="60"/>
      <c r="R24" s="34"/>
    </row>
    <row r="25" spans="1:18" x14ac:dyDescent="0.2">
      <c r="A25" s="394"/>
      <c r="B25" s="63" t="s">
        <v>478</v>
      </c>
      <c r="C25" s="395" t="s">
        <v>479</v>
      </c>
      <c r="D25" s="436"/>
      <c r="E25" s="435"/>
      <c r="F25" s="88"/>
      <c r="G25" s="56">
        <f>SUMIF(JournalsB!D$14:D$920,TrialBalanceB!M25,JournalsB!J$14:J$920)+SUMIF(JournalsB!E$14:E$920,TrialBalanceB!M25,JournalsB!J$14:J$920)</f>
        <v>0</v>
      </c>
      <c r="H25" s="443"/>
      <c r="I25" s="447">
        <f t="shared" si="0"/>
        <v>0</v>
      </c>
      <c r="J25" s="84"/>
      <c r="K25" s="57">
        <f t="shared" si="1"/>
        <v>0</v>
      </c>
      <c r="M25" s="197" t="str">
        <f t="shared" si="2"/>
        <v>2000/052Closing stock - Finished goods</v>
      </c>
      <c r="N25" s="79"/>
      <c r="P25" s="80"/>
      <c r="Q25" s="60"/>
      <c r="R25" s="34"/>
    </row>
    <row r="26" spans="1:18" x14ac:dyDescent="0.2">
      <c r="A26" s="394"/>
      <c r="B26" s="63" t="s">
        <v>480</v>
      </c>
      <c r="C26" s="395" t="s">
        <v>481</v>
      </c>
      <c r="D26" s="436"/>
      <c r="E26" s="435"/>
      <c r="F26" s="88"/>
      <c r="G26" s="56">
        <f>SUMIF(JournalsB!D$14:D$920,TrialBalanceB!M26,JournalsB!J$14:J$920)+SUMIF(JournalsB!E$14:E$920,TrialBalanceB!M26,JournalsB!J$14:J$920)</f>
        <v>0</v>
      </c>
      <c r="H26" s="443"/>
      <c r="I26" s="447">
        <f t="shared" si="0"/>
        <v>0</v>
      </c>
      <c r="J26" s="84"/>
      <c r="K26" s="57">
        <f t="shared" si="1"/>
        <v>0</v>
      </c>
      <c r="M26" s="197" t="str">
        <f t="shared" si="2"/>
        <v>2000/053Closing stock - Trading stock</v>
      </c>
      <c r="N26" s="79"/>
      <c r="P26" s="80"/>
      <c r="Q26" s="60"/>
      <c r="R26" s="34"/>
    </row>
    <row r="27" spans="1:18" x14ac:dyDescent="0.2">
      <c r="A27" s="394"/>
      <c r="B27" s="65" t="s">
        <v>386</v>
      </c>
      <c r="C27" s="400" t="s">
        <v>385</v>
      </c>
      <c r="D27" s="426"/>
      <c r="E27" s="435"/>
      <c r="F27" s="88"/>
      <c r="G27" s="56">
        <f>SUMIF(JournalsB!D$14:D$920,TrialBalanceB!M27,JournalsB!J$14:J$920)+SUMIF(JournalsB!E$14:E$920,TrialBalanceB!M27,JournalsB!J$14:J$920)</f>
        <v>0</v>
      </c>
      <c r="H27" s="443"/>
      <c r="I27" s="447">
        <f t="shared" si="0"/>
        <v>0</v>
      </c>
      <c r="J27" s="84"/>
      <c r="K27" s="57">
        <f t="shared" si="1"/>
        <v>0</v>
      </c>
      <c r="M27" s="197" t="str">
        <f t="shared" si="2"/>
        <v>2050/000OTHER OPERATING INCOME</v>
      </c>
      <c r="N27" s="79"/>
      <c r="P27" s="80"/>
      <c r="Q27" s="60"/>
      <c r="R27" s="34"/>
    </row>
    <row r="28" spans="1:18" x14ac:dyDescent="0.2">
      <c r="A28" s="394"/>
      <c r="B28" s="65" t="s">
        <v>387</v>
      </c>
      <c r="C28" s="396" t="str">
        <f>CONCATENATE("Insurance claims - ",Criteria!H15)</f>
        <v>Insurance claims - Rental Properties</v>
      </c>
      <c r="D28" s="435"/>
      <c r="E28" s="435"/>
      <c r="F28" s="88"/>
      <c r="G28" s="56">
        <f>SUMIF(JournalsB!D$14:D$920,TrialBalanceB!M28,JournalsB!J$14:J$920)+SUMIF(JournalsB!E$14:E$920,TrialBalanceB!M28,JournalsB!J$14:J$920)</f>
        <v>0</v>
      </c>
      <c r="H28" s="443"/>
      <c r="I28" s="447">
        <f t="shared" si="0"/>
        <v>0</v>
      </c>
      <c r="J28" s="84"/>
      <c r="K28" s="57">
        <f t="shared" si="1"/>
        <v>0</v>
      </c>
      <c r="M28" s="197" t="str">
        <f t="shared" si="2"/>
        <v>2050/001Insurance claims - Rental Properties</v>
      </c>
      <c r="N28" s="79"/>
      <c r="P28" s="80"/>
      <c r="Q28" s="60"/>
      <c r="R28" s="34"/>
    </row>
    <row r="29" spans="1:18" x14ac:dyDescent="0.2">
      <c r="A29" s="394"/>
      <c r="B29" s="65" t="s">
        <v>388</v>
      </c>
      <c r="C29" s="396" t="s">
        <v>1079</v>
      </c>
      <c r="D29" s="428"/>
      <c r="E29" s="435"/>
      <c r="F29" s="88"/>
      <c r="G29" s="56">
        <f>SUMIF(JournalsB!D$14:D$920,TrialBalanceB!M29,JournalsB!J$14:J$920)+SUMIF(JournalsB!E$14:E$920,TrialBalanceB!M29,JournalsB!J$14:J$920)</f>
        <v>0</v>
      </c>
      <c r="H29" s="443"/>
      <c r="I29" s="447">
        <f t="shared" si="0"/>
        <v>0</v>
      </c>
      <c r="J29" s="84"/>
      <c r="K29" s="57">
        <f t="shared" si="1"/>
        <v>0</v>
      </c>
      <c r="M29" s="197" t="str">
        <f t="shared" si="2"/>
        <v>2050/002Government grants received</v>
      </c>
      <c r="N29" s="79"/>
      <c r="P29" s="80"/>
      <c r="Q29" s="60"/>
      <c r="R29" s="34"/>
    </row>
    <row r="30" spans="1:18" x14ac:dyDescent="0.2">
      <c r="A30" s="394"/>
      <c r="B30" s="65" t="s">
        <v>389</v>
      </c>
      <c r="C30" s="431"/>
      <c r="D30" s="428"/>
      <c r="E30" s="435"/>
      <c r="F30" s="88"/>
      <c r="G30" s="56">
        <f>SUMIF(JournalsB!D$14:D$920,TrialBalanceB!M30,JournalsB!J$14:J$920)+SUMIF(JournalsB!E$14:E$920,TrialBalanceB!M30,JournalsB!J$14:J$920)</f>
        <v>0</v>
      </c>
      <c r="H30" s="443"/>
      <c r="I30" s="447">
        <f t="shared" si="0"/>
        <v>0</v>
      </c>
      <c r="J30" s="84"/>
      <c r="K30" s="57">
        <f t="shared" si="1"/>
        <v>0</v>
      </c>
      <c r="M30" s="197" t="str">
        <f t="shared" si="2"/>
        <v>2050/003</v>
      </c>
      <c r="N30" s="79"/>
      <c r="P30" s="80"/>
      <c r="Q30" s="60"/>
      <c r="R30" s="34"/>
    </row>
    <row r="31" spans="1:18" x14ac:dyDescent="0.2">
      <c r="A31" s="394"/>
      <c r="B31" s="65" t="s">
        <v>390</v>
      </c>
      <c r="C31" s="431"/>
      <c r="D31" s="428"/>
      <c r="E31" s="435"/>
      <c r="F31" s="88"/>
      <c r="G31" s="56">
        <f>SUMIF(JournalsB!D$14:D$920,TrialBalanceB!M31,JournalsB!J$14:J$920)+SUMIF(JournalsB!E$14:E$920,TrialBalanceB!M31,JournalsB!J$14:J$920)</f>
        <v>0</v>
      </c>
      <c r="H31" s="443"/>
      <c r="I31" s="447">
        <f t="shared" si="0"/>
        <v>0</v>
      </c>
      <c r="J31" s="84"/>
      <c r="K31" s="57">
        <f t="shared" si="1"/>
        <v>0</v>
      </c>
      <c r="M31" s="197" t="str">
        <f t="shared" si="2"/>
        <v>2050/004</v>
      </c>
      <c r="N31" s="79"/>
      <c r="P31" s="80"/>
      <c r="Q31" s="60"/>
      <c r="R31" s="34"/>
    </row>
    <row r="32" spans="1:18" x14ac:dyDescent="0.2">
      <c r="A32" s="394"/>
      <c r="B32" s="65" t="s">
        <v>391</v>
      </c>
      <c r="C32" s="431"/>
      <c r="D32" s="428"/>
      <c r="E32" s="435"/>
      <c r="F32" s="88"/>
      <c r="G32" s="56">
        <f>SUMIF(JournalsB!D$14:D$920,TrialBalanceB!M32,JournalsB!J$14:J$920)+SUMIF(JournalsB!E$14:E$920,TrialBalanceB!M32,JournalsB!J$14:J$920)</f>
        <v>0</v>
      </c>
      <c r="H32" s="443"/>
      <c r="I32" s="447">
        <f t="shared" si="0"/>
        <v>0</v>
      </c>
      <c r="J32" s="84"/>
      <c r="K32" s="57">
        <f t="shared" si="1"/>
        <v>0</v>
      </c>
      <c r="M32" s="197" t="str">
        <f t="shared" si="2"/>
        <v>2050/005</v>
      </c>
      <c r="N32" s="79"/>
      <c r="P32" s="80"/>
      <c r="Q32" s="60"/>
      <c r="R32" s="34"/>
    </row>
    <row r="33" spans="1:18" x14ac:dyDescent="0.2">
      <c r="A33" s="394"/>
      <c r="B33" s="52" t="s">
        <v>1544</v>
      </c>
      <c r="C33" s="396" t="s">
        <v>1545</v>
      </c>
      <c r="D33" s="428"/>
      <c r="E33" s="435"/>
      <c r="F33" s="88"/>
      <c r="G33" s="56">
        <f>SUMIF(JournalsB!D$14:D$920,TrialBalanceB!M33,JournalsB!J$14:J$920)+SUMIF(JournalsB!E$14:E$920,TrialBalanceB!M33,JournalsB!J$14:J$920)</f>
        <v>0</v>
      </c>
      <c r="H33" s="443"/>
      <c r="I33" s="447">
        <f t="shared" ref="I33" si="6">ROUND(D33-E33+G33+F33,0)</f>
        <v>0</v>
      </c>
      <c r="J33" s="84"/>
      <c r="K33" s="57">
        <f t="shared" ref="K33" si="7">ROUND(SUM(A33),0)</f>
        <v>0</v>
      </c>
      <c r="M33" s="197" t="str">
        <f t="shared" ref="M33" si="8">CONCATENATE(B33,C33)</f>
        <v>2050/006Recoupment of depreciation</v>
      </c>
      <c r="N33" s="79"/>
      <c r="P33" s="80"/>
      <c r="Q33" s="60"/>
      <c r="R33" s="34"/>
    </row>
    <row r="34" spans="1:18" x14ac:dyDescent="0.2">
      <c r="A34" s="394"/>
      <c r="B34" s="52" t="s">
        <v>775</v>
      </c>
      <c r="C34" s="400" t="s">
        <v>774</v>
      </c>
      <c r="D34" s="426"/>
      <c r="E34" s="435"/>
      <c r="F34" s="88"/>
      <c r="G34" s="56">
        <f>SUMIF(JournalsB!D$14:D$920,TrialBalanceB!M34,JournalsB!J$14:J$920)+SUMIF(JournalsB!E$14:E$920,TrialBalanceB!M34,JournalsB!J$14:J$920)</f>
        <v>0</v>
      </c>
      <c r="H34" s="443"/>
      <c r="I34" s="447">
        <f t="shared" si="0"/>
        <v>0</v>
      </c>
      <c r="J34" s="84"/>
      <c r="K34" s="57">
        <f t="shared" si="1"/>
        <v>0</v>
      </c>
      <c r="M34" s="197" t="str">
        <f t="shared" si="2"/>
        <v>2060/000NET (PROFIT)/LOSS OTHER</v>
      </c>
      <c r="N34" s="79"/>
      <c r="P34" s="80"/>
      <c r="Q34" s="60"/>
      <c r="R34" s="34"/>
    </row>
    <row r="35" spans="1:18" x14ac:dyDescent="0.2">
      <c r="A35" s="394"/>
      <c r="B35" s="52" t="s">
        <v>671</v>
      </c>
      <c r="C35" s="396"/>
      <c r="D35" s="435"/>
      <c r="E35" s="435"/>
      <c r="F35" s="88"/>
      <c r="G35" s="56">
        <f>SUMIF(JournalsB!D$14:D$920,TrialBalanceB!M35,JournalsB!J$14:J$920)+SUMIF(JournalsB!E$14:E$920,TrialBalanceB!M35,JournalsB!J$14:J$920)</f>
        <v>0</v>
      </c>
      <c r="H35" s="443"/>
      <c r="I35" s="447">
        <f t="shared" si="0"/>
        <v>0</v>
      </c>
      <c r="J35" s="84"/>
      <c r="K35" s="57">
        <f t="shared" si="1"/>
        <v>0</v>
      </c>
      <c r="M35" s="197" t="str">
        <f t="shared" si="2"/>
        <v>2060/001</v>
      </c>
      <c r="N35" s="79"/>
      <c r="P35" s="80"/>
      <c r="Q35" s="60"/>
      <c r="R35" s="34"/>
    </row>
    <row r="36" spans="1:18" x14ac:dyDescent="0.2">
      <c r="A36" s="394"/>
      <c r="B36" s="52" t="s">
        <v>672</v>
      </c>
      <c r="C36" s="402"/>
      <c r="D36" s="428"/>
      <c r="E36" s="435"/>
      <c r="F36" s="88"/>
      <c r="G36" s="56">
        <f>SUMIF(JournalsB!D$14:D$920,TrialBalanceB!M36,JournalsB!J$14:J$920)+SUMIF(JournalsB!E$14:E$920,TrialBalanceB!M36,JournalsB!J$14:J$920)</f>
        <v>0</v>
      </c>
      <c r="H36" s="443"/>
      <c r="I36" s="447">
        <f t="shared" si="0"/>
        <v>0</v>
      </c>
      <c r="J36" s="84"/>
      <c r="K36" s="57">
        <f t="shared" si="1"/>
        <v>0</v>
      </c>
      <c r="M36" s="197" t="str">
        <f t="shared" si="2"/>
        <v>2060/002</v>
      </c>
      <c r="N36" s="79"/>
      <c r="P36" s="80"/>
      <c r="Q36" s="60"/>
      <c r="R36" s="34"/>
    </row>
    <row r="37" spans="1:18" x14ac:dyDescent="0.2">
      <c r="A37" s="394"/>
      <c r="B37" s="52" t="s">
        <v>673</v>
      </c>
      <c r="C37" s="402"/>
      <c r="D37" s="428"/>
      <c r="E37" s="435"/>
      <c r="F37" s="88"/>
      <c r="G37" s="56">
        <f>SUMIF(JournalsB!D$14:D$920,TrialBalanceB!M37,JournalsB!J$14:J$920)+SUMIF(JournalsB!E$14:E$920,TrialBalanceB!M37,JournalsB!J$14:J$920)</f>
        <v>0</v>
      </c>
      <c r="H37" s="443"/>
      <c r="I37" s="447">
        <f t="shared" si="0"/>
        <v>0</v>
      </c>
      <c r="J37" s="84"/>
      <c r="K37" s="57">
        <f t="shared" si="1"/>
        <v>0</v>
      </c>
      <c r="M37" s="197" t="str">
        <f t="shared" si="2"/>
        <v>2060/003</v>
      </c>
      <c r="N37" s="79"/>
      <c r="P37" s="80"/>
      <c r="Q37" s="60"/>
      <c r="R37" s="34"/>
    </row>
    <row r="38" spans="1:18" x14ac:dyDescent="0.2">
      <c r="A38" s="394"/>
      <c r="B38" s="52" t="s">
        <v>674</v>
      </c>
      <c r="C38" s="402"/>
      <c r="D38" s="428"/>
      <c r="E38" s="435"/>
      <c r="F38" s="88"/>
      <c r="G38" s="56">
        <f>SUMIF(JournalsB!D$14:D$920,TrialBalanceB!M38,JournalsB!J$14:J$920)+SUMIF(JournalsB!E$14:E$920,TrialBalanceB!M38,JournalsB!J$14:J$920)</f>
        <v>0</v>
      </c>
      <c r="H38" s="443"/>
      <c r="I38" s="447">
        <f t="shared" si="0"/>
        <v>0</v>
      </c>
      <c r="J38" s="84"/>
      <c r="K38" s="57">
        <f t="shared" si="1"/>
        <v>0</v>
      </c>
      <c r="M38" s="197" t="str">
        <f t="shared" si="2"/>
        <v>2060/004</v>
      </c>
      <c r="N38" s="79"/>
      <c r="P38" s="80"/>
      <c r="Q38" s="60"/>
      <c r="R38" s="34"/>
    </row>
    <row r="39" spans="1:18" x14ac:dyDescent="0.2">
      <c r="A39" s="394"/>
      <c r="B39" s="63" t="s">
        <v>482</v>
      </c>
      <c r="C39" s="397" t="s">
        <v>1415</v>
      </c>
      <c r="D39" s="437"/>
      <c r="E39" s="435"/>
      <c r="F39" s="88"/>
      <c r="G39" s="56">
        <f>SUMIF(JournalsB!D$14:D$920,TrialBalanceB!M39,JournalsB!J$14:J$920)+SUMIF(JournalsB!E$14:E$920,TrialBalanceB!M39,JournalsB!J$14:J$920)</f>
        <v>0</v>
      </c>
      <c r="H39" s="443"/>
      <c r="I39" s="447">
        <f t="shared" si="0"/>
        <v>0</v>
      </c>
      <c r="J39" s="84"/>
      <c r="K39" s="57">
        <f t="shared" si="1"/>
        <v>0</v>
      </c>
      <c r="M39" s="197" t="str">
        <f t="shared" si="2"/>
        <v>2100/000OPERATING EXPENSES</v>
      </c>
      <c r="N39" s="79"/>
      <c r="P39" s="80"/>
      <c r="Q39" s="60"/>
      <c r="R39" s="34"/>
    </row>
    <row r="40" spans="1:18" x14ac:dyDescent="0.2">
      <c r="A40" s="394"/>
      <c r="B40" s="63" t="s">
        <v>483</v>
      </c>
      <c r="C40" s="395" t="s">
        <v>335</v>
      </c>
      <c r="D40" s="436"/>
      <c r="E40" s="435"/>
      <c r="F40" s="88"/>
      <c r="G40" s="56">
        <f>SUMIF(JournalsB!D$14:D$920,TrialBalanceB!M40,JournalsB!J$14:J$920)+SUMIF(JournalsB!E$14:E$920,TrialBalanceB!M40,JournalsB!J$14:J$920)</f>
        <v>0</v>
      </c>
      <c r="H40" s="443"/>
      <c r="I40" s="447">
        <f t="shared" si="0"/>
        <v>0</v>
      </c>
      <c r="J40" s="84"/>
      <c r="K40" s="57">
        <f t="shared" si="1"/>
        <v>0</v>
      </c>
      <c r="M40" s="197" t="str">
        <f t="shared" si="2"/>
        <v>2100/001Advertising</v>
      </c>
      <c r="N40" s="79"/>
      <c r="P40" s="80"/>
      <c r="Q40" s="60"/>
      <c r="R40" s="34"/>
    </row>
    <row r="41" spans="1:18" x14ac:dyDescent="0.2">
      <c r="A41" s="394"/>
      <c r="B41" s="63" t="s">
        <v>484</v>
      </c>
      <c r="C41" s="398" t="s">
        <v>887</v>
      </c>
      <c r="D41" s="438"/>
      <c r="E41" s="435"/>
      <c r="F41" s="88"/>
      <c r="G41" s="56">
        <f>SUMIF(JournalsB!D$14:D$920,TrialBalanceB!M41,JournalsB!J$14:J$920)+SUMIF(JournalsB!E$14:E$920,TrialBalanceB!M41,JournalsB!J$14:J$920)</f>
        <v>0</v>
      </c>
      <c r="H41" s="443"/>
      <c r="I41" s="447">
        <f t="shared" si="0"/>
        <v>0</v>
      </c>
      <c r="J41" s="84"/>
      <c r="K41" s="57">
        <f t="shared" si="1"/>
        <v>0</v>
      </c>
      <c r="M41" s="197" t="str">
        <f t="shared" si="2"/>
        <v>2100/010Assets less than R7,000</v>
      </c>
      <c r="N41" s="79"/>
      <c r="P41" s="80"/>
      <c r="Q41" s="60"/>
      <c r="R41" s="34"/>
    </row>
    <row r="42" spans="1:18" x14ac:dyDescent="0.2">
      <c r="A42" s="394"/>
      <c r="B42" s="63" t="s">
        <v>485</v>
      </c>
      <c r="C42" s="395" t="s">
        <v>336</v>
      </c>
      <c r="D42" s="436"/>
      <c r="E42" s="435"/>
      <c r="F42" s="88"/>
      <c r="G42" s="56">
        <f>SUMIF(JournalsB!D$14:D$920,TrialBalanceB!M42,JournalsB!J$14:J$920)+SUMIF(JournalsB!E$14:E$920,TrialBalanceB!M42,JournalsB!J$14:J$920)</f>
        <v>0</v>
      </c>
      <c r="H42" s="443"/>
      <c r="I42" s="447">
        <f t="shared" si="0"/>
        <v>0</v>
      </c>
      <c r="J42" s="84"/>
      <c r="K42" s="57">
        <f t="shared" si="1"/>
        <v>0</v>
      </c>
      <c r="M42" s="197" t="str">
        <f t="shared" si="2"/>
        <v>2100/020Consumables</v>
      </c>
      <c r="N42" s="79"/>
      <c r="P42" s="80"/>
      <c r="Q42" s="60"/>
      <c r="R42" s="34"/>
    </row>
    <row r="43" spans="1:18" x14ac:dyDescent="0.2">
      <c r="A43" s="394"/>
      <c r="B43" s="63" t="s">
        <v>486</v>
      </c>
      <c r="C43" s="397" t="s">
        <v>749</v>
      </c>
      <c r="D43" s="437"/>
      <c r="E43" s="435"/>
      <c r="F43" s="88"/>
      <c r="G43" s="56">
        <f>SUMIF(JournalsB!D$14:D$920,TrialBalanceB!M43,JournalsB!J$14:J$920)+SUMIF(JournalsB!E$14:E$920,TrialBalanceB!M43,JournalsB!J$14:J$920)</f>
        <v>0</v>
      </c>
      <c r="H43" s="443"/>
      <c r="I43" s="447">
        <f t="shared" si="0"/>
        <v>0</v>
      </c>
      <c r="J43" s="84"/>
      <c r="K43" s="57">
        <f t="shared" si="1"/>
        <v>0</v>
      </c>
      <c r="M43" s="197" t="str">
        <f t="shared" si="2"/>
        <v>2100/030Depreciation--------------------------------------------------</v>
      </c>
      <c r="N43" s="79"/>
      <c r="P43" s="80"/>
      <c r="Q43" s="60"/>
      <c r="R43" s="34"/>
    </row>
    <row r="44" spans="1:18" x14ac:dyDescent="0.2">
      <c r="A44" s="394"/>
      <c r="B44" s="63" t="s">
        <v>488</v>
      </c>
      <c r="C44" s="398" t="s">
        <v>1619</v>
      </c>
      <c r="D44" s="436"/>
      <c r="E44" s="435"/>
      <c r="F44" s="88"/>
      <c r="G44" s="56">
        <f>SUMIF(JournalsB!D$14:D$920,TrialBalanceB!M44,JournalsB!J$14:J$920)+SUMIF(JournalsB!E$14:E$920,TrialBalanceB!M44,JournalsB!J$14:J$920)</f>
        <v>0</v>
      </c>
      <c r="H44" s="443"/>
      <c r="I44" s="447">
        <f t="shared" si="0"/>
        <v>0</v>
      </c>
      <c r="J44" s="84"/>
      <c r="K44" s="57">
        <f t="shared" si="1"/>
        <v>0</v>
      </c>
      <c r="M44" s="197" t="str">
        <f t="shared" si="2"/>
        <v>2100/031Depr - Property</v>
      </c>
      <c r="N44" s="79"/>
      <c r="P44" s="80"/>
      <c r="Q44" s="60"/>
      <c r="R44" s="34"/>
    </row>
    <row r="45" spans="1:18" x14ac:dyDescent="0.2">
      <c r="A45" s="394"/>
      <c r="B45" s="63" t="s">
        <v>489</v>
      </c>
      <c r="C45" s="398" t="s">
        <v>989</v>
      </c>
      <c r="D45" s="436"/>
      <c r="E45" s="435"/>
      <c r="F45" s="88"/>
      <c r="G45" s="56">
        <f>SUMIF(JournalsB!D$14:D$920,TrialBalanceB!M45,JournalsB!J$14:J$920)+SUMIF(JournalsB!E$14:E$920,TrialBalanceB!M45,JournalsB!J$14:J$920)</f>
        <v>0</v>
      </c>
      <c r="H45" s="443"/>
      <c r="I45" s="447">
        <f t="shared" si="0"/>
        <v>0</v>
      </c>
      <c r="J45" s="84"/>
      <c r="K45" s="57">
        <f t="shared" si="1"/>
        <v>0</v>
      </c>
      <c r="M45" s="197" t="str">
        <f t="shared" si="2"/>
        <v>2100/032Depr - Plant and machinery</v>
      </c>
      <c r="N45" s="79"/>
      <c r="P45" s="80"/>
      <c r="Q45" s="60"/>
      <c r="R45" s="34"/>
    </row>
    <row r="46" spans="1:18" x14ac:dyDescent="0.2">
      <c r="A46" s="394"/>
      <c r="B46" s="63" t="s">
        <v>63</v>
      </c>
      <c r="C46" s="395" t="s">
        <v>64</v>
      </c>
      <c r="D46" s="436"/>
      <c r="E46" s="435"/>
      <c r="F46" s="88"/>
      <c r="G46" s="56">
        <f>SUMIF(JournalsB!D$14:D$920,TrialBalanceB!M46,JournalsB!J$14:J$920)+SUMIF(JournalsB!E$14:E$920,TrialBalanceB!M46,JournalsB!J$14:J$920)</f>
        <v>0</v>
      </c>
      <c r="H46" s="443"/>
      <c r="I46" s="447">
        <f t="shared" si="0"/>
        <v>0</v>
      </c>
      <c r="J46" s="84"/>
      <c r="K46" s="57">
        <f t="shared" si="1"/>
        <v>0</v>
      </c>
      <c r="M46" s="197" t="str">
        <f t="shared" si="2"/>
        <v>2100/033Depr - Motor vehicles</v>
      </c>
      <c r="N46" s="79"/>
      <c r="P46" s="80"/>
      <c r="Q46" s="60"/>
      <c r="R46" s="34"/>
    </row>
    <row r="47" spans="1:18" x14ac:dyDescent="0.2">
      <c r="A47" s="394"/>
      <c r="B47" s="63" t="s">
        <v>66</v>
      </c>
      <c r="C47" s="395" t="s">
        <v>67</v>
      </c>
      <c r="D47" s="436"/>
      <c r="E47" s="435"/>
      <c r="F47" s="88"/>
      <c r="G47" s="56">
        <f>SUMIF(JournalsB!D$14:D$920,TrialBalanceB!M47,JournalsB!J$14:J$920)+SUMIF(JournalsB!E$14:E$920,TrialBalanceB!M47,JournalsB!J$14:J$920)</f>
        <v>0</v>
      </c>
      <c r="H47" s="443"/>
      <c r="I47" s="447">
        <f t="shared" si="0"/>
        <v>0</v>
      </c>
      <c r="J47" s="84"/>
      <c r="K47" s="57">
        <f t="shared" si="1"/>
        <v>0</v>
      </c>
      <c r="M47" s="197" t="str">
        <f t="shared" si="2"/>
        <v>2100/040Discounts allowed</v>
      </c>
      <c r="N47" s="79"/>
      <c r="P47" s="80"/>
      <c r="Q47" s="60"/>
      <c r="R47" s="34"/>
    </row>
    <row r="48" spans="1:18" x14ac:dyDescent="0.2">
      <c r="A48" s="394"/>
      <c r="B48" s="63" t="s">
        <v>68</v>
      </c>
      <c r="C48" s="398" t="s">
        <v>933</v>
      </c>
      <c r="D48" s="436"/>
      <c r="E48" s="435"/>
      <c r="F48" s="88"/>
      <c r="G48" s="56">
        <f>SUMIF(JournalsB!D$14:D$920,TrialBalanceB!M48,JournalsB!J$14:J$920)+SUMIF(JournalsB!E$14:E$920,TrialBalanceB!M48,JournalsB!J$14:J$920)</f>
        <v>0</v>
      </c>
      <c r="H48" s="443"/>
      <c r="I48" s="447">
        <f t="shared" si="0"/>
        <v>0</v>
      </c>
      <c r="J48" s="84"/>
      <c r="K48" s="57">
        <f t="shared" si="1"/>
        <v>0</v>
      </c>
      <c r="M48" s="197" t="str">
        <f t="shared" si="2"/>
        <v>2100/050Electricity and water</v>
      </c>
      <c r="N48" s="79"/>
      <c r="P48" s="80"/>
      <c r="Q48" s="60"/>
      <c r="R48" s="34"/>
    </row>
    <row r="49" spans="1:18" x14ac:dyDescent="0.2">
      <c r="A49" s="394"/>
      <c r="B49" s="63" t="s">
        <v>69</v>
      </c>
      <c r="C49" s="395" t="s">
        <v>74</v>
      </c>
      <c r="D49" s="436"/>
      <c r="E49" s="435"/>
      <c r="F49" s="88"/>
      <c r="G49" s="56">
        <f>SUMIF(JournalsB!D$14:D$920,TrialBalanceB!M49,JournalsB!J$14:J$920)+SUMIF(JournalsB!E$14:E$920,TrialBalanceB!M49,JournalsB!J$14:J$920)</f>
        <v>0</v>
      </c>
      <c r="H49" s="443"/>
      <c r="I49" s="447">
        <f t="shared" si="0"/>
        <v>0</v>
      </c>
      <c r="J49" s="84"/>
      <c r="K49" s="57">
        <f t="shared" si="1"/>
        <v>0</v>
      </c>
      <c r="M49" s="197" t="str">
        <f t="shared" si="2"/>
        <v>2100/055Equipment lease</v>
      </c>
      <c r="N49" s="79"/>
      <c r="P49" s="80"/>
      <c r="Q49" s="60"/>
      <c r="R49" s="34"/>
    </row>
    <row r="50" spans="1:18" x14ac:dyDescent="0.2">
      <c r="A50" s="394"/>
      <c r="B50" s="63" t="s">
        <v>75</v>
      </c>
      <c r="C50" s="395" t="s">
        <v>338</v>
      </c>
      <c r="D50" s="436"/>
      <c r="E50" s="435"/>
      <c r="F50" s="88"/>
      <c r="G50" s="56">
        <f>SUMIF(JournalsB!D$14:D$920,TrialBalanceB!M50,JournalsB!J$14:J$920)+SUMIF(JournalsB!E$14:E$920,TrialBalanceB!M50,JournalsB!J$14:J$920)</f>
        <v>0</v>
      </c>
      <c r="H50" s="443"/>
      <c r="I50" s="447">
        <f t="shared" si="0"/>
        <v>0</v>
      </c>
      <c r="J50" s="84"/>
      <c r="K50" s="57">
        <f t="shared" si="1"/>
        <v>0</v>
      </c>
      <c r="M50" s="197" t="str">
        <f t="shared" si="2"/>
        <v>2100/060Insurance</v>
      </c>
      <c r="N50" s="79"/>
      <c r="P50" s="60"/>
      <c r="Q50" s="60"/>
      <c r="R50" s="34"/>
    </row>
    <row r="51" spans="1:18" x14ac:dyDescent="0.2">
      <c r="A51" s="394"/>
      <c r="B51" s="63" t="s">
        <v>522</v>
      </c>
      <c r="C51" s="395" t="s">
        <v>210</v>
      </c>
      <c r="D51" s="436"/>
      <c r="E51" s="435"/>
      <c r="F51" s="88"/>
      <c r="G51" s="56">
        <f>SUMIF(JournalsB!D$14:D$920,TrialBalanceB!M51,JournalsB!J$14:J$920)+SUMIF(JournalsB!E$14:E$920,TrialBalanceB!M51,JournalsB!J$14:J$920)</f>
        <v>0</v>
      </c>
      <c r="H51" s="443"/>
      <c r="I51" s="447">
        <f t="shared" si="0"/>
        <v>0</v>
      </c>
      <c r="J51" s="84"/>
      <c r="K51" s="57">
        <f t="shared" si="1"/>
        <v>0</v>
      </c>
      <c r="M51" s="197" t="str">
        <f t="shared" si="2"/>
        <v>2100/071Levies - SDL</v>
      </c>
      <c r="N51" s="79"/>
      <c r="P51" s="80"/>
      <c r="Q51" s="60"/>
      <c r="R51" s="34"/>
    </row>
    <row r="52" spans="1:18" x14ac:dyDescent="0.2">
      <c r="A52" s="394"/>
      <c r="B52" s="63" t="s">
        <v>211</v>
      </c>
      <c r="C52" s="395" t="s">
        <v>212</v>
      </c>
      <c r="D52" s="436"/>
      <c r="E52" s="435"/>
      <c r="F52" s="88"/>
      <c r="G52" s="56">
        <f>SUMIF(JournalsB!D$14:D$920,TrialBalanceB!M52,JournalsB!J$14:J$920)+SUMIF(JournalsB!E$14:E$920,TrialBalanceB!M52,JournalsB!J$14:J$920)</f>
        <v>0</v>
      </c>
      <c r="H52" s="443"/>
      <c r="I52" s="447">
        <f t="shared" si="0"/>
        <v>0</v>
      </c>
      <c r="J52" s="84"/>
      <c r="K52" s="57">
        <f t="shared" si="1"/>
        <v>0</v>
      </c>
      <c r="M52" s="197" t="str">
        <f t="shared" si="2"/>
        <v>2100/072Levies - other</v>
      </c>
      <c r="N52" s="79"/>
      <c r="P52" s="80"/>
      <c r="Q52" s="60"/>
      <c r="R52" s="34"/>
    </row>
    <row r="53" spans="1:18" x14ac:dyDescent="0.2">
      <c r="A53" s="394"/>
      <c r="B53" s="63" t="s">
        <v>213</v>
      </c>
      <c r="C53" s="402" t="s">
        <v>422</v>
      </c>
      <c r="D53" s="428"/>
      <c r="E53" s="435"/>
      <c r="F53" s="88"/>
      <c r="G53" s="56">
        <f>SUMIF(JournalsB!D$14:D$920,TrialBalanceB!M53,JournalsB!J$14:J$920)+SUMIF(JournalsB!E$14:E$920,TrialBalanceB!M53,JournalsB!J$14:J$920)</f>
        <v>0</v>
      </c>
      <c r="H53" s="443"/>
      <c r="I53" s="447">
        <f t="shared" si="0"/>
        <v>0</v>
      </c>
      <c r="J53" s="84"/>
      <c r="K53" s="57">
        <f t="shared" si="1"/>
        <v>0</v>
      </c>
      <c r="M53" s="197" t="str">
        <f t="shared" si="2"/>
        <v>2100/080Trade licenses</v>
      </c>
      <c r="N53" s="79"/>
      <c r="P53" s="80"/>
      <c r="Q53" s="60"/>
      <c r="R53" s="34"/>
    </row>
    <row r="54" spans="1:18" x14ac:dyDescent="0.2">
      <c r="A54" s="394"/>
      <c r="B54" s="63" t="s">
        <v>214</v>
      </c>
      <c r="C54" s="397" t="s">
        <v>785</v>
      </c>
      <c r="D54" s="437"/>
      <c r="E54" s="435"/>
      <c r="F54" s="88"/>
      <c r="G54" s="56">
        <f>SUMIF(JournalsB!D$14:D$920,TrialBalanceB!M54,JournalsB!J$14:J$920)+SUMIF(JournalsB!E$14:E$920,TrialBalanceB!M54,JournalsB!J$14:J$920)</f>
        <v>0</v>
      </c>
      <c r="H54" s="443"/>
      <c r="I54" s="447">
        <f t="shared" si="0"/>
        <v>0</v>
      </c>
      <c r="J54" s="84"/>
      <c r="K54" s="57">
        <f t="shared" si="1"/>
        <v>0</v>
      </c>
      <c r="M54" s="197" t="str">
        <f t="shared" si="2"/>
        <v>2100/090Motor vehicle expenses----------------------------------</v>
      </c>
      <c r="N54" s="79"/>
      <c r="P54" s="80"/>
      <c r="Q54" s="60"/>
      <c r="R54" s="34"/>
    </row>
    <row r="55" spans="1:18" x14ac:dyDescent="0.2">
      <c r="A55" s="394"/>
      <c r="B55" s="63" t="s">
        <v>216</v>
      </c>
      <c r="C55" s="395" t="s">
        <v>217</v>
      </c>
      <c r="D55" s="436"/>
      <c r="E55" s="435"/>
      <c r="F55" s="88"/>
      <c r="G55" s="56">
        <f>SUMIF(JournalsB!D$14:D$920,TrialBalanceB!M55,JournalsB!J$14:J$920)+SUMIF(JournalsB!E$14:E$920,TrialBalanceB!M55,JournalsB!J$14:J$920)</f>
        <v>0</v>
      </c>
      <c r="H55" s="443"/>
      <c r="I55" s="447">
        <f t="shared" si="0"/>
        <v>0</v>
      </c>
      <c r="J55" s="84"/>
      <c r="K55" s="57">
        <f t="shared" si="1"/>
        <v>0</v>
      </c>
      <c r="M55" s="197" t="str">
        <f t="shared" si="2"/>
        <v>2100/091Motor vehicle expenses - Petrol and oil</v>
      </c>
      <c r="N55" s="79"/>
      <c r="P55" s="80"/>
      <c r="Q55" s="60"/>
      <c r="R55" s="34"/>
    </row>
    <row r="56" spans="1:18" x14ac:dyDescent="0.2">
      <c r="A56" s="394"/>
      <c r="B56" s="63" t="s">
        <v>218</v>
      </c>
      <c r="C56" s="395" t="s">
        <v>219</v>
      </c>
      <c r="D56" s="436"/>
      <c r="E56" s="435"/>
      <c r="F56" s="88"/>
      <c r="G56" s="56">
        <f>SUMIF(JournalsB!D$14:D$920,TrialBalanceB!M56,JournalsB!J$14:J$920)+SUMIF(JournalsB!E$14:E$920,TrialBalanceB!M56,JournalsB!J$14:J$920)</f>
        <v>0</v>
      </c>
      <c r="H56" s="443"/>
      <c r="I56" s="447">
        <f t="shared" si="0"/>
        <v>0</v>
      </c>
      <c r="J56" s="84"/>
      <c r="K56" s="57">
        <f t="shared" si="1"/>
        <v>0</v>
      </c>
      <c r="M56" s="197" t="str">
        <f t="shared" si="2"/>
        <v>2100/092Motor vehicle expenses - R&amp;M</v>
      </c>
      <c r="N56" s="79"/>
      <c r="P56" s="80"/>
      <c r="Q56" s="60"/>
      <c r="R56" s="34"/>
    </row>
    <row r="57" spans="1:18" x14ac:dyDescent="0.2">
      <c r="A57" s="394"/>
      <c r="B57" s="63" t="s">
        <v>220</v>
      </c>
      <c r="C57" s="395" t="s">
        <v>221</v>
      </c>
      <c r="D57" s="436"/>
      <c r="E57" s="435"/>
      <c r="F57" s="88"/>
      <c r="G57" s="56">
        <f>SUMIF(JournalsB!D$14:D$920,TrialBalanceB!M57,JournalsB!J$14:J$920)+SUMIF(JournalsB!E$14:E$920,TrialBalanceB!M57,JournalsB!J$14:J$920)</f>
        <v>0</v>
      </c>
      <c r="H57" s="443"/>
      <c r="I57" s="447">
        <f t="shared" si="0"/>
        <v>0</v>
      </c>
      <c r="J57" s="84"/>
      <c r="K57" s="57">
        <f t="shared" si="1"/>
        <v>0</v>
      </c>
      <c r="M57" s="197" t="str">
        <f t="shared" si="2"/>
        <v>2100/093Motor vehicle expenses - Insurance</v>
      </c>
      <c r="N57" s="79"/>
      <c r="P57" s="80"/>
      <c r="Q57" s="60"/>
      <c r="R57" s="34"/>
    </row>
    <row r="58" spans="1:18" x14ac:dyDescent="0.2">
      <c r="A58" s="394"/>
      <c r="B58" s="63" t="s">
        <v>222</v>
      </c>
      <c r="C58" s="396" t="s">
        <v>990</v>
      </c>
      <c r="D58" s="428"/>
      <c r="E58" s="435"/>
      <c r="F58" s="88"/>
      <c r="G58" s="56">
        <f>SUMIF(JournalsB!D$14:D$920,TrialBalanceB!M58,JournalsB!J$14:J$920)+SUMIF(JournalsB!E$14:E$920,TrialBalanceB!M58,JournalsB!J$14:J$920)</f>
        <v>0</v>
      </c>
      <c r="H58" s="443"/>
      <c r="I58" s="447">
        <f t="shared" si="0"/>
        <v>0</v>
      </c>
      <c r="J58" s="84"/>
      <c r="K58" s="57">
        <f t="shared" si="1"/>
        <v>0</v>
      </c>
      <c r="M58" s="197" t="str">
        <f t="shared" si="2"/>
        <v>2100/094Motor vehicle expenses - Licenses</v>
      </c>
      <c r="N58" s="79"/>
      <c r="P58" s="80"/>
      <c r="Q58" s="60"/>
      <c r="R58" s="34"/>
    </row>
    <row r="59" spans="1:18" x14ac:dyDescent="0.2">
      <c r="A59" s="394"/>
      <c r="B59" s="63" t="s">
        <v>223</v>
      </c>
      <c r="C59" s="398" t="s">
        <v>991</v>
      </c>
      <c r="D59" s="436"/>
      <c r="E59" s="435"/>
      <c r="F59" s="88"/>
      <c r="G59" s="56">
        <f>SUMIF(JournalsB!D$14:D$920,TrialBalanceB!M59,JournalsB!J$14:J$920)+SUMIF(JournalsB!E$14:E$920,TrialBalanceB!M59,JournalsB!J$14:J$920)</f>
        <v>0</v>
      </c>
      <c r="H59" s="443"/>
      <c r="I59" s="447">
        <f t="shared" si="0"/>
        <v>0</v>
      </c>
      <c r="J59" s="84"/>
      <c r="K59" s="57">
        <f t="shared" si="1"/>
        <v>0</v>
      </c>
      <c r="M59" s="197" t="str">
        <f t="shared" si="2"/>
        <v>2100/095Motor vehicle expenses - General</v>
      </c>
      <c r="N59" s="79"/>
      <c r="P59" s="80"/>
      <c r="Q59" s="60"/>
      <c r="R59" s="34"/>
    </row>
    <row r="60" spans="1:18" x14ac:dyDescent="0.2">
      <c r="A60" s="394"/>
      <c r="B60" s="63" t="s">
        <v>224</v>
      </c>
      <c r="C60" s="397" t="s">
        <v>225</v>
      </c>
      <c r="D60" s="437"/>
      <c r="E60" s="435"/>
      <c r="F60" s="88"/>
      <c r="G60" s="56">
        <f>SUMIF(JournalsB!D$14:D$920,TrialBalanceB!M60,JournalsB!J$14:J$920)+SUMIF(JournalsB!E$14:E$920,TrialBalanceB!M60,JournalsB!J$14:J$920)</f>
        <v>0</v>
      </c>
      <c r="H60" s="443"/>
      <c r="I60" s="447">
        <f t="shared" si="0"/>
        <v>0</v>
      </c>
      <c r="J60" s="84"/>
      <c r="K60" s="57">
        <f t="shared" si="1"/>
        <v>0</v>
      </c>
      <c r="M60" s="197" t="str">
        <f t="shared" si="2"/>
        <v>2100/100Rent paid-------------------------------</v>
      </c>
      <c r="N60" s="79"/>
      <c r="P60" s="80"/>
      <c r="Q60" s="60"/>
      <c r="R60" s="34"/>
    </row>
    <row r="61" spans="1:18" x14ac:dyDescent="0.2">
      <c r="A61" s="394"/>
      <c r="B61" s="63" t="s">
        <v>226</v>
      </c>
      <c r="C61" s="430"/>
      <c r="D61" s="428"/>
      <c r="E61" s="435"/>
      <c r="F61" s="88"/>
      <c r="G61" s="56">
        <f>SUMIF(JournalsB!D$14:D$920,TrialBalanceB!M61,JournalsB!J$14:J$920)+SUMIF(JournalsB!E$14:E$920,TrialBalanceB!M61,JournalsB!J$14:J$920)</f>
        <v>0</v>
      </c>
      <c r="H61" s="443"/>
      <c r="I61" s="447">
        <f t="shared" si="0"/>
        <v>0</v>
      </c>
      <c r="J61" s="84"/>
      <c r="K61" s="57">
        <f t="shared" si="1"/>
        <v>0</v>
      </c>
      <c r="M61" s="197" t="str">
        <f t="shared" si="2"/>
        <v>2100/101</v>
      </c>
      <c r="N61" s="79"/>
      <c r="P61" s="80"/>
      <c r="Q61" s="60"/>
      <c r="R61" s="34"/>
    </row>
    <row r="62" spans="1:18" x14ac:dyDescent="0.2">
      <c r="A62" s="394"/>
      <c r="B62" s="63" t="s">
        <v>227</v>
      </c>
      <c r="C62" s="431"/>
      <c r="D62" s="428"/>
      <c r="E62" s="435"/>
      <c r="F62" s="88"/>
      <c r="G62" s="56">
        <f>SUMIF(JournalsB!D$14:D$920,TrialBalanceB!M62,JournalsB!J$14:J$920)+SUMIF(JournalsB!E$14:E$920,TrialBalanceB!M62,JournalsB!J$14:J$920)</f>
        <v>0</v>
      </c>
      <c r="H62" s="443"/>
      <c r="I62" s="447">
        <f t="shared" si="0"/>
        <v>0</v>
      </c>
      <c r="J62" s="84"/>
      <c r="K62" s="57">
        <f t="shared" si="1"/>
        <v>0</v>
      </c>
      <c r="M62" s="197" t="str">
        <f t="shared" si="2"/>
        <v>2100/102</v>
      </c>
      <c r="N62" s="79"/>
      <c r="P62" s="80"/>
      <c r="Q62" s="60"/>
      <c r="R62" s="34"/>
    </row>
    <row r="63" spans="1:18" x14ac:dyDescent="0.2">
      <c r="A63" s="394"/>
      <c r="B63" s="63" t="s">
        <v>228</v>
      </c>
      <c r="C63" s="431"/>
      <c r="D63" s="428"/>
      <c r="E63" s="435"/>
      <c r="F63" s="88"/>
      <c r="G63" s="56">
        <f>SUMIF(JournalsB!D$14:D$920,TrialBalanceB!M63,JournalsB!J$14:J$920)+SUMIF(JournalsB!E$14:E$920,TrialBalanceB!M63,JournalsB!J$14:J$920)</f>
        <v>0</v>
      </c>
      <c r="H63" s="443"/>
      <c r="I63" s="447">
        <f t="shared" si="0"/>
        <v>0</v>
      </c>
      <c r="J63" s="84"/>
      <c r="K63" s="57">
        <f t="shared" si="1"/>
        <v>0</v>
      </c>
      <c r="M63" s="197" t="str">
        <f t="shared" si="2"/>
        <v>2100/103</v>
      </c>
      <c r="N63" s="79"/>
      <c r="P63" s="80"/>
      <c r="Q63" s="60"/>
      <c r="R63" s="34"/>
    </row>
    <row r="64" spans="1:18" x14ac:dyDescent="0.2">
      <c r="A64" s="394"/>
      <c r="B64" s="63" t="s">
        <v>229</v>
      </c>
      <c r="C64" s="395" t="s">
        <v>82</v>
      </c>
      <c r="D64" s="436"/>
      <c r="E64" s="435"/>
      <c r="F64" s="88"/>
      <c r="G64" s="56">
        <f>SUMIF(JournalsB!D$14:D$920,TrialBalanceB!M64,JournalsB!J$14:J$920)+SUMIF(JournalsB!E$14:E$920,TrialBalanceB!M64,JournalsB!J$14:J$920)</f>
        <v>0</v>
      </c>
      <c r="H64" s="443"/>
      <c r="I64" s="447">
        <f t="shared" si="0"/>
        <v>0</v>
      </c>
      <c r="J64" s="84"/>
      <c r="K64" s="57">
        <f t="shared" si="1"/>
        <v>0</v>
      </c>
      <c r="M64" s="197" t="str">
        <f t="shared" si="2"/>
        <v>2100/110Repairs and maintenance</v>
      </c>
      <c r="N64" s="79"/>
      <c r="P64" s="80"/>
      <c r="Q64" s="60"/>
      <c r="R64" s="34"/>
    </row>
    <row r="65" spans="1:18" x14ac:dyDescent="0.2">
      <c r="A65" s="394"/>
      <c r="B65" s="63" t="s">
        <v>83</v>
      </c>
      <c r="C65" s="395" t="s">
        <v>84</v>
      </c>
      <c r="D65" s="436"/>
      <c r="E65" s="435"/>
      <c r="F65" s="88"/>
      <c r="G65" s="56">
        <f>SUMIF(JournalsB!D$14:D$920,TrialBalanceB!M65,JournalsB!J$14:J$920)+SUMIF(JournalsB!E$14:E$920,TrialBalanceB!M65,JournalsB!J$14:J$920)</f>
        <v>0</v>
      </c>
      <c r="H65" s="443"/>
      <c r="I65" s="447">
        <f t="shared" si="0"/>
        <v>0</v>
      </c>
      <c r="J65" s="84"/>
      <c r="K65" s="57">
        <f t="shared" si="1"/>
        <v>0</v>
      </c>
      <c r="M65" s="197" t="str">
        <f t="shared" si="2"/>
        <v>2100/120Salaries</v>
      </c>
      <c r="N65" s="79"/>
      <c r="P65" s="80"/>
      <c r="Q65" s="60"/>
      <c r="R65" s="34"/>
    </row>
    <row r="66" spans="1:18" x14ac:dyDescent="0.2">
      <c r="A66" s="394"/>
      <c r="B66" s="63" t="s">
        <v>85</v>
      </c>
      <c r="C66" s="395" t="s">
        <v>86</v>
      </c>
      <c r="D66" s="436"/>
      <c r="E66" s="435"/>
      <c r="F66" s="88"/>
      <c r="G66" s="56">
        <f>SUMIF(JournalsB!D$14:D$920,TrialBalanceB!M66,JournalsB!J$14:J$920)+SUMIF(JournalsB!E$14:E$920,TrialBalanceB!M66,JournalsB!J$14:J$920)</f>
        <v>0</v>
      </c>
      <c r="H66" s="443"/>
      <c r="I66" s="447">
        <f t="shared" si="0"/>
        <v>0</v>
      </c>
      <c r="J66" s="84"/>
      <c r="K66" s="57">
        <f t="shared" si="1"/>
        <v>0</v>
      </c>
      <c r="M66" s="197" t="str">
        <f t="shared" si="2"/>
        <v>2100/121UIF - Employer</v>
      </c>
      <c r="N66" s="79"/>
      <c r="P66" s="80"/>
      <c r="Q66" s="60"/>
      <c r="R66" s="34"/>
    </row>
    <row r="67" spans="1:18" x14ac:dyDescent="0.2">
      <c r="A67" s="394"/>
      <c r="B67" s="63" t="s">
        <v>87</v>
      </c>
      <c r="C67" s="395" t="s">
        <v>88</v>
      </c>
      <c r="D67" s="436"/>
      <c r="E67" s="435"/>
      <c r="F67" s="88"/>
      <c r="G67" s="56">
        <f>SUMIF(JournalsB!D$14:D$920,TrialBalanceB!M67,JournalsB!J$14:J$920)+SUMIF(JournalsB!E$14:E$920,TrialBalanceB!M67,JournalsB!J$14:J$920)</f>
        <v>0</v>
      </c>
      <c r="H67" s="443"/>
      <c r="I67" s="447">
        <f t="shared" si="0"/>
        <v>0</v>
      </c>
      <c r="J67" s="84"/>
      <c r="K67" s="57">
        <f t="shared" si="1"/>
        <v>0</v>
      </c>
      <c r="M67" s="197" t="str">
        <f t="shared" si="2"/>
        <v>2100/122Casual wages</v>
      </c>
      <c r="N67" s="79"/>
      <c r="P67" s="80"/>
      <c r="Q67" s="60"/>
      <c r="R67" s="34"/>
    </row>
    <row r="68" spans="1:18" x14ac:dyDescent="0.2">
      <c r="A68" s="394"/>
      <c r="B68" s="63" t="s">
        <v>89</v>
      </c>
      <c r="C68" s="395" t="s">
        <v>90</v>
      </c>
      <c r="D68" s="436"/>
      <c r="E68" s="435"/>
      <c r="F68" s="88"/>
      <c r="G68" s="56">
        <f>SUMIF(JournalsB!D$14:D$920,TrialBalanceB!M68,JournalsB!J$14:J$920)+SUMIF(JournalsB!E$14:E$920,TrialBalanceB!M68,JournalsB!J$14:J$920)</f>
        <v>0</v>
      </c>
      <c r="H68" s="443"/>
      <c r="I68" s="447">
        <f t="shared" si="0"/>
        <v>0</v>
      </c>
      <c r="J68" s="84"/>
      <c r="K68" s="57">
        <f t="shared" si="1"/>
        <v>0</v>
      </c>
      <c r="M68" s="197" t="str">
        <f t="shared" si="2"/>
        <v>2100/130Telephone</v>
      </c>
      <c r="N68" s="79"/>
      <c r="P68" s="80"/>
      <c r="Q68" s="60"/>
      <c r="R68" s="34"/>
    </row>
    <row r="69" spans="1:18" x14ac:dyDescent="0.2">
      <c r="A69" s="394"/>
      <c r="B69" s="63" t="s">
        <v>91</v>
      </c>
      <c r="C69" s="395" t="s">
        <v>557</v>
      </c>
      <c r="D69" s="436"/>
      <c r="E69" s="435"/>
      <c r="F69" s="88"/>
      <c r="G69" s="56">
        <f>SUMIF(JournalsB!D$14:D$920,TrialBalanceB!M69,JournalsB!J$14:J$920)+SUMIF(JournalsB!E$14:E$920,TrialBalanceB!M69,JournalsB!J$14:J$920)</f>
        <v>0</v>
      </c>
      <c r="H69" s="443"/>
      <c r="I69" s="447">
        <f t="shared" si="0"/>
        <v>0</v>
      </c>
      <c r="J69" s="84"/>
      <c r="K69" s="57">
        <f t="shared" si="1"/>
        <v>0</v>
      </c>
      <c r="M69" s="197" t="str">
        <f t="shared" si="2"/>
        <v>2100/135Postage and courier</v>
      </c>
      <c r="N69" s="79"/>
      <c r="P69" s="80"/>
      <c r="Q69" s="60"/>
      <c r="R69" s="34"/>
    </row>
    <row r="70" spans="1:18" x14ac:dyDescent="0.2">
      <c r="A70" s="394"/>
      <c r="B70" s="63" t="s">
        <v>92</v>
      </c>
      <c r="C70" s="395" t="s">
        <v>310</v>
      </c>
      <c r="D70" s="436"/>
      <c r="E70" s="435"/>
      <c r="F70" s="88"/>
      <c r="G70" s="56">
        <f>SUMIF(JournalsB!D$14:D$920,TrialBalanceB!M70,JournalsB!J$14:J$920)+SUMIF(JournalsB!E$14:E$920,TrialBalanceB!M70,JournalsB!J$14:J$920)</f>
        <v>0</v>
      </c>
      <c r="H70" s="443"/>
      <c r="I70" s="447">
        <f t="shared" si="0"/>
        <v>0</v>
      </c>
      <c r="J70" s="84"/>
      <c r="K70" s="57">
        <f t="shared" si="1"/>
        <v>0</v>
      </c>
      <c r="M70" s="197" t="str">
        <f t="shared" si="2"/>
        <v>2100/140Training</v>
      </c>
      <c r="N70" s="79"/>
      <c r="P70" s="80"/>
      <c r="Q70" s="60"/>
      <c r="R70" s="34"/>
    </row>
    <row r="71" spans="1:18" x14ac:dyDescent="0.2">
      <c r="A71" s="394"/>
      <c r="B71" s="63" t="s">
        <v>93</v>
      </c>
      <c r="C71" s="396" t="s">
        <v>1039</v>
      </c>
      <c r="D71" s="428"/>
      <c r="E71" s="435"/>
      <c r="F71" s="88"/>
      <c r="G71" s="56">
        <f>SUMIF(JournalsB!D$14:D$920,TrialBalanceB!M71,JournalsB!J$14:J$920)+SUMIF(JournalsB!E$14:E$920,TrialBalanceB!M71,JournalsB!J$14:J$920)</f>
        <v>0</v>
      </c>
      <c r="H71" s="443"/>
      <c r="I71" s="447">
        <f t="shared" si="0"/>
        <v>0</v>
      </c>
      <c r="J71" s="84"/>
      <c r="K71" s="57">
        <f t="shared" si="1"/>
        <v>0</v>
      </c>
      <c r="M71" s="197" t="str">
        <f t="shared" si="2"/>
        <v>2100/150Traveling and accommodation</v>
      </c>
      <c r="N71" s="79"/>
      <c r="P71" s="80"/>
      <c r="Q71" s="60"/>
      <c r="R71" s="34"/>
    </row>
    <row r="72" spans="1:18" x14ac:dyDescent="0.2">
      <c r="A72" s="394"/>
      <c r="B72" s="114" t="s">
        <v>728</v>
      </c>
      <c r="C72" s="430"/>
      <c r="D72" s="435"/>
      <c r="E72" s="435"/>
      <c r="F72" s="88"/>
      <c r="G72" s="56">
        <f>SUMIF(JournalsB!D$14:D$920,TrialBalanceB!M72,JournalsB!J$14:J$920)+SUMIF(JournalsB!E$14:E$920,TrialBalanceB!M72,JournalsB!J$14:J$920)</f>
        <v>0</v>
      </c>
      <c r="H72" s="443"/>
      <c r="I72" s="447">
        <f t="shared" si="0"/>
        <v>0</v>
      </c>
      <c r="J72" s="84"/>
      <c r="K72" s="57">
        <f t="shared" si="1"/>
        <v>0</v>
      </c>
      <c r="M72" s="197" t="str">
        <f t="shared" si="2"/>
        <v>2150/001</v>
      </c>
      <c r="N72" s="79"/>
      <c r="P72" s="80"/>
      <c r="Q72" s="60"/>
      <c r="R72" s="34"/>
    </row>
    <row r="73" spans="1:18" x14ac:dyDescent="0.2">
      <c r="A73" s="394"/>
      <c r="B73" s="114" t="s">
        <v>729</v>
      </c>
      <c r="C73" s="430"/>
      <c r="D73" s="435"/>
      <c r="E73" s="435"/>
      <c r="F73" s="88"/>
      <c r="G73" s="56">
        <f>SUMIF(JournalsB!D$14:D$920,TrialBalanceB!M73,JournalsB!J$14:J$920)+SUMIF(JournalsB!E$14:E$920,TrialBalanceB!M73,JournalsB!J$14:J$920)</f>
        <v>0</v>
      </c>
      <c r="H73" s="443"/>
      <c r="I73" s="447">
        <f t="shared" ref="I73:I101" si="9">ROUND(D73-E73+G73+F73,0)</f>
        <v>0</v>
      </c>
      <c r="J73" s="84"/>
      <c r="K73" s="57">
        <f t="shared" ref="K73:K136" si="10">ROUND(SUM(A73),0)</f>
        <v>0</v>
      </c>
      <c r="M73" s="197" t="str">
        <f t="shared" ref="M73:M136" si="11">CONCATENATE(B73,C73)</f>
        <v>2150/002</v>
      </c>
      <c r="N73" s="79"/>
      <c r="P73" s="80"/>
      <c r="Q73" s="60"/>
      <c r="R73" s="34"/>
    </row>
    <row r="74" spans="1:18" x14ac:dyDescent="0.2">
      <c r="A74" s="394"/>
      <c r="B74" s="114" t="s">
        <v>730</v>
      </c>
      <c r="C74" s="430"/>
      <c r="D74" s="435"/>
      <c r="E74" s="435"/>
      <c r="F74" s="88"/>
      <c r="G74" s="56">
        <f>SUMIF(JournalsB!D$14:D$920,TrialBalanceB!M74,JournalsB!J$14:J$920)+SUMIF(JournalsB!E$14:E$920,TrialBalanceB!M74,JournalsB!J$14:J$920)</f>
        <v>0</v>
      </c>
      <c r="H74" s="443"/>
      <c r="I74" s="447">
        <f t="shared" si="9"/>
        <v>0</v>
      </c>
      <c r="J74" s="84"/>
      <c r="K74" s="57">
        <f t="shared" si="10"/>
        <v>0</v>
      </c>
      <c r="M74" s="197" t="str">
        <f t="shared" si="11"/>
        <v>2150/003</v>
      </c>
      <c r="N74" s="79"/>
      <c r="P74" s="80"/>
      <c r="Q74" s="60"/>
      <c r="R74" s="34"/>
    </row>
    <row r="75" spans="1:18" x14ac:dyDescent="0.2">
      <c r="A75" s="394"/>
      <c r="B75" s="114" t="s">
        <v>731</v>
      </c>
      <c r="C75" s="430"/>
      <c r="D75" s="435"/>
      <c r="E75" s="435"/>
      <c r="F75" s="88"/>
      <c r="G75" s="56">
        <f>SUMIF(JournalsB!D$14:D$920,TrialBalanceB!M75,JournalsB!J$14:J$920)+SUMIF(JournalsB!E$14:E$920,TrialBalanceB!M75,JournalsB!J$14:J$920)</f>
        <v>0</v>
      </c>
      <c r="H75" s="443"/>
      <c r="I75" s="447">
        <f t="shared" si="9"/>
        <v>0</v>
      </c>
      <c r="J75" s="84"/>
      <c r="K75" s="57">
        <f t="shared" si="10"/>
        <v>0</v>
      </c>
      <c r="M75" s="197" t="str">
        <f t="shared" si="11"/>
        <v>2150/004</v>
      </c>
      <c r="N75" s="79"/>
      <c r="P75" s="80"/>
      <c r="Q75" s="60"/>
      <c r="R75" s="34"/>
    </row>
    <row r="76" spans="1:18" x14ac:dyDescent="0.2">
      <c r="A76" s="394"/>
      <c r="B76" s="114" t="s">
        <v>732</v>
      </c>
      <c r="C76" s="430"/>
      <c r="D76" s="435"/>
      <c r="E76" s="435"/>
      <c r="F76" s="88"/>
      <c r="G76" s="56">
        <f>SUMIF(JournalsB!D$14:D$920,TrialBalanceB!M76,JournalsB!J$14:J$920)+SUMIF(JournalsB!E$14:E$920,TrialBalanceB!M76,JournalsB!J$14:J$920)</f>
        <v>0</v>
      </c>
      <c r="H76" s="443"/>
      <c r="I76" s="447">
        <f t="shared" si="9"/>
        <v>0</v>
      </c>
      <c r="J76" s="84"/>
      <c r="K76" s="57">
        <f t="shared" si="10"/>
        <v>0</v>
      </c>
      <c r="M76" s="197" t="str">
        <f t="shared" si="11"/>
        <v>2150/005</v>
      </c>
      <c r="N76" s="79"/>
      <c r="P76" s="80"/>
      <c r="Q76" s="60"/>
      <c r="R76" s="34"/>
    </row>
    <row r="77" spans="1:18" x14ac:dyDescent="0.2">
      <c r="A77" s="394"/>
      <c r="B77" s="114" t="s">
        <v>733</v>
      </c>
      <c r="C77" s="430"/>
      <c r="D77" s="440"/>
      <c r="E77" s="435"/>
      <c r="F77" s="88"/>
      <c r="G77" s="56">
        <f>SUMIF(JournalsB!D$14:D$920,TrialBalanceB!M77,JournalsB!J$14:J$920)+SUMIF(JournalsB!E$14:E$920,TrialBalanceB!M77,JournalsB!J$14:J$920)</f>
        <v>0</v>
      </c>
      <c r="H77" s="443"/>
      <c r="I77" s="447">
        <f t="shared" si="9"/>
        <v>0</v>
      </c>
      <c r="J77" s="84"/>
      <c r="K77" s="57">
        <f t="shared" si="10"/>
        <v>0</v>
      </c>
      <c r="M77" s="197" t="str">
        <f t="shared" si="11"/>
        <v>2150/006</v>
      </c>
      <c r="N77" s="79"/>
      <c r="P77" s="80"/>
      <c r="Q77" s="60"/>
      <c r="R77" s="34"/>
    </row>
    <row r="78" spans="1:18" x14ac:dyDescent="0.2">
      <c r="A78" s="394"/>
      <c r="B78" s="114" t="s">
        <v>734</v>
      </c>
      <c r="C78" s="432"/>
      <c r="D78" s="440"/>
      <c r="E78" s="435"/>
      <c r="F78" s="88"/>
      <c r="G78" s="56">
        <f>SUMIF(JournalsB!D$14:D$920,TrialBalanceB!M78,JournalsB!J$14:J$920)+SUMIF(JournalsB!E$14:E$920,TrialBalanceB!M78,JournalsB!J$14:J$920)</f>
        <v>0</v>
      </c>
      <c r="H78" s="443"/>
      <c r="I78" s="447">
        <f t="shared" si="9"/>
        <v>0</v>
      </c>
      <c r="J78" s="84"/>
      <c r="K78" s="57">
        <f t="shared" si="10"/>
        <v>0</v>
      </c>
      <c r="M78" s="197" t="str">
        <f t="shared" si="11"/>
        <v>2150/007</v>
      </c>
      <c r="N78" s="79"/>
      <c r="P78" s="80"/>
      <c r="Q78" s="60"/>
      <c r="R78" s="34"/>
    </row>
    <row r="79" spans="1:18" x14ac:dyDescent="0.2">
      <c r="A79" s="394"/>
      <c r="B79" s="114" t="s">
        <v>735</v>
      </c>
      <c r="C79" s="432"/>
      <c r="D79" s="435"/>
      <c r="E79" s="435"/>
      <c r="F79" s="88"/>
      <c r="G79" s="56">
        <f>SUMIF(JournalsB!D$14:D$920,TrialBalanceB!M79,JournalsB!J$14:J$920)+SUMIF(JournalsB!E$14:E$920,TrialBalanceB!M79,JournalsB!J$14:J$920)</f>
        <v>0</v>
      </c>
      <c r="H79" s="443"/>
      <c r="I79" s="447">
        <f t="shared" si="9"/>
        <v>0</v>
      </c>
      <c r="J79" s="84"/>
      <c r="K79" s="57">
        <f t="shared" si="10"/>
        <v>0</v>
      </c>
      <c r="M79" s="197" t="str">
        <f t="shared" si="11"/>
        <v>2150/008</v>
      </c>
      <c r="N79" s="79"/>
      <c r="P79" s="80"/>
      <c r="Q79" s="60"/>
      <c r="R79" s="34"/>
    </row>
    <row r="80" spans="1:18" x14ac:dyDescent="0.2">
      <c r="A80" s="394"/>
      <c r="B80" s="114" t="s">
        <v>736</v>
      </c>
      <c r="C80" s="430"/>
      <c r="D80" s="435"/>
      <c r="E80" s="435"/>
      <c r="F80" s="88"/>
      <c r="G80" s="56">
        <f>SUMIF(JournalsB!D$14:D$920,TrialBalanceB!M80,JournalsB!J$14:J$920)+SUMIF(JournalsB!E$14:E$920,TrialBalanceB!M80,JournalsB!J$14:J$920)</f>
        <v>0</v>
      </c>
      <c r="H80" s="443"/>
      <c r="I80" s="447">
        <f t="shared" si="9"/>
        <v>0</v>
      </c>
      <c r="J80" s="84"/>
      <c r="K80" s="57">
        <f t="shared" si="10"/>
        <v>0</v>
      </c>
      <c r="M80" s="197" t="str">
        <f t="shared" si="11"/>
        <v>2150/009</v>
      </c>
      <c r="N80" s="79"/>
      <c r="P80" s="80"/>
      <c r="Q80" s="60"/>
      <c r="R80" s="34"/>
    </row>
    <row r="81" spans="1:18" x14ac:dyDescent="0.2">
      <c r="A81" s="394"/>
      <c r="B81" s="114" t="s">
        <v>737</v>
      </c>
      <c r="C81" s="430"/>
      <c r="D81" s="435"/>
      <c r="E81" s="435"/>
      <c r="F81" s="88"/>
      <c r="G81" s="56">
        <f>SUMIF(JournalsB!D$14:D$920,TrialBalanceB!M81,JournalsB!J$14:J$920)+SUMIF(JournalsB!E$14:E$920,TrialBalanceB!M81,JournalsB!J$14:J$920)</f>
        <v>0</v>
      </c>
      <c r="H81" s="443"/>
      <c r="I81" s="447">
        <f t="shared" si="9"/>
        <v>0</v>
      </c>
      <c r="J81" s="84"/>
      <c r="K81" s="57">
        <f t="shared" si="10"/>
        <v>0</v>
      </c>
      <c r="M81" s="197" t="str">
        <f t="shared" si="11"/>
        <v>2150/010</v>
      </c>
      <c r="N81" s="79"/>
      <c r="P81" s="80"/>
      <c r="Q81" s="60"/>
      <c r="R81" s="34"/>
    </row>
    <row r="82" spans="1:18" x14ac:dyDescent="0.2">
      <c r="A82" s="394"/>
      <c r="B82" s="63" t="s">
        <v>22</v>
      </c>
      <c r="C82" s="397" t="s">
        <v>139</v>
      </c>
      <c r="D82" s="437"/>
      <c r="E82" s="435"/>
      <c r="F82" s="88"/>
      <c r="G82" s="56">
        <f>SUMIF(JournalsB!D$14:D$920,TrialBalanceB!M82,JournalsB!J$14:J$920)+SUMIF(JournalsB!E$14:E$920,TrialBalanceB!M82,JournalsB!J$14:J$920)</f>
        <v>0</v>
      </c>
      <c r="H82" s="443"/>
      <c r="I82" s="447">
        <f t="shared" si="9"/>
        <v>0</v>
      </c>
      <c r="J82" s="84"/>
      <c r="K82" s="57">
        <f t="shared" si="10"/>
        <v>0</v>
      </c>
      <c r="M82" s="197" t="str">
        <f t="shared" si="11"/>
        <v>2500/000OTHER INCOME</v>
      </c>
      <c r="N82" s="79"/>
      <c r="P82" s="80"/>
      <c r="Q82" s="60"/>
      <c r="R82" s="34"/>
    </row>
    <row r="83" spans="1:18" x14ac:dyDescent="0.2">
      <c r="A83" s="394"/>
      <c r="B83" s="63" t="s">
        <v>432</v>
      </c>
      <c r="C83" s="396" t="s">
        <v>992</v>
      </c>
      <c r="D83" s="428"/>
      <c r="E83" s="435"/>
      <c r="F83" s="88"/>
      <c r="G83" s="56">
        <f>SUMIF(JournalsB!D$14:D$920,TrialBalanceB!M83,JournalsB!J$14:J$920)+SUMIF(JournalsB!E$14:E$920,TrialBalanceB!M83,JournalsB!J$14:J$920)</f>
        <v>0</v>
      </c>
      <c r="H83" s="443"/>
      <c r="I83" s="447">
        <f t="shared" si="9"/>
        <v>0</v>
      </c>
      <c r="J83" s="84"/>
      <c r="K83" s="57">
        <f t="shared" si="10"/>
        <v>0</v>
      </c>
      <c r="M83" s="197" t="str">
        <f t="shared" si="11"/>
        <v>2710/000Rent received (not main income)</v>
      </c>
      <c r="N83" s="79"/>
      <c r="P83" s="80"/>
      <c r="Q83" s="60"/>
      <c r="R83" s="34"/>
    </row>
    <row r="84" spans="1:18" x14ac:dyDescent="0.2">
      <c r="A84" s="394"/>
      <c r="B84" s="63" t="s">
        <v>94</v>
      </c>
      <c r="C84" s="397" t="s">
        <v>998</v>
      </c>
      <c r="D84" s="437"/>
      <c r="E84" s="435"/>
      <c r="F84" s="88"/>
      <c r="G84" s="56">
        <f>SUMIF(JournalsB!D$14:D$920,TrialBalanceB!M84,JournalsB!J$14:J$920)+SUMIF(JournalsB!E$14:E$920,TrialBalanceB!M84,JournalsB!J$14:J$920)</f>
        <v>0</v>
      </c>
      <c r="H84" s="443"/>
      <c r="I84" s="447">
        <f t="shared" si="9"/>
        <v>0</v>
      </c>
      <c r="J84" s="84"/>
      <c r="K84" s="57">
        <f t="shared" si="10"/>
        <v>0</v>
      </c>
      <c r="M84" s="197" t="str">
        <f t="shared" si="11"/>
        <v>2750/000Interest received-----------------------</v>
      </c>
      <c r="N84" s="79"/>
      <c r="P84" s="80"/>
      <c r="Q84" s="60"/>
      <c r="R84" s="34"/>
    </row>
    <row r="85" spans="1:18" x14ac:dyDescent="0.2">
      <c r="A85" s="394"/>
      <c r="B85" s="63" t="s">
        <v>95</v>
      </c>
      <c r="C85" s="430"/>
      <c r="D85" s="435"/>
      <c r="E85" s="435"/>
      <c r="F85" s="88"/>
      <c r="G85" s="56">
        <f>SUMIF(JournalsB!D$14:D$920,TrialBalanceB!M85,JournalsB!J$14:J$920)+SUMIF(JournalsB!E$14:E$920,TrialBalanceB!M85,JournalsB!J$14:J$920)</f>
        <v>0</v>
      </c>
      <c r="H85" s="443"/>
      <c r="I85" s="447">
        <f t="shared" si="9"/>
        <v>0</v>
      </c>
      <c r="J85" s="84"/>
      <c r="K85" s="57">
        <f t="shared" si="10"/>
        <v>0</v>
      </c>
      <c r="M85" s="197" t="str">
        <f t="shared" si="11"/>
        <v>2750/001</v>
      </c>
      <c r="N85" s="79"/>
      <c r="P85" s="80"/>
      <c r="Q85" s="60"/>
      <c r="R85" s="34"/>
    </row>
    <row r="86" spans="1:18" x14ac:dyDescent="0.2">
      <c r="A86" s="394"/>
      <c r="B86" s="63" t="s">
        <v>96</v>
      </c>
      <c r="C86" s="432"/>
      <c r="D86" s="440"/>
      <c r="E86" s="435"/>
      <c r="F86" s="88"/>
      <c r="G86" s="56">
        <f>SUMIF(JournalsB!D$14:D$920,TrialBalanceB!M86,JournalsB!J$14:J$920)+SUMIF(JournalsB!E$14:E$920,TrialBalanceB!M86,JournalsB!J$14:J$920)</f>
        <v>0</v>
      </c>
      <c r="H86" s="443"/>
      <c r="I86" s="447">
        <f t="shared" si="9"/>
        <v>0</v>
      </c>
      <c r="J86" s="84"/>
      <c r="K86" s="57">
        <f t="shared" si="10"/>
        <v>0</v>
      </c>
      <c r="M86" s="197" t="str">
        <f t="shared" si="11"/>
        <v>2750/002</v>
      </c>
      <c r="N86" s="79"/>
      <c r="P86" s="80"/>
      <c r="Q86" s="60"/>
      <c r="R86" s="34"/>
    </row>
    <row r="87" spans="1:18" x14ac:dyDescent="0.2">
      <c r="A87" s="394"/>
      <c r="B87" s="63" t="s">
        <v>97</v>
      </c>
      <c r="C87" s="433"/>
      <c r="D87" s="436"/>
      <c r="E87" s="435"/>
      <c r="F87" s="88"/>
      <c r="G87" s="56">
        <f>SUMIF(JournalsB!D$14:D$920,TrialBalanceB!M87,JournalsB!J$14:J$920)+SUMIF(JournalsB!E$14:E$920,TrialBalanceB!M87,JournalsB!J$14:J$920)</f>
        <v>0</v>
      </c>
      <c r="H87" s="443"/>
      <c r="I87" s="447">
        <f t="shared" si="9"/>
        <v>0</v>
      </c>
      <c r="J87" s="84"/>
      <c r="K87" s="57">
        <f t="shared" si="10"/>
        <v>0</v>
      </c>
      <c r="M87" s="197" t="str">
        <f t="shared" si="11"/>
        <v>2750/003</v>
      </c>
      <c r="N87" s="79"/>
      <c r="P87" s="80"/>
      <c r="Q87" s="60"/>
      <c r="R87" s="34"/>
    </row>
    <row r="88" spans="1:18" x14ac:dyDescent="0.2">
      <c r="A88" s="394"/>
      <c r="B88" s="63" t="s">
        <v>98</v>
      </c>
      <c r="C88" s="433"/>
      <c r="D88" s="436"/>
      <c r="E88" s="435"/>
      <c r="F88" s="88"/>
      <c r="G88" s="56">
        <f>SUMIF(JournalsB!D$14:D$920,TrialBalanceB!M88,JournalsB!J$14:J$920)+SUMIF(JournalsB!E$14:E$920,TrialBalanceB!M88,JournalsB!J$14:J$920)</f>
        <v>0</v>
      </c>
      <c r="H88" s="443"/>
      <c r="I88" s="447">
        <f t="shared" si="9"/>
        <v>0</v>
      </c>
      <c r="J88" s="84"/>
      <c r="K88" s="57">
        <f t="shared" si="10"/>
        <v>0</v>
      </c>
      <c r="M88" s="197" t="str">
        <f t="shared" si="11"/>
        <v>2750/004</v>
      </c>
      <c r="N88" s="79"/>
      <c r="P88" s="80"/>
      <c r="Q88" s="60"/>
      <c r="R88" s="34"/>
    </row>
    <row r="89" spans="1:18" x14ac:dyDescent="0.2">
      <c r="A89" s="394"/>
      <c r="B89" s="63" t="s">
        <v>230</v>
      </c>
      <c r="C89" s="397" t="s">
        <v>361</v>
      </c>
      <c r="D89" s="437"/>
      <c r="E89" s="435"/>
      <c r="F89" s="88"/>
      <c r="G89" s="56">
        <f>SUMIF(JournalsB!D$14:D$920,TrialBalanceB!M89,JournalsB!J$14:J$920)+SUMIF(JournalsB!E$14:E$920,TrialBalanceB!M89,JournalsB!J$14:J$920)</f>
        <v>0</v>
      </c>
      <c r="H89" s="443"/>
      <c r="I89" s="447">
        <f t="shared" si="9"/>
        <v>0</v>
      </c>
      <c r="J89" s="84"/>
      <c r="K89" s="57">
        <f t="shared" si="10"/>
        <v>0</v>
      </c>
      <c r="M89" s="197" t="str">
        <f t="shared" si="11"/>
        <v>2800/000Dividends received----------------------</v>
      </c>
      <c r="N89" s="79"/>
      <c r="P89" s="80"/>
      <c r="Q89" s="60"/>
      <c r="R89" s="34"/>
    </row>
    <row r="90" spans="1:18" x14ac:dyDescent="0.2">
      <c r="A90" s="394"/>
      <c r="B90" s="63" t="s">
        <v>362</v>
      </c>
      <c r="C90" s="398" t="s">
        <v>915</v>
      </c>
      <c r="D90" s="436"/>
      <c r="E90" s="435"/>
      <c r="F90" s="88"/>
      <c r="G90" s="56">
        <f>SUMIF(JournalsB!D$14:D$920,TrialBalanceB!M90,JournalsB!J$14:J$920)+SUMIF(JournalsB!E$14:E$920,TrialBalanceB!M90,JournalsB!J$14:J$920)</f>
        <v>0</v>
      </c>
      <c r="H90" s="443"/>
      <c r="I90" s="447">
        <f t="shared" si="9"/>
        <v>0</v>
      </c>
      <c r="J90" s="84"/>
      <c r="K90" s="57">
        <f t="shared" si="10"/>
        <v>0</v>
      </c>
      <c r="M90" s="197" t="str">
        <f t="shared" si="11"/>
        <v>2800/001Div.'s received - SA sources</v>
      </c>
      <c r="N90" s="79"/>
      <c r="P90" s="80"/>
      <c r="Q90" s="60"/>
      <c r="R90" s="34"/>
    </row>
    <row r="91" spans="1:18" x14ac:dyDescent="0.2">
      <c r="A91" s="394"/>
      <c r="B91" s="63" t="s">
        <v>240</v>
      </c>
      <c r="C91" s="398" t="s">
        <v>1320</v>
      </c>
      <c r="D91" s="436"/>
      <c r="E91" s="435"/>
      <c r="F91" s="88"/>
      <c r="G91" s="56">
        <f>SUMIF(JournalsB!D$14:D$920,TrialBalanceB!M91,JournalsB!J$14:J$920)+SUMIF(JournalsB!E$14:E$920,TrialBalanceB!M91,JournalsB!J$14:J$920)</f>
        <v>0</v>
      </c>
      <c r="H91" s="443"/>
      <c r="I91" s="447">
        <f t="shared" ref="I91" si="12">ROUND(D91-E91+G91+F91,0)</f>
        <v>0</v>
      </c>
      <c r="J91" s="84"/>
      <c r="K91" s="57">
        <f t="shared" ref="K91" si="13">ROUND(SUM(A91),0)</f>
        <v>0</v>
      </c>
      <c r="M91" s="197" t="str">
        <f t="shared" ref="M91" si="14">CONCATENATE(B91,C91)</f>
        <v>2800/002Div.'s received - Associates</v>
      </c>
      <c r="N91" s="79"/>
      <c r="P91" s="80"/>
      <c r="Q91" s="60"/>
      <c r="R91" s="34"/>
    </row>
    <row r="92" spans="1:18" x14ac:dyDescent="0.2">
      <c r="A92" s="394"/>
      <c r="B92" s="114" t="s">
        <v>1319</v>
      </c>
      <c r="C92" s="398" t="s">
        <v>916</v>
      </c>
      <c r="D92" s="436"/>
      <c r="E92" s="435"/>
      <c r="F92" s="88"/>
      <c r="G92" s="56">
        <f>SUMIF(JournalsB!D$14:D$920,TrialBalanceB!M92,JournalsB!J$14:J$920)+SUMIF(JournalsB!E$14:E$920,TrialBalanceB!M92,JournalsB!J$14:J$920)</f>
        <v>0</v>
      </c>
      <c r="H92" s="443"/>
      <c r="I92" s="447">
        <f t="shared" si="9"/>
        <v>0</v>
      </c>
      <c r="J92" s="84"/>
      <c r="K92" s="57">
        <f t="shared" si="10"/>
        <v>0</v>
      </c>
      <c r="M92" s="197" t="str">
        <f t="shared" si="11"/>
        <v>2800/003Div.'s received - Foreign div.'s</v>
      </c>
      <c r="N92" s="79"/>
      <c r="P92" s="80"/>
      <c r="Q92" s="60"/>
      <c r="R92" s="34"/>
    </row>
    <row r="93" spans="1:18" x14ac:dyDescent="0.2">
      <c r="A93" s="394"/>
      <c r="B93" s="63" t="s">
        <v>241</v>
      </c>
      <c r="C93" s="398" t="s">
        <v>776</v>
      </c>
      <c r="D93" s="438"/>
      <c r="E93" s="435"/>
      <c r="F93" s="88"/>
      <c r="G93" s="56">
        <f>SUMIF(JournalsB!D$14:D$920,TrialBalanceB!M93,JournalsB!J$14:J$920)+SUMIF(JournalsB!E$14:E$920,TrialBalanceB!M93,JournalsB!J$14:J$920)</f>
        <v>0</v>
      </c>
      <c r="H93" s="443"/>
      <c r="I93" s="447">
        <f t="shared" si="9"/>
        <v>0</v>
      </c>
      <c r="J93" s="84"/>
      <c r="K93" s="57">
        <f t="shared" si="10"/>
        <v>0</v>
      </c>
      <c r="M93" s="197" t="str">
        <f t="shared" si="11"/>
        <v>2810/000(Profit)/Loss on sale of fixed assets</v>
      </c>
      <c r="N93" s="79"/>
      <c r="P93" s="80"/>
      <c r="Q93" s="60"/>
      <c r="R93" s="34"/>
    </row>
    <row r="94" spans="1:18" x14ac:dyDescent="0.2">
      <c r="A94" s="394"/>
      <c r="B94" s="63" t="s">
        <v>242</v>
      </c>
      <c r="C94" s="395" t="s">
        <v>243</v>
      </c>
      <c r="D94" s="436"/>
      <c r="E94" s="435"/>
      <c r="F94" s="88"/>
      <c r="G94" s="56">
        <f>SUMIF(JournalsB!D$14:D$920,TrialBalanceB!M94,JournalsB!J$14:J$920)+SUMIF(JournalsB!E$14:E$920,TrialBalanceB!M94,JournalsB!J$14:J$920)</f>
        <v>0</v>
      </c>
      <c r="H94" s="443"/>
      <c r="I94" s="447">
        <f t="shared" si="9"/>
        <v>0</v>
      </c>
      <c r="J94" s="84"/>
      <c r="K94" s="57">
        <f t="shared" si="10"/>
        <v>0</v>
      </c>
      <c r="M94" s="197" t="str">
        <f t="shared" si="11"/>
        <v>2820/000Bad debts recovered</v>
      </c>
      <c r="N94" s="79"/>
      <c r="P94" s="80"/>
      <c r="Q94" s="60"/>
      <c r="R94" s="34"/>
    </row>
    <row r="95" spans="1:18" x14ac:dyDescent="0.2">
      <c r="A95" s="394"/>
      <c r="B95" s="63" t="s">
        <v>244</v>
      </c>
      <c r="C95" s="395" t="s">
        <v>245</v>
      </c>
      <c r="D95" s="436"/>
      <c r="E95" s="435"/>
      <c r="F95" s="88"/>
      <c r="G95" s="56">
        <f>SUMIF(JournalsB!D$14:D$920,TrialBalanceB!M95,JournalsB!J$14:J$920)+SUMIF(JournalsB!E$14:E$920,TrialBalanceB!M95,JournalsB!J$14:J$920)</f>
        <v>0</v>
      </c>
      <c r="H95" s="443"/>
      <c r="I95" s="447">
        <f t="shared" si="9"/>
        <v>0</v>
      </c>
      <c r="J95" s="84"/>
      <c r="K95" s="57">
        <f t="shared" si="10"/>
        <v>0</v>
      </c>
      <c r="M95" s="197" t="str">
        <f t="shared" si="11"/>
        <v>2830/000Other income</v>
      </c>
      <c r="N95" s="79"/>
      <c r="P95" s="60"/>
      <c r="Q95" s="60"/>
      <c r="R95" s="34"/>
    </row>
    <row r="96" spans="1:18" x14ac:dyDescent="0.2">
      <c r="A96" s="394"/>
      <c r="B96" s="114" t="s">
        <v>1546</v>
      </c>
      <c r="C96" s="398" t="s">
        <v>1547</v>
      </c>
      <c r="D96" s="436"/>
      <c r="E96" s="435"/>
      <c r="F96" s="88"/>
      <c r="G96" s="56">
        <f>SUMIF(JournalsB!D$14:D$920,TrialBalanceB!M96,JournalsB!J$14:J$920)+SUMIF(JournalsB!E$14:E$920,TrialBalanceB!M96,JournalsB!J$14:J$920)</f>
        <v>0</v>
      </c>
      <c r="H96" s="443"/>
      <c r="I96" s="447">
        <f t="shared" ref="I96" si="15">ROUND(D96-E96+G96+F96,0)</f>
        <v>0</v>
      </c>
      <c r="J96" s="84"/>
      <c r="K96" s="57">
        <f t="shared" ref="K96" si="16">ROUND(SUM(A96),0)</f>
        <v>0</v>
      </c>
      <c r="M96" s="197" t="str">
        <f t="shared" ref="M96" si="17">CONCATENATE(B96,C96)</f>
        <v>2840/000Revaluation of investment property</v>
      </c>
      <c r="N96" s="79"/>
      <c r="P96" s="60"/>
      <c r="Q96" s="60"/>
      <c r="R96" s="34"/>
    </row>
    <row r="97" spans="1:18" x14ac:dyDescent="0.2">
      <c r="A97" s="394"/>
      <c r="B97" s="63" t="s">
        <v>246</v>
      </c>
      <c r="C97" s="397" t="s">
        <v>1304</v>
      </c>
      <c r="D97" s="437"/>
      <c r="E97" s="435"/>
      <c r="F97" s="88"/>
      <c r="G97" s="56">
        <f>SUMIF(JournalsB!D$14:D$920,TrialBalanceB!M97,JournalsB!J$14:J$920)+SUMIF(JournalsB!E$14:E$920,TrialBalanceB!M97,JournalsB!J$14:J$920)</f>
        <v>0</v>
      </c>
      <c r="H97" s="443"/>
      <c r="I97" s="447">
        <f t="shared" si="9"/>
        <v>0</v>
      </c>
      <c r="J97" s="84"/>
      <c r="K97" s="57">
        <f t="shared" si="10"/>
        <v>0</v>
      </c>
      <c r="M97" s="197" t="str">
        <f t="shared" si="11"/>
        <v>3000/000ADMINISTRATIVE EXPENSES</v>
      </c>
      <c r="N97" s="79"/>
      <c r="P97" s="80"/>
      <c r="Q97" s="60"/>
      <c r="R97" s="34"/>
    </row>
    <row r="98" spans="1:18" x14ac:dyDescent="0.2">
      <c r="A98" s="394"/>
      <c r="B98" s="63" t="s">
        <v>247</v>
      </c>
      <c r="C98" s="395" t="s">
        <v>248</v>
      </c>
      <c r="D98" s="436"/>
      <c r="E98" s="435"/>
      <c r="F98" s="88"/>
      <c r="G98" s="56">
        <f>SUMIF(JournalsB!D$14:D$920,TrialBalanceB!M98,JournalsB!J$14:J$920)+SUMIF(JournalsB!E$14:E$920,TrialBalanceB!M98,JournalsB!J$14:J$920)</f>
        <v>0</v>
      </c>
      <c r="H98" s="443"/>
      <c r="I98" s="447">
        <f t="shared" si="9"/>
        <v>0</v>
      </c>
      <c r="J98" s="84"/>
      <c r="K98" s="57">
        <f t="shared" si="10"/>
        <v>0</v>
      </c>
      <c r="M98" s="197" t="str">
        <f t="shared" si="11"/>
        <v>3000/011Audit fees for current year</v>
      </c>
      <c r="N98" s="79"/>
      <c r="P98" s="60"/>
      <c r="Q98" s="60"/>
      <c r="R98" s="34"/>
    </row>
    <row r="99" spans="1:18" x14ac:dyDescent="0.2">
      <c r="A99" s="394"/>
      <c r="B99" s="63" t="s">
        <v>249</v>
      </c>
      <c r="C99" s="402" t="s">
        <v>421</v>
      </c>
      <c r="D99" s="428"/>
      <c r="E99" s="435"/>
      <c r="F99" s="88"/>
      <c r="G99" s="56">
        <f>SUMIF(JournalsB!D$14:D$920,TrialBalanceB!M99,JournalsB!J$14:J$920)+SUMIF(JournalsB!E$14:E$920,TrialBalanceB!M99,JournalsB!J$14:J$920)</f>
        <v>0</v>
      </c>
      <c r="H99" s="443"/>
      <c r="I99" s="447">
        <f t="shared" si="9"/>
        <v>0</v>
      </c>
      <c r="J99" s="84"/>
      <c r="K99" s="57">
        <f t="shared" si="10"/>
        <v>0</v>
      </c>
      <c r="M99" s="197" t="str">
        <f t="shared" si="11"/>
        <v>3000/012Under provision previous year</v>
      </c>
      <c r="N99" s="79"/>
      <c r="P99" s="80"/>
      <c r="Q99" s="60"/>
      <c r="R99" s="34"/>
    </row>
    <row r="100" spans="1:18" x14ac:dyDescent="0.2">
      <c r="A100" s="394"/>
      <c r="B100" s="63" t="s">
        <v>250</v>
      </c>
      <c r="C100" s="395" t="s">
        <v>251</v>
      </c>
      <c r="D100" s="436"/>
      <c r="E100" s="435"/>
      <c r="F100" s="88"/>
      <c r="G100" s="56">
        <f>SUMIF(JournalsB!D$14:D$920,TrialBalanceB!M100,JournalsB!J$14:J$920)+SUMIF(JournalsB!E$14:E$920,TrialBalanceB!M100,JournalsB!J$14:J$920)</f>
        <v>0</v>
      </c>
      <c r="H100" s="443"/>
      <c r="I100" s="447">
        <f t="shared" si="9"/>
        <v>0</v>
      </c>
      <c r="J100" s="84"/>
      <c r="K100" s="57">
        <f t="shared" si="10"/>
        <v>0</v>
      </c>
      <c r="M100" s="197" t="str">
        <f t="shared" si="11"/>
        <v>3000/013Overprovision previous year</v>
      </c>
      <c r="N100" s="79"/>
      <c r="P100" s="80"/>
      <c r="Q100" s="60"/>
      <c r="R100" s="34"/>
    </row>
    <row r="101" spans="1:18" x14ac:dyDescent="0.2">
      <c r="A101" s="394"/>
      <c r="B101" s="63" t="s">
        <v>252</v>
      </c>
      <c r="C101" s="395" t="s">
        <v>253</v>
      </c>
      <c r="D101" s="436"/>
      <c r="E101" s="435"/>
      <c r="F101" s="88"/>
      <c r="G101" s="56">
        <f>SUMIF(JournalsB!D$14:D$920,TrialBalanceB!M101,JournalsB!J$14:J$920)+SUMIF(JournalsB!E$14:E$920,TrialBalanceB!M101,JournalsB!J$14:J$920)</f>
        <v>0</v>
      </c>
      <c r="H101" s="443"/>
      <c r="I101" s="447">
        <f t="shared" si="9"/>
        <v>0</v>
      </c>
      <c r="J101" s="84"/>
      <c r="K101" s="57">
        <f t="shared" si="10"/>
        <v>0</v>
      </c>
      <c r="M101" s="197" t="str">
        <f t="shared" si="11"/>
        <v>3000/014Accounting fees</v>
      </c>
      <c r="N101" s="79"/>
      <c r="P101" s="80"/>
      <c r="Q101" s="60"/>
      <c r="R101" s="34"/>
    </row>
    <row r="102" spans="1:18" x14ac:dyDescent="0.2">
      <c r="A102" s="394"/>
      <c r="B102" s="63" t="s">
        <v>254</v>
      </c>
      <c r="C102" s="395" t="s">
        <v>255</v>
      </c>
      <c r="D102" s="436"/>
      <c r="E102" s="435"/>
      <c r="F102" s="88"/>
      <c r="G102" s="56">
        <f>SUMIF(JournalsB!D$14:D$920,TrialBalanceB!M102,JournalsB!J$14:J$920)+SUMIF(JournalsB!E$14:E$920,TrialBalanceB!M102,JournalsB!J$14:J$920)</f>
        <v>0</v>
      </c>
      <c r="H102" s="443"/>
      <c r="I102" s="447">
        <f>ROUND(D102-E102+G102+F102,0)</f>
        <v>0</v>
      </c>
      <c r="J102" s="84"/>
      <c r="K102" s="57">
        <f t="shared" si="10"/>
        <v>0</v>
      </c>
      <c r="M102" s="197" t="str">
        <f t="shared" si="11"/>
        <v>3000/020Bank charges</v>
      </c>
      <c r="N102" s="79"/>
      <c r="P102" s="80"/>
      <c r="Q102" s="60"/>
      <c r="R102" s="34"/>
    </row>
    <row r="103" spans="1:18" x14ac:dyDescent="0.2">
      <c r="A103" s="394"/>
      <c r="B103" s="63" t="s">
        <v>256</v>
      </c>
      <c r="C103" s="395" t="s">
        <v>257</v>
      </c>
      <c r="D103" s="436"/>
      <c r="E103" s="435"/>
      <c r="F103" s="88"/>
      <c r="G103" s="56">
        <f>SUMIF(JournalsB!D$14:D$920,TrialBalanceB!M103,JournalsB!J$14:J$920)+SUMIF(JournalsB!E$14:E$920,TrialBalanceB!M103,JournalsB!J$14:J$920)</f>
        <v>0</v>
      </c>
      <c r="H103" s="443"/>
      <c r="I103" s="447">
        <f t="shared" ref="I103:I170" si="18">ROUND(D103-E103+G103+F103,0)</f>
        <v>0</v>
      </c>
      <c r="J103" s="84"/>
      <c r="K103" s="57">
        <f t="shared" si="10"/>
        <v>0</v>
      </c>
      <c r="M103" s="197" t="str">
        <f t="shared" si="11"/>
        <v>3000/030Bad debts</v>
      </c>
      <c r="N103" s="79"/>
      <c r="P103" s="80"/>
      <c r="Q103" s="60"/>
      <c r="R103" s="34"/>
    </row>
    <row r="104" spans="1:18" x14ac:dyDescent="0.2">
      <c r="A104" s="394"/>
      <c r="B104" s="63" t="s">
        <v>258</v>
      </c>
      <c r="C104" s="395" t="s">
        <v>314</v>
      </c>
      <c r="D104" s="436"/>
      <c r="E104" s="435"/>
      <c r="F104" s="88"/>
      <c r="G104" s="56">
        <f>SUMIF(JournalsB!D$14:D$920,TrialBalanceB!M104,JournalsB!J$14:J$920)+SUMIF(JournalsB!E$14:E$920,TrialBalanceB!M104,JournalsB!J$14:J$920)</f>
        <v>0</v>
      </c>
      <c r="H104" s="443"/>
      <c r="I104" s="447">
        <f t="shared" si="18"/>
        <v>0</v>
      </c>
      <c r="J104" s="84"/>
      <c r="K104" s="57">
        <f t="shared" si="10"/>
        <v>0</v>
      </c>
      <c r="M104" s="197" t="str">
        <f t="shared" si="11"/>
        <v>3000/040Cleaning</v>
      </c>
      <c r="N104" s="79"/>
      <c r="P104" s="80"/>
      <c r="Q104" s="60"/>
      <c r="R104" s="34"/>
    </row>
    <row r="105" spans="1:18" x14ac:dyDescent="0.2">
      <c r="A105" s="394"/>
      <c r="B105" s="63" t="s">
        <v>259</v>
      </c>
      <c r="C105" s="395" t="s">
        <v>260</v>
      </c>
      <c r="D105" s="436"/>
      <c r="E105" s="435"/>
      <c r="F105" s="88"/>
      <c r="G105" s="56">
        <f>SUMIF(JournalsB!D$14:D$920,TrialBalanceB!M105,JournalsB!J$14:J$920)+SUMIF(JournalsB!E$14:E$920,TrialBalanceB!M105,JournalsB!J$14:J$920)</f>
        <v>0</v>
      </c>
      <c r="H105" s="443"/>
      <c r="I105" s="447">
        <f t="shared" si="18"/>
        <v>0</v>
      </c>
      <c r="J105" s="84"/>
      <c r="K105" s="57">
        <f t="shared" si="10"/>
        <v>0</v>
      </c>
      <c r="M105" s="197" t="str">
        <f t="shared" si="11"/>
        <v>3000/050Computer expenses</v>
      </c>
      <c r="N105" s="79"/>
      <c r="P105" s="80"/>
      <c r="Q105" s="60"/>
      <c r="R105" s="34"/>
    </row>
    <row r="106" spans="1:18" x14ac:dyDescent="0.2">
      <c r="A106" s="394"/>
      <c r="B106" s="114" t="s">
        <v>837</v>
      </c>
      <c r="C106" s="398" t="s">
        <v>935</v>
      </c>
      <c r="D106" s="436"/>
      <c r="E106" s="435"/>
      <c r="F106" s="88"/>
      <c r="G106" s="56">
        <f>SUMIF(JournalsB!D$14:D$920,TrialBalanceB!M106,JournalsB!J$14:J$920)+SUMIF(JournalsB!E$14:E$920,TrialBalanceB!M106,JournalsB!J$14:J$920)</f>
        <v>0</v>
      </c>
      <c r="H106" s="443"/>
      <c r="I106" s="447">
        <f t="shared" ref="I106" si="19">ROUND(D106-E106+G106+F106,0)</f>
        <v>0</v>
      </c>
      <c r="J106" s="84"/>
      <c r="K106" s="57">
        <f t="shared" ref="K106" si="20">ROUND(SUM(A106),0)</f>
        <v>0</v>
      </c>
      <c r="M106" s="197" t="str">
        <f t="shared" ref="M106" si="21">CONCATENATE(B106,C106)</f>
        <v>3000/055Consulting and professional fees</v>
      </c>
      <c r="N106" s="79"/>
      <c r="P106" s="80"/>
      <c r="Q106" s="60"/>
      <c r="R106" s="34"/>
    </row>
    <row r="107" spans="1:18" x14ac:dyDescent="0.2">
      <c r="A107" s="394"/>
      <c r="B107" s="63" t="s">
        <v>261</v>
      </c>
      <c r="C107" s="397" t="s">
        <v>487</v>
      </c>
      <c r="D107" s="437"/>
      <c r="E107" s="435"/>
      <c r="F107" s="88"/>
      <c r="G107" s="56">
        <f>SUMIF(JournalsB!D$14:D$920,TrialBalanceB!M107,JournalsB!J$14:J$920)+SUMIF(JournalsB!E$14:E$920,TrialBalanceB!M107,JournalsB!J$14:J$920)</f>
        <v>0</v>
      </c>
      <c r="H107" s="443"/>
      <c r="I107" s="447">
        <f t="shared" si="18"/>
        <v>0</v>
      </c>
      <c r="J107" s="84"/>
      <c r="K107" s="57">
        <f t="shared" si="10"/>
        <v>0</v>
      </c>
      <c r="M107" s="197" t="str">
        <f t="shared" si="11"/>
        <v>3000/060Depreciation----------------------------</v>
      </c>
      <c r="N107" s="79"/>
      <c r="P107" s="80"/>
      <c r="Q107" s="60"/>
      <c r="R107" s="34"/>
    </row>
    <row r="108" spans="1:18" x14ac:dyDescent="0.2">
      <c r="A108" s="394"/>
      <c r="B108" s="114" t="s">
        <v>262</v>
      </c>
      <c r="C108" s="396" t="s">
        <v>65</v>
      </c>
      <c r="D108" s="435"/>
      <c r="E108" s="435"/>
      <c r="F108" s="88"/>
      <c r="G108" s="56">
        <f>SUMIF(JournalsB!D$14:D$920,TrialBalanceB!M108,JournalsB!J$14:J$920)+SUMIF(JournalsB!E$14:E$920,TrialBalanceB!M108,JournalsB!J$14:J$920)</f>
        <v>0</v>
      </c>
      <c r="H108" s="443"/>
      <c r="I108" s="447">
        <f t="shared" si="18"/>
        <v>0</v>
      </c>
      <c r="J108" s="84"/>
      <c r="K108" s="57">
        <f t="shared" si="10"/>
        <v>0</v>
      </c>
      <c r="M108" s="197" t="str">
        <f t="shared" si="11"/>
        <v>3000/061Depr - Electronic equipment</v>
      </c>
      <c r="N108" s="79"/>
      <c r="P108" s="80"/>
      <c r="Q108" s="60"/>
      <c r="R108" s="34"/>
    </row>
    <row r="109" spans="1:18" x14ac:dyDescent="0.2">
      <c r="A109" s="394"/>
      <c r="B109" s="114" t="s">
        <v>434</v>
      </c>
      <c r="C109" s="398" t="s">
        <v>997</v>
      </c>
      <c r="D109" s="436"/>
      <c r="E109" s="435"/>
      <c r="F109" s="88"/>
      <c r="G109" s="56">
        <f>SUMIF(JournalsB!D$14:D$920,TrialBalanceB!M109,JournalsB!J$14:J$920)+SUMIF(JournalsB!E$14:E$920,TrialBalanceB!M109,JournalsB!J$14:J$920)</f>
        <v>0</v>
      </c>
      <c r="H109" s="443"/>
      <c r="I109" s="447">
        <f t="shared" si="18"/>
        <v>0</v>
      </c>
      <c r="J109" s="84"/>
      <c r="K109" s="57">
        <f t="shared" si="10"/>
        <v>0</v>
      </c>
      <c r="M109" s="197" t="str">
        <f t="shared" si="11"/>
        <v>3000/063Depr - Furniture and fittings</v>
      </c>
      <c r="N109" s="79"/>
      <c r="P109" s="80"/>
      <c r="Q109" s="60"/>
      <c r="R109" s="34"/>
    </row>
    <row r="110" spans="1:18" x14ac:dyDescent="0.2">
      <c r="A110" s="394"/>
      <c r="B110" s="63" t="s">
        <v>435</v>
      </c>
      <c r="C110" s="397" t="s">
        <v>722</v>
      </c>
      <c r="D110" s="437"/>
      <c r="E110" s="435"/>
      <c r="F110" s="88"/>
      <c r="G110" s="56">
        <f>SUMIF(JournalsB!D$14:D$920,TrialBalanceB!M110,JournalsB!J$14:J$920)+SUMIF(JournalsB!E$14:E$920,TrialBalanceB!M110,JournalsB!J$14:J$920)</f>
        <v>0</v>
      </c>
      <c r="H110" s="443"/>
      <c r="I110" s="447">
        <f t="shared" si="18"/>
        <v>0</v>
      </c>
      <c r="J110" s="84"/>
      <c r="K110" s="57">
        <f t="shared" si="10"/>
        <v>0</v>
      </c>
      <c r="M110" s="197" t="str">
        <f t="shared" si="11"/>
        <v>3000/070Directors' remuneration-----------------</v>
      </c>
      <c r="N110" s="79"/>
      <c r="P110" s="80"/>
      <c r="Q110" s="60"/>
      <c r="R110" s="34"/>
    </row>
    <row r="111" spans="1:18" x14ac:dyDescent="0.2">
      <c r="A111" s="394"/>
      <c r="B111" s="63" t="s">
        <v>436</v>
      </c>
      <c r="C111" s="430" t="str">
        <f>Criteria!E41</f>
        <v>A Director</v>
      </c>
      <c r="D111" s="435"/>
      <c r="E111" s="435"/>
      <c r="F111" s="88"/>
      <c r="G111" s="56">
        <f>SUMIF(JournalsB!D$14:D$920,TrialBalanceB!M111,JournalsB!J$14:J$920)+SUMIF(JournalsB!E$14:E$920,TrialBalanceB!M111,JournalsB!J$14:J$920)</f>
        <v>0</v>
      </c>
      <c r="H111" s="443"/>
      <c r="I111" s="447">
        <f t="shared" si="18"/>
        <v>0</v>
      </c>
      <c r="J111" s="84"/>
      <c r="K111" s="57">
        <f t="shared" si="10"/>
        <v>0</v>
      </c>
      <c r="M111" s="197" t="str">
        <f t="shared" si="11"/>
        <v>3000/071A Director</v>
      </c>
      <c r="N111" s="79"/>
      <c r="P111" s="80"/>
      <c r="Q111" s="60"/>
      <c r="R111" s="34"/>
    </row>
    <row r="112" spans="1:18" x14ac:dyDescent="0.2">
      <c r="A112" s="394"/>
      <c r="B112" s="63" t="s">
        <v>437</v>
      </c>
      <c r="C112" s="430" t="str">
        <f>Criteria!E42</f>
        <v>C Director</v>
      </c>
      <c r="D112" s="435"/>
      <c r="E112" s="435"/>
      <c r="F112" s="88"/>
      <c r="G112" s="56">
        <f>SUMIF(JournalsB!D$14:D$920,TrialBalanceB!M112,JournalsB!J$14:J$920)+SUMIF(JournalsB!E$14:E$920,TrialBalanceB!M112,JournalsB!J$14:J$920)</f>
        <v>0</v>
      </c>
      <c r="H112" s="443"/>
      <c r="I112" s="447">
        <f t="shared" si="18"/>
        <v>0</v>
      </c>
      <c r="J112" s="84"/>
      <c r="K112" s="57">
        <f t="shared" si="10"/>
        <v>0</v>
      </c>
      <c r="M112" s="197" t="str">
        <f t="shared" si="11"/>
        <v>3000/072C Director</v>
      </c>
      <c r="N112" s="79"/>
      <c r="P112" s="80"/>
      <c r="Q112" s="60"/>
      <c r="R112" s="34"/>
    </row>
    <row r="113" spans="1:18" x14ac:dyDescent="0.2">
      <c r="A113" s="394"/>
      <c r="B113" s="63" t="s">
        <v>438</v>
      </c>
      <c r="C113" s="430">
        <f>Criteria!E43</f>
        <v>0</v>
      </c>
      <c r="D113" s="435"/>
      <c r="E113" s="435"/>
      <c r="F113" s="88"/>
      <c r="G113" s="56">
        <f>SUMIF(JournalsB!D$14:D$920,TrialBalanceB!M113,JournalsB!J$14:J$920)+SUMIF(JournalsB!E$14:E$920,TrialBalanceB!M113,JournalsB!J$14:J$920)</f>
        <v>0</v>
      </c>
      <c r="H113" s="443"/>
      <c r="I113" s="447">
        <f t="shared" si="18"/>
        <v>0</v>
      </c>
      <c r="J113" s="84"/>
      <c r="K113" s="57">
        <f t="shared" si="10"/>
        <v>0</v>
      </c>
      <c r="M113" s="197" t="str">
        <f t="shared" si="11"/>
        <v>3000/0730</v>
      </c>
      <c r="N113" s="79"/>
      <c r="P113" s="80"/>
      <c r="Q113" s="60"/>
      <c r="R113" s="34"/>
    </row>
    <row r="114" spans="1:18" x14ac:dyDescent="0.2">
      <c r="A114" s="394"/>
      <c r="B114" s="63" t="s">
        <v>439</v>
      </c>
      <c r="C114" s="430">
        <f>Criteria!E44</f>
        <v>0</v>
      </c>
      <c r="D114" s="435"/>
      <c r="E114" s="435"/>
      <c r="F114" s="88"/>
      <c r="G114" s="56">
        <f>SUMIF(JournalsB!D$14:D$920,TrialBalanceB!M114,JournalsB!J$14:J$920)+SUMIF(JournalsB!E$14:E$920,TrialBalanceB!M114,JournalsB!J$14:J$920)</f>
        <v>0</v>
      </c>
      <c r="H114" s="443"/>
      <c r="I114" s="447">
        <f t="shared" si="18"/>
        <v>0</v>
      </c>
      <c r="J114" s="84"/>
      <c r="K114" s="57">
        <f t="shared" si="10"/>
        <v>0</v>
      </c>
      <c r="M114" s="197" t="str">
        <f t="shared" si="11"/>
        <v>3000/0740</v>
      </c>
      <c r="N114" s="79"/>
      <c r="P114" s="80"/>
      <c r="Q114" s="60"/>
      <c r="R114" s="34"/>
    </row>
    <row r="115" spans="1:18" x14ac:dyDescent="0.2">
      <c r="A115" s="394"/>
      <c r="B115" s="63" t="s">
        <v>440</v>
      </c>
      <c r="C115" s="430">
        <f>Criteria!E45</f>
        <v>0</v>
      </c>
      <c r="D115" s="436"/>
      <c r="E115" s="435"/>
      <c r="F115" s="88"/>
      <c r="G115" s="56">
        <f>SUMIF(JournalsB!D$14:D$920,TrialBalanceB!M115,JournalsB!J$14:J$920)+SUMIF(JournalsB!E$14:E$920,TrialBalanceB!M115,JournalsB!J$14:J$920)</f>
        <v>0</v>
      </c>
      <c r="H115" s="443"/>
      <c r="I115" s="447">
        <f t="shared" si="18"/>
        <v>0</v>
      </c>
      <c r="J115" s="84"/>
      <c r="K115" s="57">
        <f t="shared" si="10"/>
        <v>0</v>
      </c>
      <c r="M115" s="197" t="str">
        <f t="shared" si="11"/>
        <v>3000/0750</v>
      </c>
      <c r="N115" s="79"/>
      <c r="P115" s="80"/>
      <c r="Q115" s="60"/>
      <c r="R115" s="34"/>
    </row>
    <row r="116" spans="1:18" x14ac:dyDescent="0.2">
      <c r="A116" s="394"/>
      <c r="B116" s="63" t="s">
        <v>441</v>
      </c>
      <c r="C116" s="395" t="s">
        <v>315</v>
      </c>
      <c r="D116" s="436"/>
      <c r="E116" s="435"/>
      <c r="F116" s="88"/>
      <c r="G116" s="56">
        <f>SUMIF(JournalsB!D$14:D$920,TrialBalanceB!M116,JournalsB!J$14:J$920)+SUMIF(JournalsB!E$14:E$920,TrialBalanceB!M116,JournalsB!J$14:J$920)</f>
        <v>0</v>
      </c>
      <c r="H116" s="443"/>
      <c r="I116" s="447">
        <f t="shared" si="18"/>
        <v>0</v>
      </c>
      <c r="J116" s="84"/>
      <c r="K116" s="57">
        <f t="shared" si="10"/>
        <v>0</v>
      </c>
      <c r="M116" s="197" t="str">
        <f t="shared" si="11"/>
        <v>3000/080Donations</v>
      </c>
      <c r="N116" s="79"/>
      <c r="P116" s="80"/>
      <c r="Q116" s="60"/>
      <c r="R116" s="34"/>
    </row>
    <row r="117" spans="1:18" x14ac:dyDescent="0.2">
      <c r="A117" s="394"/>
      <c r="B117" s="63" t="s">
        <v>442</v>
      </c>
      <c r="C117" s="395" t="s">
        <v>443</v>
      </c>
      <c r="D117" s="436"/>
      <c r="E117" s="435"/>
      <c r="F117" s="88"/>
      <c r="G117" s="56">
        <f>SUMIF(JournalsB!D$14:D$920,TrialBalanceB!M117,JournalsB!J$14:J$920)+SUMIF(JournalsB!E$14:E$920,TrialBalanceB!M117,JournalsB!J$14:J$920)</f>
        <v>0</v>
      </c>
      <c r="H117" s="443"/>
      <c r="I117" s="447">
        <f t="shared" si="18"/>
        <v>0</v>
      </c>
      <c r="J117" s="84"/>
      <c r="K117" s="57">
        <f t="shared" si="10"/>
        <v>0</v>
      </c>
      <c r="M117" s="197" t="str">
        <f t="shared" si="11"/>
        <v>3000/090Entertainment expenses</v>
      </c>
      <c r="N117" s="79"/>
      <c r="P117" s="80"/>
      <c r="Q117" s="60"/>
      <c r="R117" s="34"/>
    </row>
    <row r="118" spans="1:18" x14ac:dyDescent="0.2">
      <c r="A118" s="394"/>
      <c r="B118" s="65" t="s">
        <v>76</v>
      </c>
      <c r="C118" s="402" t="s">
        <v>392</v>
      </c>
      <c r="D118" s="428"/>
      <c r="E118" s="435"/>
      <c r="F118" s="88"/>
      <c r="G118" s="56">
        <f>SUMIF(JournalsB!D$14:D$920,TrialBalanceB!M118,JournalsB!J$14:J$920)+SUMIF(JournalsB!E$14:E$920,TrialBalanceB!M118,JournalsB!J$14:J$920)</f>
        <v>0</v>
      </c>
      <c r="H118" s="443"/>
      <c r="I118" s="447">
        <f t="shared" si="18"/>
        <v>0</v>
      </c>
      <c r="J118" s="84"/>
      <c r="K118" s="57">
        <f t="shared" si="10"/>
        <v>0</v>
      </c>
      <c r="M118" s="197" t="str">
        <f t="shared" si="11"/>
        <v>3000/095Fines</v>
      </c>
      <c r="N118" s="79"/>
      <c r="P118" s="80"/>
      <c r="Q118" s="60"/>
      <c r="R118" s="34"/>
    </row>
    <row r="119" spans="1:18" x14ac:dyDescent="0.2">
      <c r="A119" s="394"/>
      <c r="B119" s="63" t="s">
        <v>444</v>
      </c>
      <c r="C119" s="395" t="s">
        <v>445</v>
      </c>
      <c r="D119" s="436"/>
      <c r="E119" s="435"/>
      <c r="F119" s="88"/>
      <c r="G119" s="56">
        <f>SUMIF(JournalsB!D$14:D$920,TrialBalanceB!M119,JournalsB!J$14:J$920)+SUMIF(JournalsB!E$14:E$920,TrialBalanceB!M119,JournalsB!J$14:J$920)</f>
        <v>0</v>
      </c>
      <c r="H119" s="443"/>
      <c r="I119" s="447">
        <f t="shared" si="18"/>
        <v>0</v>
      </c>
      <c r="J119" s="84"/>
      <c r="K119" s="57">
        <f t="shared" si="10"/>
        <v>0</v>
      </c>
      <c r="M119" s="197" t="str">
        <f t="shared" si="11"/>
        <v>3000/100General expenses</v>
      </c>
      <c r="N119" s="79"/>
      <c r="P119" s="80"/>
      <c r="Q119" s="60"/>
      <c r="R119" s="34"/>
    </row>
    <row r="120" spans="1:18" x14ac:dyDescent="0.2">
      <c r="A120" s="394"/>
      <c r="B120" s="63" t="s">
        <v>363</v>
      </c>
      <c r="C120" s="396" t="s">
        <v>994</v>
      </c>
      <c r="D120" s="428"/>
      <c r="E120" s="435"/>
      <c r="F120" s="88"/>
      <c r="G120" s="56">
        <f>SUMIF(JournalsB!D$14:D$920,TrialBalanceB!M120,JournalsB!J$14:J$920)+SUMIF(JournalsB!E$14:E$920,TrialBalanceB!M120,JournalsB!J$14:J$920)</f>
        <v>0</v>
      </c>
      <c r="H120" s="443"/>
      <c r="I120" s="447">
        <f t="shared" si="18"/>
        <v>0</v>
      </c>
      <c r="J120" s="84"/>
      <c r="K120" s="57">
        <f t="shared" si="10"/>
        <v>0</v>
      </c>
      <c r="M120" s="197" t="str">
        <f t="shared" si="11"/>
        <v>3000/110Legal expenses - tax deductible</v>
      </c>
      <c r="N120" s="79"/>
      <c r="P120" s="80"/>
      <c r="Q120" s="60"/>
      <c r="R120" s="34"/>
    </row>
    <row r="121" spans="1:18" x14ac:dyDescent="0.2">
      <c r="A121" s="394"/>
      <c r="B121" s="63" t="s">
        <v>523</v>
      </c>
      <c r="C121" s="396" t="s">
        <v>995</v>
      </c>
      <c r="D121" s="428"/>
      <c r="E121" s="435"/>
      <c r="F121" s="88"/>
      <c r="G121" s="56">
        <f>SUMIF(JournalsB!D$14:D$920,TrialBalanceB!M121,JournalsB!J$14:J$920)+SUMIF(JournalsB!E$14:E$920,TrialBalanceB!M121,JournalsB!J$14:J$920)</f>
        <v>0</v>
      </c>
      <c r="H121" s="443"/>
      <c r="I121" s="447">
        <f t="shared" si="18"/>
        <v>0</v>
      </c>
      <c r="J121" s="84"/>
      <c r="K121" s="57">
        <f t="shared" si="10"/>
        <v>0</v>
      </c>
      <c r="M121" s="197" t="str">
        <f t="shared" si="11"/>
        <v>3000/111Legal expenses - non deductible</v>
      </c>
      <c r="N121" s="79"/>
      <c r="P121" s="80"/>
      <c r="Q121" s="60"/>
      <c r="R121" s="34"/>
    </row>
    <row r="122" spans="1:18" x14ac:dyDescent="0.2">
      <c r="A122" s="394"/>
      <c r="B122" s="63" t="s">
        <v>364</v>
      </c>
      <c r="C122" s="395" t="s">
        <v>365</v>
      </c>
      <c r="D122" s="436"/>
      <c r="E122" s="435"/>
      <c r="F122" s="88"/>
      <c r="G122" s="56">
        <f>SUMIF(JournalsB!D$14:D$920,TrialBalanceB!M122,JournalsB!J$14:J$920)+SUMIF(JournalsB!E$14:E$920,TrialBalanceB!M122,JournalsB!J$14:J$920)</f>
        <v>0</v>
      </c>
      <c r="H122" s="443"/>
      <c r="I122" s="447">
        <f t="shared" si="18"/>
        <v>0</v>
      </c>
      <c r="J122" s="84"/>
      <c r="K122" s="57">
        <f t="shared" si="10"/>
        <v>0</v>
      </c>
      <c r="M122" s="197" t="str">
        <f t="shared" si="11"/>
        <v>3000/120Printing and stationary</v>
      </c>
      <c r="N122" s="79"/>
      <c r="P122" s="80"/>
      <c r="Q122" s="60"/>
      <c r="R122" s="34"/>
    </row>
    <row r="123" spans="1:18" x14ac:dyDescent="0.2">
      <c r="A123" s="394"/>
      <c r="B123" s="63" t="s">
        <v>366</v>
      </c>
      <c r="C123" s="395" t="s">
        <v>316</v>
      </c>
      <c r="D123" s="436"/>
      <c r="E123" s="435"/>
      <c r="F123" s="88"/>
      <c r="G123" s="56">
        <f>SUMIF(JournalsB!D$14:D$920,TrialBalanceB!M123,JournalsB!J$14:J$920)+SUMIF(JournalsB!E$14:E$920,TrialBalanceB!M123,JournalsB!J$14:J$920)</f>
        <v>0</v>
      </c>
      <c r="H123" s="443"/>
      <c r="I123" s="447">
        <f t="shared" si="18"/>
        <v>0</v>
      </c>
      <c r="J123" s="84"/>
      <c r="K123" s="57">
        <f t="shared" si="10"/>
        <v>0</v>
      </c>
      <c r="M123" s="197" t="str">
        <f t="shared" si="11"/>
        <v>3000/130Refreshments</v>
      </c>
      <c r="N123" s="79"/>
      <c r="P123" s="80"/>
      <c r="Q123" s="60"/>
      <c r="R123" s="34"/>
    </row>
    <row r="124" spans="1:18" x14ac:dyDescent="0.2">
      <c r="A124" s="394"/>
      <c r="B124" s="63" t="s">
        <v>367</v>
      </c>
      <c r="C124" s="395" t="s">
        <v>84</v>
      </c>
      <c r="D124" s="436"/>
      <c r="E124" s="435"/>
      <c r="F124" s="88"/>
      <c r="G124" s="56">
        <f>SUMIF(JournalsB!D$14:D$920,TrialBalanceB!M124,JournalsB!J$14:J$920)+SUMIF(JournalsB!E$14:E$920,TrialBalanceB!M124,JournalsB!J$14:J$920)</f>
        <v>0</v>
      </c>
      <c r="H124" s="443"/>
      <c r="I124" s="447">
        <f t="shared" si="18"/>
        <v>0</v>
      </c>
      <c r="J124" s="84"/>
      <c r="K124" s="57">
        <f t="shared" si="10"/>
        <v>0</v>
      </c>
      <c r="M124" s="197" t="str">
        <f t="shared" si="11"/>
        <v>3000/140Salaries</v>
      </c>
      <c r="N124" s="79"/>
      <c r="P124" s="80"/>
      <c r="Q124" s="60"/>
      <c r="R124" s="34"/>
    </row>
    <row r="125" spans="1:18" x14ac:dyDescent="0.2">
      <c r="A125" s="394"/>
      <c r="B125" s="114" t="s">
        <v>368</v>
      </c>
      <c r="C125" s="395" t="s">
        <v>88</v>
      </c>
      <c r="D125" s="436"/>
      <c r="E125" s="435"/>
      <c r="F125" s="88"/>
      <c r="G125" s="56">
        <f>SUMIF(JournalsB!D$14:D$920,TrialBalanceB!M125,JournalsB!J$14:J$920)+SUMIF(JournalsB!E$14:E$920,TrialBalanceB!M125,JournalsB!J$14:J$920)</f>
        <v>0</v>
      </c>
      <c r="H125" s="443"/>
      <c r="I125" s="447">
        <f t="shared" si="18"/>
        <v>0</v>
      </c>
      <c r="J125" s="84"/>
      <c r="K125" s="57">
        <f t="shared" si="10"/>
        <v>0</v>
      </c>
      <c r="M125" s="197" t="str">
        <f t="shared" si="11"/>
        <v>3000/141Casual wages</v>
      </c>
      <c r="N125" s="79"/>
      <c r="P125" s="80"/>
      <c r="Q125" s="60"/>
      <c r="R125" s="34"/>
    </row>
    <row r="126" spans="1:18" x14ac:dyDescent="0.2">
      <c r="A126" s="394"/>
      <c r="B126" s="63" t="s">
        <v>369</v>
      </c>
      <c r="C126" s="395" t="s">
        <v>317</v>
      </c>
      <c r="D126" s="436"/>
      <c r="E126" s="435"/>
      <c r="F126" s="88"/>
      <c r="G126" s="56">
        <f>SUMIF(JournalsB!D$14:D$920,TrialBalanceB!M126,JournalsB!J$14:J$920)+SUMIF(JournalsB!E$14:E$920,TrialBalanceB!M126,JournalsB!J$14:J$920)</f>
        <v>0</v>
      </c>
      <c r="H126" s="443"/>
      <c r="I126" s="447">
        <f t="shared" si="18"/>
        <v>0</v>
      </c>
      <c r="J126" s="84"/>
      <c r="K126" s="57">
        <f t="shared" si="10"/>
        <v>0</v>
      </c>
      <c r="M126" s="197" t="str">
        <f t="shared" si="11"/>
        <v>3000/150Security</v>
      </c>
      <c r="N126" s="79"/>
      <c r="P126" s="80"/>
      <c r="Q126" s="60"/>
      <c r="R126" s="34"/>
    </row>
    <row r="127" spans="1:18" x14ac:dyDescent="0.2">
      <c r="A127" s="394"/>
      <c r="B127" s="63" t="s">
        <v>370</v>
      </c>
      <c r="C127" s="398" t="s">
        <v>937</v>
      </c>
      <c r="D127" s="438"/>
      <c r="E127" s="435"/>
      <c r="F127" s="88"/>
      <c r="G127" s="56">
        <f>SUMIF(JournalsB!D$14:D$920,TrialBalanceB!M127,JournalsB!J$14:J$920)+SUMIF(JournalsB!E$14:E$920,TrialBalanceB!M127,JournalsB!J$14:J$920)</f>
        <v>0</v>
      </c>
      <c r="H127" s="443"/>
      <c r="I127" s="447">
        <f t="shared" si="18"/>
        <v>0</v>
      </c>
      <c r="J127" s="84"/>
      <c r="K127" s="57">
        <f t="shared" si="10"/>
        <v>0</v>
      </c>
      <c r="M127" s="197" t="str">
        <f t="shared" si="11"/>
        <v>3000/160Subscriptions and membership fees</v>
      </c>
      <c r="N127" s="79"/>
      <c r="P127" s="80"/>
      <c r="Q127" s="60"/>
      <c r="R127" s="34"/>
    </row>
    <row r="128" spans="1:18" x14ac:dyDescent="0.2">
      <c r="A128" s="394"/>
      <c r="B128" s="63" t="s">
        <v>397</v>
      </c>
      <c r="C128" s="398" t="s">
        <v>996</v>
      </c>
      <c r="D128" s="436"/>
      <c r="E128" s="435"/>
      <c r="F128" s="88"/>
      <c r="G128" s="56">
        <f>SUMIF(JournalsB!D$14:D$920,TrialBalanceB!M128,JournalsB!J$14:J$920)+SUMIF(JournalsB!E$14:E$920,TrialBalanceB!M128,JournalsB!J$14:J$920)</f>
        <v>0</v>
      </c>
      <c r="H128" s="443"/>
      <c r="I128" s="447">
        <f t="shared" si="18"/>
        <v>0</v>
      </c>
      <c r="J128" s="84"/>
      <c r="K128" s="57">
        <f t="shared" si="10"/>
        <v>0</v>
      </c>
      <c r="M128" s="197" t="str">
        <f t="shared" si="11"/>
        <v>3000/170Penalties and interest - SARS</v>
      </c>
      <c r="N128" s="79"/>
      <c r="P128" s="80"/>
      <c r="Q128" s="60"/>
      <c r="R128" s="34"/>
    </row>
    <row r="129" spans="1:18" x14ac:dyDescent="0.2">
      <c r="A129" s="394"/>
      <c r="B129" s="63" t="s">
        <v>339</v>
      </c>
      <c r="C129" s="430"/>
      <c r="D129" s="435"/>
      <c r="E129" s="435"/>
      <c r="F129" s="88"/>
      <c r="G129" s="56">
        <f>SUMIF(JournalsB!D$14:D$920,TrialBalanceB!M129,JournalsB!J$14:J$920)+SUMIF(JournalsB!E$14:E$920,TrialBalanceB!M129,JournalsB!J$14:J$920)</f>
        <v>0</v>
      </c>
      <c r="H129" s="443"/>
      <c r="I129" s="447">
        <f t="shared" si="18"/>
        <v>0</v>
      </c>
      <c r="J129" s="84"/>
      <c r="K129" s="57">
        <f t="shared" si="10"/>
        <v>0</v>
      </c>
      <c r="M129" s="197" t="str">
        <f t="shared" si="11"/>
        <v>3000/180</v>
      </c>
      <c r="N129" s="79"/>
      <c r="P129" s="80"/>
      <c r="Q129" s="60"/>
      <c r="R129" s="34"/>
    </row>
    <row r="130" spans="1:18" x14ac:dyDescent="0.2">
      <c r="A130" s="394"/>
      <c r="B130" s="63" t="s">
        <v>340</v>
      </c>
      <c r="C130" s="430"/>
      <c r="D130" s="435"/>
      <c r="E130" s="435"/>
      <c r="F130" s="88"/>
      <c r="G130" s="56">
        <f>SUMIF(JournalsB!D$14:D$920,TrialBalanceB!M130,JournalsB!J$14:J$920)+SUMIF(JournalsB!E$14:E$920,TrialBalanceB!M130,JournalsB!J$14:J$920)</f>
        <v>0</v>
      </c>
      <c r="H130" s="443"/>
      <c r="I130" s="447">
        <f t="shared" si="18"/>
        <v>0</v>
      </c>
      <c r="J130" s="84"/>
      <c r="K130" s="57">
        <f t="shared" si="10"/>
        <v>0</v>
      </c>
      <c r="M130" s="197" t="str">
        <f t="shared" si="11"/>
        <v>3000/190</v>
      </c>
      <c r="N130" s="79"/>
      <c r="P130" s="80"/>
      <c r="Q130" s="60"/>
      <c r="R130" s="34"/>
    </row>
    <row r="131" spans="1:18" x14ac:dyDescent="0.2">
      <c r="A131" s="394"/>
      <c r="B131" s="63" t="s">
        <v>341</v>
      </c>
      <c r="C131" s="431"/>
      <c r="D131" s="435"/>
      <c r="E131" s="435"/>
      <c r="F131" s="88"/>
      <c r="G131" s="56">
        <f>SUMIF(JournalsB!D$14:D$920,TrialBalanceB!M131,JournalsB!J$14:J$920)+SUMIF(JournalsB!E$14:E$920,TrialBalanceB!M131,JournalsB!J$14:J$920)</f>
        <v>0</v>
      </c>
      <c r="H131" s="443"/>
      <c r="I131" s="447">
        <f t="shared" si="18"/>
        <v>0</v>
      </c>
      <c r="J131" s="84"/>
      <c r="K131" s="57">
        <f t="shared" si="10"/>
        <v>0</v>
      </c>
      <c r="M131" s="197" t="str">
        <f t="shared" si="11"/>
        <v>3000/200</v>
      </c>
      <c r="N131" s="79"/>
      <c r="P131" s="80"/>
      <c r="Q131" s="60"/>
      <c r="R131" s="34"/>
    </row>
    <row r="132" spans="1:18" x14ac:dyDescent="0.2">
      <c r="A132" s="394"/>
      <c r="B132" s="63" t="s">
        <v>342</v>
      </c>
      <c r="C132" s="431"/>
      <c r="D132" s="428"/>
      <c r="E132" s="435"/>
      <c r="F132" s="88"/>
      <c r="G132" s="56">
        <f>SUMIF(JournalsB!D$14:D$920,TrialBalanceB!M132,JournalsB!J$14:J$920)+SUMIF(JournalsB!E$14:E$920,TrialBalanceB!M132,JournalsB!J$14:J$920)</f>
        <v>0</v>
      </c>
      <c r="H132" s="443"/>
      <c r="I132" s="447">
        <f t="shared" si="18"/>
        <v>0</v>
      </c>
      <c r="J132" s="84"/>
      <c r="K132" s="57">
        <f t="shared" si="10"/>
        <v>0</v>
      </c>
      <c r="M132" s="197" t="str">
        <f t="shared" si="11"/>
        <v>3000/210</v>
      </c>
      <c r="N132" s="79"/>
      <c r="P132" s="80"/>
      <c r="Q132" s="60"/>
      <c r="R132" s="34"/>
    </row>
    <row r="133" spans="1:18" x14ac:dyDescent="0.2">
      <c r="A133" s="394"/>
      <c r="B133" s="63" t="s">
        <v>343</v>
      </c>
      <c r="C133" s="431"/>
      <c r="D133" s="435"/>
      <c r="E133" s="435"/>
      <c r="F133" s="88"/>
      <c r="G133" s="56">
        <f>SUMIF(JournalsB!D$14:D$920,TrialBalanceB!M133,JournalsB!J$14:J$920)+SUMIF(JournalsB!E$14:E$920,TrialBalanceB!M133,JournalsB!J$14:J$920)</f>
        <v>0</v>
      </c>
      <c r="H133" s="443"/>
      <c r="I133" s="447">
        <f t="shared" si="18"/>
        <v>0</v>
      </c>
      <c r="J133" s="84"/>
      <c r="K133" s="57">
        <f t="shared" si="10"/>
        <v>0</v>
      </c>
      <c r="M133" s="197" t="str">
        <f t="shared" si="11"/>
        <v>3000/220</v>
      </c>
      <c r="N133" s="79"/>
      <c r="P133" s="80"/>
      <c r="Q133" s="60"/>
      <c r="R133" s="34"/>
    </row>
    <row r="134" spans="1:18" x14ac:dyDescent="0.2">
      <c r="A134" s="394"/>
      <c r="B134" s="114" t="s">
        <v>618</v>
      </c>
      <c r="C134" s="431"/>
      <c r="D134" s="428"/>
      <c r="E134" s="435"/>
      <c r="F134" s="88"/>
      <c r="G134" s="56">
        <f>SUMIF(JournalsB!D$14:D$920,TrialBalanceB!M134,JournalsB!J$14:J$920)+SUMIF(JournalsB!E$14:E$920,TrialBalanceB!M134,JournalsB!J$14:J$920)</f>
        <v>0</v>
      </c>
      <c r="H134" s="443"/>
      <c r="I134" s="447">
        <f t="shared" si="18"/>
        <v>0</v>
      </c>
      <c r="J134" s="84"/>
      <c r="K134" s="57">
        <f t="shared" si="10"/>
        <v>0</v>
      </c>
      <c r="M134" s="197" t="str">
        <f t="shared" si="11"/>
        <v>3000/230</v>
      </c>
      <c r="N134" s="79"/>
      <c r="P134" s="80"/>
      <c r="Q134" s="60"/>
      <c r="R134" s="34"/>
    </row>
    <row r="135" spans="1:18" x14ac:dyDescent="0.2">
      <c r="A135" s="394"/>
      <c r="B135" s="114" t="s">
        <v>619</v>
      </c>
      <c r="C135" s="431"/>
      <c r="D135" s="428"/>
      <c r="E135" s="435"/>
      <c r="F135" s="88"/>
      <c r="G135" s="56">
        <f>SUMIF(JournalsB!D$14:D$920,TrialBalanceB!M135,JournalsB!J$14:J$920)+SUMIF(JournalsB!E$14:E$920,TrialBalanceB!M135,JournalsB!J$14:J$920)</f>
        <v>0</v>
      </c>
      <c r="H135" s="443"/>
      <c r="I135" s="447">
        <f t="shared" si="18"/>
        <v>0</v>
      </c>
      <c r="J135" s="84"/>
      <c r="K135" s="57">
        <f t="shared" si="10"/>
        <v>0</v>
      </c>
      <c r="M135" s="197" t="str">
        <f t="shared" si="11"/>
        <v>3000/240</v>
      </c>
      <c r="N135" s="79"/>
      <c r="P135" s="80"/>
      <c r="Q135" s="60"/>
      <c r="R135" s="34"/>
    </row>
    <row r="136" spans="1:18" x14ac:dyDescent="0.2">
      <c r="A136" s="394"/>
      <c r="B136" s="114" t="s">
        <v>620</v>
      </c>
      <c r="C136" s="431"/>
      <c r="D136" s="428"/>
      <c r="E136" s="435"/>
      <c r="F136" s="88"/>
      <c r="G136" s="56">
        <f>SUMIF(JournalsB!D$14:D$920,TrialBalanceB!M136,JournalsB!J$14:J$920)+SUMIF(JournalsB!E$14:E$920,TrialBalanceB!M136,JournalsB!J$14:J$920)</f>
        <v>0</v>
      </c>
      <c r="H136" s="443"/>
      <c r="I136" s="447">
        <f t="shared" si="18"/>
        <v>0</v>
      </c>
      <c r="J136" s="84"/>
      <c r="K136" s="57">
        <f t="shared" si="10"/>
        <v>0</v>
      </c>
      <c r="M136" s="197" t="str">
        <f t="shared" si="11"/>
        <v>3000/250</v>
      </c>
      <c r="N136" s="79"/>
      <c r="P136" s="80"/>
      <c r="Q136" s="60"/>
      <c r="R136" s="34"/>
    </row>
    <row r="137" spans="1:18" x14ac:dyDescent="0.2">
      <c r="A137" s="394"/>
      <c r="B137" s="114" t="s">
        <v>621</v>
      </c>
      <c r="C137" s="431"/>
      <c r="D137" s="428"/>
      <c r="E137" s="435"/>
      <c r="F137" s="88"/>
      <c r="G137" s="56">
        <f>SUMIF(JournalsB!D$14:D$920,TrialBalanceB!M137,JournalsB!J$14:J$920)+SUMIF(JournalsB!E$14:E$920,TrialBalanceB!M137,JournalsB!J$14:J$920)</f>
        <v>0</v>
      </c>
      <c r="H137" s="443"/>
      <c r="I137" s="447">
        <f t="shared" si="18"/>
        <v>0</v>
      </c>
      <c r="J137" s="84"/>
      <c r="K137" s="57">
        <f t="shared" ref="K137:K206" si="22">ROUND(SUM(A137),0)</f>
        <v>0</v>
      </c>
      <c r="M137" s="197" t="str">
        <f t="shared" ref="M137:M206" si="23">CONCATENATE(B137,C137)</f>
        <v>3000/260</v>
      </c>
      <c r="N137" s="79"/>
      <c r="P137" s="80"/>
      <c r="Q137" s="60"/>
      <c r="R137" s="34"/>
    </row>
    <row r="138" spans="1:18" x14ac:dyDescent="0.2">
      <c r="A138" s="394"/>
      <c r="B138" s="114" t="s">
        <v>622</v>
      </c>
      <c r="C138" s="396" t="s">
        <v>1484</v>
      </c>
      <c r="D138" s="435"/>
      <c r="E138" s="435"/>
      <c r="F138" s="88"/>
      <c r="G138" s="56">
        <f>SUMIF(JournalsB!D$14:D$920,TrialBalanceB!M138,JournalsB!J$14:J$920)+SUMIF(JournalsB!E$14:E$920,TrialBalanceB!M138,JournalsB!J$14:J$920)</f>
        <v>0</v>
      </c>
      <c r="H138" s="443"/>
      <c r="I138" s="447">
        <f t="shared" si="18"/>
        <v>0</v>
      </c>
      <c r="J138" s="84"/>
      <c r="K138" s="57">
        <f t="shared" si="22"/>
        <v>0</v>
      </c>
      <c r="M138" s="197" t="str">
        <f t="shared" si="23"/>
        <v>3000/270Amortisation of prepaid lease agreement</v>
      </c>
      <c r="N138" s="79"/>
      <c r="P138" s="80"/>
      <c r="Q138" s="60"/>
      <c r="R138" s="34"/>
    </row>
    <row r="139" spans="1:18" x14ac:dyDescent="0.2">
      <c r="A139" s="394"/>
      <c r="B139" s="114" t="s">
        <v>1487</v>
      </c>
      <c r="C139" s="398" t="s">
        <v>1488</v>
      </c>
      <c r="D139" s="435"/>
      <c r="E139" s="435"/>
      <c r="F139" s="88"/>
      <c r="G139" s="56">
        <f>SUMIF(JournalsB!D$14:D$920,TrialBalanceB!M139,JournalsB!J$14:J$920)+SUMIF(JournalsB!E$14:E$920,TrialBalanceB!M139,JournalsB!J$14:J$920)</f>
        <v>0</v>
      </c>
      <c r="H139" s="443"/>
      <c r="I139" s="447">
        <f t="shared" ref="I139" si="24">ROUND(D139-E139+G139+F139,0)</f>
        <v>0</v>
      </c>
      <c r="J139" s="84"/>
      <c r="K139" s="57">
        <f t="shared" ref="K139" si="25">ROUND(SUM(A139),0)</f>
        <v>0</v>
      </c>
      <c r="M139" s="197" t="str">
        <f t="shared" ref="M139" si="26">CONCATENATE(B139,C139)</f>
        <v>3000/280Amortisation of goodwill</v>
      </c>
      <c r="N139" s="79"/>
      <c r="P139" s="80"/>
      <c r="Q139" s="60"/>
      <c r="R139" s="34"/>
    </row>
    <row r="140" spans="1:18" x14ac:dyDescent="0.2">
      <c r="A140" s="394"/>
      <c r="B140" s="63" t="s">
        <v>371</v>
      </c>
      <c r="C140" s="397" t="s">
        <v>140</v>
      </c>
      <c r="D140" s="437"/>
      <c r="E140" s="435"/>
      <c r="F140" s="88"/>
      <c r="G140" s="56">
        <f>SUMIF(JournalsB!D$14:D$920,TrialBalanceB!M140,JournalsB!J$14:J$920)+SUMIF(JournalsB!E$14:E$920,TrialBalanceB!M140,JournalsB!J$14:J$920)</f>
        <v>0</v>
      </c>
      <c r="H140" s="443"/>
      <c r="I140" s="447">
        <f t="shared" si="18"/>
        <v>0</v>
      </c>
      <c r="J140" s="84"/>
      <c r="K140" s="57">
        <f t="shared" si="22"/>
        <v>0</v>
      </c>
      <c r="M140" s="197" t="str">
        <f t="shared" si="23"/>
        <v>4700/000FINANCE COSTS</v>
      </c>
      <c r="N140" s="79"/>
      <c r="P140" s="80"/>
      <c r="Q140" s="60"/>
      <c r="R140" s="34"/>
    </row>
    <row r="141" spans="1:18" x14ac:dyDescent="0.2">
      <c r="A141" s="394"/>
      <c r="B141" s="63" t="s">
        <v>372</v>
      </c>
      <c r="C141" s="397" t="s">
        <v>373</v>
      </c>
      <c r="D141" s="437"/>
      <c r="E141" s="435"/>
      <c r="F141" s="88"/>
      <c r="G141" s="56">
        <f>SUMIF(JournalsB!D$14:D$920,TrialBalanceB!M141,JournalsB!J$14:J$920)+SUMIF(JournalsB!E$14:E$920,TrialBalanceB!M141,JournalsB!J$14:J$920)</f>
        <v>0</v>
      </c>
      <c r="H141" s="443"/>
      <c r="I141" s="447">
        <f t="shared" si="18"/>
        <v>0</v>
      </c>
      <c r="J141" s="84"/>
      <c r="K141" s="57">
        <f t="shared" si="22"/>
        <v>0</v>
      </c>
      <c r="M141" s="197" t="str">
        <f t="shared" si="23"/>
        <v>4700/010Interest paid---------------------------</v>
      </c>
      <c r="N141" s="79"/>
      <c r="P141" s="80"/>
      <c r="Q141" s="60"/>
      <c r="R141" s="34"/>
    </row>
    <row r="142" spans="1:18" x14ac:dyDescent="0.2">
      <c r="A142" s="394"/>
      <c r="B142" s="63" t="s">
        <v>374</v>
      </c>
      <c r="C142" s="430"/>
      <c r="D142" s="435"/>
      <c r="E142" s="435"/>
      <c r="F142" s="88"/>
      <c r="G142" s="56">
        <f>SUMIF(JournalsB!D$14:D$920,TrialBalanceB!M142,JournalsB!J$14:J$920)+SUMIF(JournalsB!E$14:E$920,TrialBalanceB!M142,JournalsB!J$14:J$920)</f>
        <v>0</v>
      </c>
      <c r="H142" s="443"/>
      <c r="I142" s="447">
        <f t="shared" si="18"/>
        <v>0</v>
      </c>
      <c r="J142" s="84"/>
      <c r="K142" s="57">
        <f t="shared" si="22"/>
        <v>0</v>
      </c>
      <c r="M142" s="197" t="str">
        <f t="shared" si="23"/>
        <v>4700/011</v>
      </c>
      <c r="N142" s="79"/>
      <c r="P142" s="80"/>
      <c r="Q142" s="60"/>
      <c r="R142" s="34"/>
    </row>
    <row r="143" spans="1:18" x14ac:dyDescent="0.2">
      <c r="A143" s="394"/>
      <c r="B143" s="63" t="s">
        <v>375</v>
      </c>
      <c r="C143" s="431"/>
      <c r="D143" s="428"/>
      <c r="E143" s="435"/>
      <c r="F143" s="88"/>
      <c r="G143" s="56">
        <f>SUMIF(JournalsB!D$14:D$920,TrialBalanceB!M143,JournalsB!J$14:J$920)+SUMIF(JournalsB!E$14:E$920,TrialBalanceB!M143,JournalsB!J$14:J$920)</f>
        <v>0</v>
      </c>
      <c r="H143" s="443"/>
      <c r="I143" s="447">
        <f t="shared" si="18"/>
        <v>0</v>
      </c>
      <c r="J143" s="84"/>
      <c r="K143" s="57">
        <f t="shared" si="22"/>
        <v>0</v>
      </c>
      <c r="M143" s="197" t="str">
        <f t="shared" si="23"/>
        <v>4700/012</v>
      </c>
      <c r="N143" s="79"/>
      <c r="P143" s="80"/>
      <c r="Q143" s="60"/>
      <c r="R143" s="34"/>
    </row>
    <row r="144" spans="1:18" x14ac:dyDescent="0.2">
      <c r="A144" s="394"/>
      <c r="B144" s="63" t="s">
        <v>376</v>
      </c>
      <c r="C144" s="431"/>
      <c r="D144" s="428"/>
      <c r="E144" s="435"/>
      <c r="F144" s="88"/>
      <c r="G144" s="56">
        <f>SUMIF(JournalsB!D$14:D$920,TrialBalanceB!M144,JournalsB!J$14:J$920)+SUMIF(JournalsB!E$14:E$920,TrialBalanceB!M144,JournalsB!J$14:J$920)</f>
        <v>0</v>
      </c>
      <c r="H144" s="443"/>
      <c r="I144" s="447">
        <f t="shared" si="18"/>
        <v>0</v>
      </c>
      <c r="J144" s="84"/>
      <c r="K144" s="57">
        <f t="shared" si="22"/>
        <v>0</v>
      </c>
      <c r="M144" s="197" t="str">
        <f t="shared" si="23"/>
        <v>4700/013</v>
      </c>
      <c r="N144" s="79"/>
      <c r="P144" s="80"/>
      <c r="Q144" s="60"/>
      <c r="R144" s="34"/>
    </row>
    <row r="145" spans="1:18" x14ac:dyDescent="0.2">
      <c r="A145" s="394"/>
      <c r="B145" s="63" t="s">
        <v>377</v>
      </c>
      <c r="C145" s="431"/>
      <c r="D145" s="428"/>
      <c r="E145" s="435"/>
      <c r="F145" s="88"/>
      <c r="G145" s="56">
        <f>SUMIF(JournalsB!D$14:D$920,TrialBalanceB!M145,JournalsB!J$14:J$920)+SUMIF(JournalsB!E$14:E$920,TrialBalanceB!M145,JournalsB!J$14:J$920)</f>
        <v>0</v>
      </c>
      <c r="H145" s="443"/>
      <c r="I145" s="447">
        <f t="shared" si="18"/>
        <v>0</v>
      </c>
      <c r="J145" s="84"/>
      <c r="K145" s="57">
        <f t="shared" si="22"/>
        <v>0</v>
      </c>
      <c r="M145" s="197" t="str">
        <f t="shared" si="23"/>
        <v>4700/014</v>
      </c>
      <c r="N145" s="79"/>
      <c r="P145" s="80"/>
      <c r="Q145" s="60"/>
      <c r="R145" s="34"/>
    </row>
    <row r="146" spans="1:18" x14ac:dyDescent="0.2">
      <c r="A146" s="394"/>
      <c r="B146" s="63" t="s">
        <v>592</v>
      </c>
      <c r="C146" s="431"/>
      <c r="D146" s="428"/>
      <c r="E146" s="435"/>
      <c r="F146" s="88"/>
      <c r="G146" s="56">
        <f>SUMIF(JournalsB!D$14:D$920,TrialBalanceB!M146,JournalsB!J$14:J$920)+SUMIF(JournalsB!E$14:E$920,TrialBalanceB!M146,JournalsB!J$14:J$920)</f>
        <v>0</v>
      </c>
      <c r="H146" s="443"/>
      <c r="I146" s="447">
        <f t="shared" si="18"/>
        <v>0</v>
      </c>
      <c r="J146" s="84"/>
      <c r="K146" s="57">
        <f t="shared" si="22"/>
        <v>0</v>
      </c>
      <c r="M146" s="197" t="str">
        <f t="shared" si="23"/>
        <v>4700/015</v>
      </c>
      <c r="N146" s="79"/>
      <c r="P146" s="80"/>
      <c r="Q146" s="60"/>
      <c r="R146" s="34"/>
    </row>
    <row r="147" spans="1:18" x14ac:dyDescent="0.2">
      <c r="A147" s="394"/>
      <c r="B147" s="63" t="s">
        <v>603</v>
      </c>
      <c r="C147" s="431"/>
      <c r="D147" s="428"/>
      <c r="E147" s="435"/>
      <c r="F147" s="88"/>
      <c r="G147" s="56">
        <f>SUMIF(JournalsB!D$14:D$920,TrialBalanceB!M147,JournalsB!J$14:J$920)+SUMIF(JournalsB!E$14:E$920,TrialBalanceB!M147,JournalsB!J$14:J$920)</f>
        <v>0</v>
      </c>
      <c r="H147" s="443"/>
      <c r="I147" s="447">
        <f t="shared" si="18"/>
        <v>0</v>
      </c>
      <c r="J147" s="84"/>
      <c r="K147" s="57">
        <f t="shared" si="22"/>
        <v>0</v>
      </c>
      <c r="M147" s="197" t="str">
        <f t="shared" si="23"/>
        <v>4700/016</v>
      </c>
      <c r="N147" s="79"/>
      <c r="P147" s="80"/>
      <c r="Q147" s="60"/>
      <c r="R147" s="34"/>
    </row>
    <row r="148" spans="1:18" x14ac:dyDescent="0.2">
      <c r="A148" s="394"/>
      <c r="B148" s="114" t="s">
        <v>675</v>
      </c>
      <c r="C148" s="431"/>
      <c r="D148" s="428"/>
      <c r="E148" s="435"/>
      <c r="F148" s="88"/>
      <c r="G148" s="56">
        <f>SUMIF(JournalsB!D$14:D$920,TrialBalanceB!M148,JournalsB!J$14:J$920)+SUMIF(JournalsB!E$14:E$920,TrialBalanceB!M148,JournalsB!J$14:J$920)</f>
        <v>0</v>
      </c>
      <c r="H148" s="443"/>
      <c r="I148" s="447">
        <f t="shared" ref="I148:I150" si="27">ROUND(D148-E148+G148+F148,0)</f>
        <v>0</v>
      </c>
      <c r="J148" s="84"/>
      <c r="K148" s="57">
        <f t="shared" ref="K148:K150" si="28">ROUND(SUM(A148),0)</f>
        <v>0</v>
      </c>
      <c r="M148" s="197" t="str">
        <f t="shared" ref="M148:M150" si="29">CONCATENATE(B148,C148)</f>
        <v>4700/017</v>
      </c>
      <c r="N148" s="79"/>
      <c r="P148" s="80"/>
      <c r="Q148" s="60"/>
      <c r="R148" s="34"/>
    </row>
    <row r="149" spans="1:18" x14ac:dyDescent="0.2">
      <c r="A149" s="394"/>
      <c r="B149" s="114" t="s">
        <v>767</v>
      </c>
      <c r="C149" s="431"/>
      <c r="D149" s="428"/>
      <c r="E149" s="435"/>
      <c r="F149" s="88"/>
      <c r="G149" s="56">
        <f>SUMIF(JournalsB!D$14:D$920,TrialBalanceB!M149,JournalsB!J$14:J$920)+SUMIF(JournalsB!E$14:E$920,TrialBalanceB!M149,JournalsB!J$14:J$920)</f>
        <v>0</v>
      </c>
      <c r="H149" s="443"/>
      <c r="I149" s="447">
        <f t="shared" si="27"/>
        <v>0</v>
      </c>
      <c r="J149" s="84"/>
      <c r="K149" s="57">
        <f t="shared" si="28"/>
        <v>0</v>
      </c>
      <c r="M149" s="197" t="str">
        <f t="shared" si="29"/>
        <v>4700/018</v>
      </c>
      <c r="N149" s="79"/>
      <c r="P149" s="80"/>
      <c r="Q149" s="60"/>
      <c r="R149" s="34"/>
    </row>
    <row r="150" spans="1:18" x14ac:dyDescent="0.2">
      <c r="A150" s="394"/>
      <c r="B150" s="114" t="s">
        <v>768</v>
      </c>
      <c r="C150" s="431"/>
      <c r="D150" s="428"/>
      <c r="E150" s="435"/>
      <c r="F150" s="88"/>
      <c r="G150" s="56">
        <f>SUMIF(JournalsB!D$14:D$920,TrialBalanceB!M150,JournalsB!J$14:J$920)+SUMIF(JournalsB!E$14:E$920,TrialBalanceB!M150,JournalsB!J$14:J$920)</f>
        <v>0</v>
      </c>
      <c r="H150" s="443"/>
      <c r="I150" s="447">
        <f t="shared" si="27"/>
        <v>0</v>
      </c>
      <c r="J150" s="84"/>
      <c r="K150" s="57">
        <f t="shared" si="28"/>
        <v>0</v>
      </c>
      <c r="M150" s="197" t="str">
        <f t="shared" si="29"/>
        <v>4700/019</v>
      </c>
      <c r="N150" s="79"/>
      <c r="P150" s="80"/>
      <c r="Q150" s="60"/>
      <c r="R150" s="34"/>
    </row>
    <row r="151" spans="1:18" x14ac:dyDescent="0.2">
      <c r="A151" s="394"/>
      <c r="B151" s="114" t="s">
        <v>378</v>
      </c>
      <c r="C151" s="431"/>
      <c r="D151" s="428"/>
      <c r="E151" s="435"/>
      <c r="F151" s="88"/>
      <c r="G151" s="56">
        <f>SUMIF(JournalsB!D$14:D$920,TrialBalanceB!M151,JournalsB!J$14:J$920)+SUMIF(JournalsB!E$14:E$920,TrialBalanceB!M151,JournalsB!J$14:J$920)</f>
        <v>0</v>
      </c>
      <c r="H151" s="443"/>
      <c r="I151" s="447">
        <f t="shared" si="18"/>
        <v>0</v>
      </c>
      <c r="J151" s="84"/>
      <c r="K151" s="57">
        <f t="shared" si="22"/>
        <v>0</v>
      </c>
      <c r="M151" s="197" t="str">
        <f t="shared" si="23"/>
        <v>4700/020</v>
      </c>
      <c r="N151" s="79"/>
      <c r="P151" s="80"/>
      <c r="Q151" s="60"/>
      <c r="R151" s="34"/>
    </row>
    <row r="152" spans="1:18" x14ac:dyDescent="0.2">
      <c r="A152" s="394"/>
      <c r="B152" s="114" t="s">
        <v>769</v>
      </c>
      <c r="C152" s="395" t="str">
        <f>CONCATENATE("Interest on finance leases - ",Criteria!H15)</f>
        <v>Interest on finance leases - Rental Properties</v>
      </c>
      <c r="D152" s="436"/>
      <c r="E152" s="435"/>
      <c r="F152" s="88"/>
      <c r="G152" s="56">
        <f>SUMIF(JournalsB!D$14:D$920,TrialBalanceB!M152,JournalsB!J$14:J$920)+SUMIF(JournalsB!E$14:E$920,TrialBalanceB!M152,JournalsB!J$14:J$920)</f>
        <v>0</v>
      </c>
      <c r="H152" s="443"/>
      <c r="I152" s="447">
        <f t="shared" si="18"/>
        <v>0</v>
      </c>
      <c r="J152" s="84"/>
      <c r="K152" s="57">
        <f t="shared" si="22"/>
        <v>0</v>
      </c>
      <c r="M152" s="197" t="str">
        <f t="shared" si="23"/>
        <v>4700/021Interest on finance leases - Rental Properties</v>
      </c>
      <c r="N152" s="79"/>
      <c r="P152" s="80"/>
      <c r="Q152" s="60"/>
      <c r="R152" s="34"/>
    </row>
    <row r="153" spans="1:18" x14ac:dyDescent="0.2">
      <c r="A153" s="394"/>
      <c r="B153" s="63" t="s">
        <v>524</v>
      </c>
      <c r="C153" s="397" t="s">
        <v>416</v>
      </c>
      <c r="D153" s="437"/>
      <c r="E153" s="435"/>
      <c r="F153" s="88"/>
      <c r="G153" s="56">
        <f>SUMIF(JournalsB!D$14:D$920,TrialBalanceB!M153,JournalsB!J$14:J$920)+SUMIF(JournalsB!E$14:E$920,TrialBalanceB!M153,JournalsB!J$14:J$920)</f>
        <v>0</v>
      </c>
      <c r="H153" s="443"/>
      <c r="I153" s="447">
        <f t="shared" si="18"/>
        <v>0</v>
      </c>
      <c r="J153" s="84"/>
      <c r="K153" s="57">
        <f t="shared" si="22"/>
        <v>0</v>
      </c>
      <c r="M153" s="197" t="str">
        <f t="shared" si="23"/>
        <v>4750/000OTHER</v>
      </c>
      <c r="N153" s="79"/>
      <c r="P153" s="80"/>
      <c r="Q153" s="60"/>
      <c r="R153" s="34"/>
    </row>
    <row r="154" spans="1:18" x14ac:dyDescent="0.2">
      <c r="A154" s="394"/>
      <c r="B154" s="63" t="s">
        <v>525</v>
      </c>
      <c r="C154" s="396" t="s">
        <v>1486</v>
      </c>
      <c r="D154" s="428"/>
      <c r="E154" s="435"/>
      <c r="F154" s="88"/>
      <c r="G154" s="56">
        <f>SUMIF(JournalsB!D$14:D$920,TrialBalanceB!M154,JournalsB!J$14:J$920)+SUMIF(JournalsB!E$14:E$920,TrialBalanceB!M154,JournalsB!J$14:J$920)</f>
        <v>0</v>
      </c>
      <c r="H154" s="443"/>
      <c r="I154" s="447">
        <f t="shared" si="18"/>
        <v>0</v>
      </c>
      <c r="J154" s="84"/>
      <c r="K154" s="57">
        <f t="shared" si="22"/>
        <v>0</v>
      </c>
      <c r="M154" s="197" t="str">
        <f t="shared" si="23"/>
        <v>4750/010Impairment losses</v>
      </c>
      <c r="N154" s="79"/>
      <c r="P154" s="80"/>
      <c r="Q154" s="60"/>
      <c r="R154" s="34"/>
    </row>
    <row r="155" spans="1:18" x14ac:dyDescent="0.2">
      <c r="A155" s="394"/>
      <c r="B155" s="114" t="s">
        <v>1553</v>
      </c>
      <c r="C155" s="396" t="s">
        <v>1554</v>
      </c>
      <c r="D155" s="428"/>
      <c r="E155" s="435"/>
      <c r="F155" s="88"/>
      <c r="G155" s="56">
        <f>SUMIF(JournalsB!D$14:D$920,TrialBalanceB!M155,JournalsB!J$14:J$920)+SUMIF(JournalsB!E$14:E$920,TrialBalanceB!M155,JournalsB!J$14:J$920)</f>
        <v>0</v>
      </c>
      <c r="H155" s="443"/>
      <c r="I155" s="447">
        <f t="shared" ref="I155" si="30">ROUND(D155-E155+G155+F155,0)</f>
        <v>0</v>
      </c>
      <c r="J155" s="84"/>
      <c r="K155" s="57">
        <f t="shared" ref="K155" si="31">ROUND(SUM(A155),0)</f>
        <v>0</v>
      </c>
      <c r="M155" s="197" t="str">
        <f t="shared" ref="M155" si="32">CONCATENATE(B155,C155)</f>
        <v>4750/020Reversal - revaluation of investment property</v>
      </c>
      <c r="N155" s="79"/>
      <c r="P155" s="80"/>
      <c r="Q155" s="60"/>
      <c r="R155" s="34"/>
    </row>
    <row r="156" spans="1:18" x14ac:dyDescent="0.2">
      <c r="A156" s="394"/>
      <c r="B156" s="63" t="s">
        <v>379</v>
      </c>
      <c r="C156" s="397" t="s">
        <v>380</v>
      </c>
      <c r="D156" s="437"/>
      <c r="E156" s="435"/>
      <c r="F156" s="88"/>
      <c r="G156" s="56">
        <f>SUMIF(JournalsB!D$14:D$920,TrialBalanceB!M156,JournalsB!J$14:J$920)+SUMIF(JournalsB!E$14:E$920,TrialBalanceB!M156,JournalsB!J$14:J$920)</f>
        <v>0</v>
      </c>
      <c r="H156" s="443"/>
      <c r="I156" s="447">
        <f t="shared" si="18"/>
        <v>0</v>
      </c>
      <c r="J156" s="84"/>
      <c r="K156" s="57">
        <f t="shared" si="22"/>
        <v>0</v>
      </c>
      <c r="M156" s="197" t="str">
        <f t="shared" si="23"/>
        <v>4800/000NORMAL TAXATION</v>
      </c>
      <c r="N156" s="79"/>
      <c r="P156" s="80"/>
      <c r="Q156" s="60"/>
      <c r="R156" s="34"/>
    </row>
    <row r="157" spans="1:18" x14ac:dyDescent="0.2">
      <c r="A157" s="394"/>
      <c r="B157" s="63" t="s">
        <v>381</v>
      </c>
      <c r="C157" s="395" t="s">
        <v>382</v>
      </c>
      <c r="D157" s="436"/>
      <c r="E157" s="435"/>
      <c r="F157" s="88"/>
      <c r="G157" s="56">
        <f>SUMIF(JournalsB!D$14:D$920,TrialBalanceB!M157,JournalsB!J$14:J$920)+SUMIF(JournalsB!E$14:E$920,TrialBalanceB!M157,JournalsB!J$14:J$920)</f>
        <v>0</v>
      </c>
      <c r="H157" s="443"/>
      <c r="I157" s="447">
        <f t="shared" si="18"/>
        <v>0</v>
      </c>
      <c r="J157" s="84"/>
      <c r="K157" s="57">
        <f t="shared" si="22"/>
        <v>0</v>
      </c>
      <c r="M157" s="197" t="str">
        <f t="shared" si="23"/>
        <v>4800/001Tax provided this year</v>
      </c>
      <c r="N157" s="79"/>
      <c r="P157" s="80"/>
      <c r="Q157" s="60"/>
      <c r="R157" s="34"/>
    </row>
    <row r="158" spans="1:18" x14ac:dyDescent="0.2">
      <c r="A158" s="394"/>
      <c r="B158" s="63" t="s">
        <v>383</v>
      </c>
      <c r="C158" s="395" t="s">
        <v>384</v>
      </c>
      <c r="D158" s="436"/>
      <c r="E158" s="435"/>
      <c r="F158" s="88"/>
      <c r="G158" s="56">
        <f>SUMIF(JournalsB!D$14:D$920,TrialBalanceB!M158,JournalsB!J$14:J$920)+SUMIF(JournalsB!E$14:E$920,TrialBalanceB!M158,JournalsB!J$14:J$920)</f>
        <v>0</v>
      </c>
      <c r="H158" s="443"/>
      <c r="I158" s="447">
        <f t="shared" si="18"/>
        <v>0</v>
      </c>
      <c r="J158" s="84"/>
      <c r="K158" s="57">
        <f t="shared" si="22"/>
        <v>0</v>
      </c>
      <c r="M158" s="197" t="str">
        <f t="shared" si="23"/>
        <v>4800/002Tax adjustment previous year</v>
      </c>
      <c r="N158" s="79"/>
      <c r="P158" s="80"/>
      <c r="Q158" s="60"/>
      <c r="R158" s="34"/>
    </row>
    <row r="159" spans="1:18" x14ac:dyDescent="0.2">
      <c r="A159" s="394"/>
      <c r="B159" s="63" t="s">
        <v>231</v>
      </c>
      <c r="C159" s="397" t="s">
        <v>232</v>
      </c>
      <c r="D159" s="437"/>
      <c r="E159" s="435"/>
      <c r="F159" s="88"/>
      <c r="G159" s="56">
        <f>SUMIF(JournalsB!D$14:D$920,TrialBalanceB!M159,JournalsB!J$14:J$920)+SUMIF(JournalsB!E$14:E$920,TrialBalanceB!M159,JournalsB!J$14:J$920)</f>
        <v>0</v>
      </c>
      <c r="H159" s="443"/>
      <c r="I159" s="447">
        <f t="shared" si="18"/>
        <v>0</v>
      </c>
      <c r="J159" s="84"/>
      <c r="K159" s="57">
        <f t="shared" si="22"/>
        <v>0</v>
      </c>
      <c r="M159" s="197" t="str">
        <f t="shared" si="23"/>
        <v>4820/000DEFERRED TAX</v>
      </c>
      <c r="N159" s="79"/>
      <c r="P159" s="80"/>
      <c r="Q159" s="60"/>
      <c r="R159" s="34"/>
    </row>
    <row r="160" spans="1:18" x14ac:dyDescent="0.2">
      <c r="A160" s="394"/>
      <c r="B160" s="63" t="s">
        <v>233</v>
      </c>
      <c r="C160" s="395" t="s">
        <v>234</v>
      </c>
      <c r="D160" s="436"/>
      <c r="E160" s="435"/>
      <c r="F160" s="88"/>
      <c r="G160" s="56">
        <f>SUMIF(JournalsB!D$14:D$920,TrialBalanceB!M160,JournalsB!J$14:J$920)+SUMIF(JournalsB!E$14:E$920,TrialBalanceB!M160,JournalsB!J$14:J$920)</f>
        <v>0</v>
      </c>
      <c r="H160" s="443"/>
      <c r="I160" s="447">
        <f t="shared" si="18"/>
        <v>0</v>
      </c>
      <c r="J160" s="84"/>
      <c r="K160" s="57">
        <f t="shared" si="22"/>
        <v>0</v>
      </c>
      <c r="M160" s="197" t="str">
        <f t="shared" si="23"/>
        <v>4820/001Deferred tax this year</v>
      </c>
      <c r="N160" s="79"/>
      <c r="P160" s="80"/>
      <c r="Q160" s="60"/>
      <c r="R160" s="34"/>
    </row>
    <row r="161" spans="1:18" x14ac:dyDescent="0.2">
      <c r="A161" s="394"/>
      <c r="B161" s="114" t="s">
        <v>235</v>
      </c>
      <c r="C161" s="398" t="s">
        <v>1591</v>
      </c>
      <c r="D161" s="436"/>
      <c r="E161" s="435"/>
      <c r="F161" s="88"/>
      <c r="G161" s="56">
        <f>SUMIF(JournalsB!D$14:D$920,TrialBalanceB!M161,JournalsB!J$14:J$920)+SUMIF(JournalsB!E$14:E$920,TrialBalanceB!M161,JournalsB!J$14:J$920)</f>
        <v>0</v>
      </c>
      <c r="H161" s="443"/>
      <c r="I161" s="447">
        <f t="shared" ref="I161" si="33">ROUND(D161-E161+G161+F161,0)</f>
        <v>0</v>
      </c>
      <c r="J161" s="84"/>
      <c r="K161" s="57">
        <f t="shared" ref="K161" si="34">ROUND(SUM(A161),0)</f>
        <v>0</v>
      </c>
      <c r="M161" s="197" t="str">
        <f t="shared" ref="M161" si="35">CONCATENATE(B161,C161)</f>
        <v>4820/002Deferred tax adjustment on income tax rate change</v>
      </c>
      <c r="N161" s="79"/>
      <c r="P161" s="80"/>
      <c r="Q161" s="60"/>
      <c r="R161" s="34"/>
    </row>
    <row r="162" spans="1:18" x14ac:dyDescent="0.2">
      <c r="A162" s="394"/>
      <c r="B162" s="114" t="s">
        <v>1592</v>
      </c>
      <c r="C162" s="395" t="s">
        <v>236</v>
      </c>
      <c r="D162" s="436"/>
      <c r="E162" s="435"/>
      <c r="F162" s="88"/>
      <c r="G162" s="56">
        <f>SUMIF(JournalsB!D$14:D$920,TrialBalanceB!M162,JournalsB!J$14:J$920)+SUMIF(JournalsB!E$14:E$920,TrialBalanceB!M162,JournalsB!J$14:J$920)</f>
        <v>0</v>
      </c>
      <c r="H162" s="443"/>
      <c r="I162" s="447">
        <f t="shared" si="18"/>
        <v>0</v>
      </c>
      <c r="J162" s="84"/>
      <c r="K162" s="57">
        <f t="shared" si="22"/>
        <v>0</v>
      </c>
      <c r="M162" s="197" t="str">
        <f t="shared" si="23"/>
        <v>4820/003Deferred tax adjustment previous year</v>
      </c>
      <c r="N162" s="79"/>
      <c r="P162" s="80"/>
      <c r="Q162" s="60"/>
      <c r="R162" s="34"/>
    </row>
    <row r="163" spans="1:18" x14ac:dyDescent="0.2">
      <c r="A163" s="394"/>
      <c r="B163" s="63" t="s">
        <v>237</v>
      </c>
      <c r="C163" s="398" t="s">
        <v>565</v>
      </c>
      <c r="D163" s="436"/>
      <c r="E163" s="435"/>
      <c r="F163" s="88"/>
      <c r="G163" s="56">
        <f>SUMIF(JournalsB!D$14:D$920,TrialBalanceB!M163,JournalsB!J$14:J$920)+SUMIF(JournalsB!E$14:E$920,TrialBalanceB!M163,JournalsB!J$14:J$920)</f>
        <v>0</v>
      </c>
      <c r="H163" s="443"/>
      <c r="I163" s="447">
        <f t="shared" si="18"/>
        <v>0</v>
      </c>
      <c r="J163" s="84"/>
      <c r="K163" s="57">
        <f t="shared" si="22"/>
        <v>0</v>
      </c>
      <c r="M163" s="197" t="str">
        <f t="shared" si="23"/>
        <v>4850/000Dividends declared</v>
      </c>
      <c r="N163" s="79"/>
      <c r="P163" s="80"/>
      <c r="Q163" s="60"/>
      <c r="R163" s="34"/>
    </row>
    <row r="164" spans="1:18" x14ac:dyDescent="0.2">
      <c r="A164" s="394"/>
      <c r="B164" s="63" t="s">
        <v>238</v>
      </c>
      <c r="C164" s="395" t="s">
        <v>264</v>
      </c>
      <c r="D164" s="436"/>
      <c r="E164" s="435"/>
      <c r="F164" s="88"/>
      <c r="G164" s="56">
        <f>SUMIF(JournalsB!D$14:D$920,TrialBalanceB!M164,JournalsB!J$14:J$920)+SUMIF(JournalsB!E$14:E$920,TrialBalanceB!M164,JournalsB!J$14:J$920)</f>
        <v>0</v>
      </c>
      <c r="H164" s="443"/>
      <c r="I164" s="447">
        <f t="shared" si="18"/>
        <v>0</v>
      </c>
      <c r="J164" s="84"/>
      <c r="K164" s="57">
        <f t="shared" si="22"/>
        <v>0</v>
      </c>
      <c r="M164" s="197" t="str">
        <f t="shared" si="23"/>
        <v>4860/000Dividends paid</v>
      </c>
      <c r="N164" s="79"/>
      <c r="P164" s="80"/>
      <c r="Q164" s="60"/>
      <c r="R164" s="34"/>
    </row>
    <row r="165" spans="1:18" x14ac:dyDescent="0.2">
      <c r="A165" s="394"/>
      <c r="B165" s="63" t="s">
        <v>284</v>
      </c>
      <c r="C165" s="395"/>
      <c r="D165" s="436"/>
      <c r="E165" s="428"/>
      <c r="F165" s="88"/>
      <c r="G165" s="56"/>
      <c r="H165" s="443"/>
      <c r="I165" s="447">
        <f t="shared" si="18"/>
        <v>0</v>
      </c>
      <c r="J165" s="84"/>
      <c r="K165" s="57">
        <f t="shared" si="22"/>
        <v>0</v>
      </c>
      <c r="M165" s="197" t="str">
        <f t="shared" si="23"/>
        <v/>
      </c>
      <c r="N165" s="79"/>
      <c r="P165" s="80"/>
      <c r="Q165" s="60"/>
      <c r="R165" s="34"/>
    </row>
    <row r="166" spans="1:18" x14ac:dyDescent="0.2">
      <c r="A166" s="394"/>
      <c r="B166" s="63" t="s">
        <v>284</v>
      </c>
      <c r="C166" s="395" t="s">
        <v>284</v>
      </c>
      <c r="D166" s="436"/>
      <c r="E166" s="428"/>
      <c r="F166" s="88"/>
      <c r="G166" s="56"/>
      <c r="H166" s="443"/>
      <c r="I166" s="447">
        <f t="shared" si="18"/>
        <v>0</v>
      </c>
      <c r="J166" s="84"/>
      <c r="K166" s="57">
        <f t="shared" si="22"/>
        <v>0</v>
      </c>
      <c r="M166" s="197" t="str">
        <f t="shared" si="23"/>
        <v/>
      </c>
      <c r="N166" s="79"/>
      <c r="P166" s="80"/>
      <c r="Q166" s="60"/>
      <c r="R166" s="34"/>
    </row>
    <row r="167" spans="1:18" x14ac:dyDescent="0.2">
      <c r="A167" s="394"/>
      <c r="B167" s="63" t="s">
        <v>284</v>
      </c>
      <c r="C167" s="395"/>
      <c r="D167" s="436"/>
      <c r="E167" s="428"/>
      <c r="F167" s="88"/>
      <c r="G167" s="56"/>
      <c r="H167" s="443"/>
      <c r="I167" s="447">
        <f t="shared" si="18"/>
        <v>0</v>
      </c>
      <c r="J167" s="84"/>
      <c r="K167" s="57">
        <f t="shared" si="22"/>
        <v>0</v>
      </c>
      <c r="M167" s="197" t="str">
        <f t="shared" si="23"/>
        <v/>
      </c>
      <c r="N167" s="79"/>
      <c r="P167" s="80"/>
      <c r="Q167" s="60"/>
      <c r="R167" s="34"/>
    </row>
    <row r="168" spans="1:18" x14ac:dyDescent="0.2">
      <c r="A168" s="394"/>
      <c r="B168" s="63" t="s">
        <v>582</v>
      </c>
      <c r="C168" s="397" t="s">
        <v>571</v>
      </c>
      <c r="D168" s="437"/>
      <c r="E168" s="428"/>
      <c r="F168" s="88"/>
      <c r="G168" s="56">
        <f>SUMIF(JournalsB!D$14:D$920,TrialBalanceB!M168,JournalsB!J$14:J$920)+SUMIF(JournalsB!E$14:E$920,TrialBalanceB!M168,JournalsB!J$14:J$920)</f>
        <v>0</v>
      </c>
      <c r="H168" s="443"/>
      <c r="I168" s="447">
        <f t="shared" si="18"/>
        <v>0</v>
      </c>
      <c r="J168" s="84"/>
      <c r="K168" s="57">
        <f t="shared" si="22"/>
        <v>0</v>
      </c>
      <c r="M168" s="197" t="str">
        <f t="shared" si="23"/>
        <v>5100/000SHARE CAPITAL</v>
      </c>
      <c r="N168" s="79"/>
      <c r="P168" s="80"/>
      <c r="Q168" s="60"/>
      <c r="R168" s="34"/>
    </row>
    <row r="169" spans="1:18" x14ac:dyDescent="0.2">
      <c r="A169" s="394"/>
      <c r="B169" s="63" t="s">
        <v>583</v>
      </c>
      <c r="C169" s="398" t="s">
        <v>999</v>
      </c>
      <c r="D169" s="436"/>
      <c r="E169" s="428"/>
      <c r="F169" s="88">
        <f>SUM(K169:K170)</f>
        <v>0</v>
      </c>
      <c r="G169" s="56">
        <f>SUMIF(JournalsB!D$14:D$920,TrialBalanceB!M169,JournalsB!J$14:J$920)+SUMIF(JournalsB!E$14:E$920,TrialBalanceB!M169,JournalsB!J$14:J$920)</f>
        <v>0</v>
      </c>
      <c r="H169" s="443"/>
      <c r="I169" s="447">
        <f t="shared" si="18"/>
        <v>0</v>
      </c>
      <c r="J169" s="84"/>
      <c r="K169" s="57">
        <f t="shared" si="22"/>
        <v>0</v>
      </c>
      <c r="M169" s="197" t="str">
        <f t="shared" si="23"/>
        <v>5100/001Share capital - balance b/fwd</v>
      </c>
      <c r="N169" s="79"/>
      <c r="P169" s="80"/>
      <c r="Q169" s="60"/>
      <c r="R169" s="34"/>
    </row>
    <row r="170" spans="1:18" x14ac:dyDescent="0.2">
      <c r="A170" s="394"/>
      <c r="B170" s="63" t="s">
        <v>584</v>
      </c>
      <c r="C170" s="398" t="s">
        <v>1000</v>
      </c>
      <c r="D170" s="436"/>
      <c r="E170" s="428"/>
      <c r="F170" s="88"/>
      <c r="G170" s="56">
        <f>SUMIF(JournalsB!D$14:D$920,TrialBalanceB!M170,JournalsB!J$14:J$920)+SUMIF(JournalsB!E$14:E$920,TrialBalanceB!M170,JournalsB!J$14:J$920)</f>
        <v>0</v>
      </c>
      <c r="H170" s="443"/>
      <c r="I170" s="447">
        <f t="shared" si="18"/>
        <v>0</v>
      </c>
      <c r="J170" s="84"/>
      <c r="K170" s="57">
        <f t="shared" si="22"/>
        <v>0</v>
      </c>
      <c r="M170" s="197" t="str">
        <f t="shared" si="23"/>
        <v>5100/002Share capital - additions</v>
      </c>
      <c r="N170" s="79"/>
      <c r="P170" s="80"/>
      <c r="Q170" s="60"/>
      <c r="R170" s="34"/>
    </row>
    <row r="171" spans="1:18" x14ac:dyDescent="0.2">
      <c r="A171" s="394"/>
      <c r="B171" s="105" t="s">
        <v>585</v>
      </c>
      <c r="C171" s="434" t="s">
        <v>577</v>
      </c>
      <c r="D171" s="446"/>
      <c r="E171" s="428"/>
      <c r="F171" s="88"/>
      <c r="G171" s="56">
        <f>SUMIF(JournalsB!D$14:D$920,TrialBalanceB!M171,JournalsB!J$14:J$920)+SUMIF(JournalsB!E$14:E$920,TrialBalanceB!M171,JournalsB!J$14:J$920)</f>
        <v>0</v>
      </c>
      <c r="H171" s="443"/>
      <c r="I171" s="447">
        <f t="shared" ref="I171:I252" si="36">ROUND(D171-E171+G171+F171,0)</f>
        <v>0</v>
      </c>
      <c r="J171" s="84"/>
      <c r="K171" s="57">
        <f t="shared" si="22"/>
        <v>0</v>
      </c>
      <c r="M171" s="197" t="str">
        <f t="shared" si="23"/>
        <v>5110/000SHARE PREMIUM</v>
      </c>
      <c r="N171" s="79"/>
      <c r="P171" s="80"/>
      <c r="Q171" s="60"/>
      <c r="R171" s="34"/>
    </row>
    <row r="172" spans="1:18" x14ac:dyDescent="0.2">
      <c r="A172" s="394"/>
      <c r="B172" s="105" t="s">
        <v>586</v>
      </c>
      <c r="C172" s="398" t="s">
        <v>1001</v>
      </c>
      <c r="D172" s="441"/>
      <c r="E172" s="428"/>
      <c r="F172" s="88">
        <f>SUM(K172:K174)</f>
        <v>0</v>
      </c>
      <c r="G172" s="56">
        <f>SUMIF(JournalsB!D$14:D$920,TrialBalanceB!M172,JournalsB!J$14:J$920)+SUMIF(JournalsB!E$14:E$920,TrialBalanceB!M172,JournalsB!J$14:J$920)</f>
        <v>0</v>
      </c>
      <c r="H172" s="443"/>
      <c r="I172" s="447">
        <f t="shared" si="36"/>
        <v>0</v>
      </c>
      <c r="J172" s="84"/>
      <c r="K172" s="57">
        <f t="shared" si="22"/>
        <v>0</v>
      </c>
      <c r="M172" s="197" t="str">
        <f t="shared" si="23"/>
        <v>5110/001Share premium - balance b/fwd</v>
      </c>
      <c r="N172" s="79"/>
      <c r="P172" s="80"/>
      <c r="Q172" s="60"/>
      <c r="R172" s="34"/>
    </row>
    <row r="173" spans="1:18" x14ac:dyDescent="0.2">
      <c r="A173" s="394"/>
      <c r="B173" s="105" t="s">
        <v>587</v>
      </c>
      <c r="C173" s="398" t="s">
        <v>1002</v>
      </c>
      <c r="D173" s="441"/>
      <c r="E173" s="428"/>
      <c r="F173" s="88"/>
      <c r="G173" s="56">
        <f>SUMIF(JournalsB!D$14:D$920,TrialBalanceB!M173,JournalsB!J$14:J$920)+SUMIF(JournalsB!E$14:E$920,TrialBalanceB!M173,JournalsB!J$14:J$920)</f>
        <v>0</v>
      </c>
      <c r="H173" s="443"/>
      <c r="I173" s="447">
        <f t="shared" si="36"/>
        <v>0</v>
      </c>
      <c r="J173" s="84"/>
      <c r="K173" s="57">
        <f t="shared" si="22"/>
        <v>0</v>
      </c>
      <c r="M173" s="197" t="str">
        <f t="shared" si="23"/>
        <v>5110/002Share premium - additions</v>
      </c>
      <c r="N173" s="79"/>
      <c r="P173" s="80"/>
      <c r="Q173" s="60"/>
      <c r="R173" s="34"/>
    </row>
    <row r="174" spans="1:18" x14ac:dyDescent="0.2">
      <c r="A174" s="394"/>
      <c r="B174" s="105" t="s">
        <v>588</v>
      </c>
      <c r="C174" s="404" t="s">
        <v>589</v>
      </c>
      <c r="D174" s="441"/>
      <c r="E174" s="428"/>
      <c r="F174" s="88"/>
      <c r="G174" s="56">
        <f>SUMIF(JournalsB!D$14:D$920,TrialBalanceB!M174,JournalsB!J$14:J$920)+SUMIF(JournalsB!E$14:E$920,TrialBalanceB!M174,JournalsB!J$14:J$920)</f>
        <v>0</v>
      </c>
      <c r="H174" s="443"/>
      <c r="I174" s="447">
        <f t="shared" si="36"/>
        <v>0</v>
      </c>
      <c r="J174" s="84"/>
      <c r="K174" s="57">
        <f t="shared" si="22"/>
        <v>0</v>
      </c>
      <c r="M174" s="197" t="str">
        <f t="shared" si="23"/>
        <v>5110/003Share premium - transfer</v>
      </c>
      <c r="N174" s="79"/>
      <c r="P174" s="80"/>
      <c r="Q174" s="60"/>
      <c r="R174" s="34"/>
    </row>
    <row r="175" spans="1:18" x14ac:dyDescent="0.2">
      <c r="A175" s="394"/>
      <c r="B175" s="63" t="s">
        <v>534</v>
      </c>
      <c r="C175" s="397" t="s">
        <v>1329</v>
      </c>
      <c r="D175" s="437"/>
      <c r="E175" s="428"/>
      <c r="F175" s="88"/>
      <c r="G175" s="56">
        <f>SUMIF(JournalsB!D$14:D$920,TrialBalanceB!M175,JournalsB!J$14:J$920)+SUMIF(JournalsB!E$14:E$920,TrialBalanceB!M175,JournalsB!J$14:J$920)</f>
        <v>0</v>
      </c>
      <c r="H175" s="443"/>
      <c r="I175" s="447">
        <f t="shared" si="36"/>
        <v>0</v>
      </c>
      <c r="J175" s="84"/>
      <c r="K175" s="57">
        <f t="shared" si="22"/>
        <v>0</v>
      </c>
      <c r="M175" s="197" t="str">
        <f t="shared" si="23"/>
        <v>5120/000REVALUATION RESERVE</v>
      </c>
      <c r="N175" s="79"/>
      <c r="P175" s="80"/>
      <c r="Q175" s="60"/>
      <c r="R175" s="34"/>
    </row>
    <row r="176" spans="1:18" x14ac:dyDescent="0.2">
      <c r="A176" s="394"/>
      <c r="B176" s="63" t="s">
        <v>535</v>
      </c>
      <c r="C176" s="398" t="s">
        <v>1330</v>
      </c>
      <c r="D176" s="436"/>
      <c r="E176" s="428"/>
      <c r="F176" s="88">
        <f>SUM(K176:K178)</f>
        <v>0</v>
      </c>
      <c r="G176" s="56">
        <f>SUMIF(JournalsB!D$14:D$920,TrialBalanceB!M176,JournalsB!J$14:J$920)+SUMIF(JournalsB!E$14:E$920,TrialBalanceB!M176,JournalsB!J$14:J$920)</f>
        <v>0</v>
      </c>
      <c r="H176" s="443"/>
      <c r="I176" s="447">
        <f t="shared" si="36"/>
        <v>0</v>
      </c>
      <c r="J176" s="84"/>
      <c r="K176" s="57">
        <f t="shared" si="22"/>
        <v>0</v>
      </c>
      <c r="M176" s="197" t="str">
        <f t="shared" si="23"/>
        <v>5120/001Revaluation reserve - balance b/fwd</v>
      </c>
      <c r="N176" s="79"/>
      <c r="P176" s="80"/>
      <c r="Q176" s="60"/>
      <c r="R176" s="34"/>
    </row>
    <row r="177" spans="1:18" x14ac:dyDescent="0.2">
      <c r="A177" s="394"/>
      <c r="B177" s="63" t="s">
        <v>536</v>
      </c>
      <c r="C177" s="398" t="s">
        <v>1331</v>
      </c>
      <c r="D177" s="436"/>
      <c r="E177" s="428"/>
      <c r="F177" s="88"/>
      <c r="G177" s="56">
        <f>SUMIF(JournalsB!D$14:D$920,TrialBalanceB!M177,JournalsB!J$14:J$920)+SUMIF(JournalsB!E$14:E$920,TrialBalanceB!M177,JournalsB!J$14:J$920)</f>
        <v>0</v>
      </c>
      <c r="H177" s="443"/>
      <c r="I177" s="447">
        <f t="shared" si="36"/>
        <v>0</v>
      </c>
      <c r="J177" s="84"/>
      <c r="K177" s="57">
        <f t="shared" si="22"/>
        <v>0</v>
      </c>
      <c r="M177" s="197" t="str">
        <f t="shared" si="23"/>
        <v>5120/002Revaluation reserve - additions</v>
      </c>
      <c r="N177" s="79"/>
      <c r="P177" s="80"/>
      <c r="Q177" s="60"/>
      <c r="R177" s="34"/>
    </row>
    <row r="178" spans="1:18" x14ac:dyDescent="0.2">
      <c r="A178" s="394"/>
      <c r="B178" s="63" t="s">
        <v>537</v>
      </c>
      <c r="C178" s="398" t="s">
        <v>1332</v>
      </c>
      <c r="D178" s="436"/>
      <c r="E178" s="428"/>
      <c r="F178" s="88"/>
      <c r="G178" s="56">
        <f>SUMIF(JournalsB!D$14:D$920,TrialBalanceB!M178,JournalsB!J$14:J$920)+SUMIF(JournalsB!E$14:E$920,TrialBalanceB!M178,JournalsB!J$14:J$920)</f>
        <v>0</v>
      </c>
      <c r="H178" s="443"/>
      <c r="I178" s="447">
        <f t="shared" si="36"/>
        <v>0</v>
      </c>
      <c r="J178" s="84"/>
      <c r="K178" s="57">
        <f t="shared" si="22"/>
        <v>0</v>
      </c>
      <c r="M178" s="197" t="str">
        <f t="shared" si="23"/>
        <v>5120/003Revaluation reserve - transfer</v>
      </c>
      <c r="N178" s="79"/>
      <c r="P178" s="80"/>
      <c r="Q178" s="60"/>
      <c r="R178" s="34"/>
    </row>
    <row r="179" spans="1:18" x14ac:dyDescent="0.2">
      <c r="A179" s="394"/>
      <c r="B179" s="63" t="s">
        <v>106</v>
      </c>
      <c r="C179" s="397" t="s">
        <v>304</v>
      </c>
      <c r="D179" s="437"/>
      <c r="E179" s="428"/>
      <c r="F179" s="88"/>
      <c r="G179" s="56">
        <f>SUMIF(JournalsB!D$14:D$920,TrialBalanceB!M179,JournalsB!J$14:J$920)+SUMIF(JournalsB!E$14:E$920,TrialBalanceB!M179,JournalsB!J$14:J$920)</f>
        <v>0</v>
      </c>
      <c r="H179" s="443"/>
      <c r="I179" s="447">
        <f t="shared" si="36"/>
        <v>0</v>
      </c>
      <c r="J179" s="84"/>
      <c r="K179" s="57">
        <f t="shared" si="22"/>
        <v>0</v>
      </c>
      <c r="M179" s="197" t="str">
        <f t="shared" si="23"/>
        <v>5130/000OTHER RESERVES</v>
      </c>
      <c r="N179" s="79"/>
      <c r="P179" s="80"/>
      <c r="Q179" s="60"/>
      <c r="R179" s="34"/>
    </row>
    <row r="180" spans="1:18" x14ac:dyDescent="0.2">
      <c r="A180" s="394"/>
      <c r="B180" s="63" t="s">
        <v>305</v>
      </c>
      <c r="C180" s="398" t="s">
        <v>1003</v>
      </c>
      <c r="D180" s="436"/>
      <c r="E180" s="428"/>
      <c r="F180" s="88">
        <f>SUM(K180:K182)</f>
        <v>0</v>
      </c>
      <c r="G180" s="56">
        <f>SUMIF(JournalsB!D$14:D$920,TrialBalanceB!M180,JournalsB!J$14:J$920)+SUMIF(JournalsB!E$14:E$920,TrialBalanceB!M180,JournalsB!J$14:J$920)</f>
        <v>0</v>
      </c>
      <c r="H180" s="443"/>
      <c r="I180" s="447">
        <f t="shared" si="36"/>
        <v>0</v>
      </c>
      <c r="J180" s="84"/>
      <c r="K180" s="57">
        <f t="shared" si="22"/>
        <v>0</v>
      </c>
      <c r="M180" s="197" t="str">
        <f t="shared" si="23"/>
        <v>5130/001Other reserves - balance b/fwd</v>
      </c>
      <c r="N180" s="79"/>
      <c r="P180" s="80"/>
      <c r="Q180" s="60"/>
      <c r="R180" s="34"/>
    </row>
    <row r="181" spans="1:18" x14ac:dyDescent="0.2">
      <c r="A181" s="394"/>
      <c r="B181" s="63" t="s">
        <v>306</v>
      </c>
      <c r="C181" s="398" t="s">
        <v>1004</v>
      </c>
      <c r="D181" s="436"/>
      <c r="E181" s="428"/>
      <c r="F181" s="88"/>
      <c r="G181" s="56">
        <f>SUMIF(JournalsB!D$14:D$920,TrialBalanceB!M181,JournalsB!J$14:J$920)+SUMIF(JournalsB!E$14:E$920,TrialBalanceB!M181,JournalsB!J$14:J$920)</f>
        <v>0</v>
      </c>
      <c r="H181" s="443"/>
      <c r="I181" s="447">
        <f t="shared" si="36"/>
        <v>0</v>
      </c>
      <c r="J181" s="84"/>
      <c r="K181" s="57">
        <f t="shared" si="22"/>
        <v>0</v>
      </c>
      <c r="M181" s="197" t="str">
        <f t="shared" si="23"/>
        <v>5130/002Other reserves - additions</v>
      </c>
      <c r="N181" s="79"/>
      <c r="P181" s="80"/>
      <c r="Q181" s="60"/>
      <c r="R181" s="34"/>
    </row>
    <row r="182" spans="1:18" x14ac:dyDescent="0.2">
      <c r="A182" s="394"/>
      <c r="B182" s="63" t="s">
        <v>393</v>
      </c>
      <c r="C182" s="395" t="s">
        <v>459</v>
      </c>
      <c r="D182" s="436"/>
      <c r="E182" s="428"/>
      <c r="F182" s="88"/>
      <c r="G182" s="56">
        <f>SUMIF(JournalsB!D$14:D$920,TrialBalanceB!M182,JournalsB!J$14:J$920)+SUMIF(JournalsB!E$14:E$920,TrialBalanceB!M182,JournalsB!J$14:J$920)</f>
        <v>0</v>
      </c>
      <c r="H182" s="443"/>
      <c r="I182" s="447">
        <f t="shared" si="36"/>
        <v>0</v>
      </c>
      <c r="J182" s="84"/>
      <c r="K182" s="57">
        <f t="shared" si="22"/>
        <v>0</v>
      </c>
      <c r="M182" s="197" t="str">
        <f t="shared" si="23"/>
        <v>5130/003Other reserves - transfer</v>
      </c>
      <c r="N182" s="79"/>
      <c r="P182" s="80"/>
      <c r="Q182" s="60"/>
      <c r="R182" s="34"/>
    </row>
    <row r="183" spans="1:18" x14ac:dyDescent="0.2">
      <c r="A183" s="394"/>
      <c r="B183" s="63" t="s">
        <v>460</v>
      </c>
      <c r="C183" s="397" t="s">
        <v>1005</v>
      </c>
      <c r="D183" s="437"/>
      <c r="E183" s="428"/>
      <c r="F183" s="88">
        <f>K183+SUM(K5:K164)</f>
        <v>0</v>
      </c>
      <c r="G183" s="56">
        <f>SUMIF(JournalsB!D$14:D$920,TrialBalanceB!M183,JournalsB!J$14:J$920)+SUMIF(JournalsB!E$14:E$920,TrialBalanceB!M183,JournalsB!J$14:J$920)</f>
        <v>0</v>
      </c>
      <c r="H183" s="443"/>
      <c r="I183" s="447">
        <f t="shared" si="36"/>
        <v>0</v>
      </c>
      <c r="J183" s="84"/>
      <c r="K183" s="57">
        <f t="shared" si="22"/>
        <v>0</v>
      </c>
      <c r="M183" s="197" t="str">
        <f t="shared" si="23"/>
        <v>5200/000(Retained income) / Accumulated loss</v>
      </c>
      <c r="N183" s="79"/>
      <c r="P183" s="80"/>
      <c r="Q183" s="60"/>
      <c r="R183" s="34"/>
    </row>
    <row r="184" spans="1:18" x14ac:dyDescent="0.2">
      <c r="A184" s="394"/>
      <c r="B184" s="63" t="s">
        <v>158</v>
      </c>
      <c r="C184" s="397" t="s">
        <v>159</v>
      </c>
      <c r="D184" s="437"/>
      <c r="E184" s="428"/>
      <c r="F184" s="88"/>
      <c r="G184" s="56">
        <f>SUMIF(JournalsB!D$14:D$920,TrialBalanceB!M184,JournalsB!J$14:J$920)+SUMIF(JournalsB!E$14:E$920,TrialBalanceB!M184,JournalsB!J$14:J$920)</f>
        <v>0</v>
      </c>
      <c r="H184" s="443"/>
      <c r="I184" s="447">
        <f t="shared" si="36"/>
        <v>0</v>
      </c>
      <c r="J184" s="84"/>
      <c r="K184" s="57">
        <f t="shared" si="22"/>
        <v>0</v>
      </c>
      <c r="M184" s="197" t="str">
        <f t="shared" si="23"/>
        <v>5500/000LONG TERM  INTEREST LIABILITIES</v>
      </c>
      <c r="N184" s="79"/>
      <c r="P184" s="80"/>
      <c r="Q184" s="60"/>
      <c r="R184" s="34"/>
    </row>
    <row r="185" spans="1:18" x14ac:dyDescent="0.2">
      <c r="A185" s="394"/>
      <c r="B185" s="63" t="s">
        <v>160</v>
      </c>
      <c r="C185" s="430">
        <f>TrialBalance!C185</f>
        <v>0</v>
      </c>
      <c r="D185" s="435"/>
      <c r="E185" s="428"/>
      <c r="F185" s="88">
        <f>K185</f>
        <v>0</v>
      </c>
      <c r="G185" s="56">
        <f>SUMIF(JournalsB!D$14:D$920,TrialBalanceB!M185,JournalsB!J$14:J$920)+SUMIF(JournalsB!E$14:E$920,TrialBalanceB!M185,JournalsB!J$14:J$920)</f>
        <v>0</v>
      </c>
      <c r="H185" s="443"/>
      <c r="I185" s="447">
        <f t="shared" si="36"/>
        <v>0</v>
      </c>
      <c r="J185" s="84"/>
      <c r="K185" s="57">
        <f t="shared" si="22"/>
        <v>0</v>
      </c>
      <c r="M185" s="197" t="str">
        <f t="shared" si="23"/>
        <v>5500/0010</v>
      </c>
      <c r="N185" s="79"/>
      <c r="P185" s="80"/>
      <c r="Q185" s="60"/>
      <c r="R185" s="34"/>
    </row>
    <row r="186" spans="1:18" x14ac:dyDescent="0.2">
      <c r="A186" s="394"/>
      <c r="B186" s="63" t="s">
        <v>161</v>
      </c>
      <c r="C186" s="430">
        <f>TrialBalance!C186</f>
        <v>0</v>
      </c>
      <c r="D186" s="435"/>
      <c r="E186" s="428"/>
      <c r="F186" s="88">
        <f>K186</f>
        <v>0</v>
      </c>
      <c r="G186" s="56">
        <f>SUMIF(JournalsB!D$14:D$920,TrialBalanceB!M186,JournalsB!J$14:J$920)+SUMIF(JournalsB!E$14:E$920,TrialBalanceB!M186,JournalsB!J$14:J$920)</f>
        <v>0</v>
      </c>
      <c r="H186" s="443"/>
      <c r="I186" s="447">
        <f t="shared" si="36"/>
        <v>0</v>
      </c>
      <c r="J186" s="84"/>
      <c r="K186" s="57">
        <f t="shared" si="22"/>
        <v>0</v>
      </c>
      <c r="M186" s="197" t="str">
        <f t="shared" si="23"/>
        <v>5500/0020</v>
      </c>
      <c r="N186" s="79"/>
      <c r="P186" s="80"/>
      <c r="Q186" s="60"/>
      <c r="R186" s="34"/>
    </row>
    <row r="187" spans="1:18" x14ac:dyDescent="0.2">
      <c r="A187" s="394"/>
      <c r="B187" s="63" t="s">
        <v>162</v>
      </c>
      <c r="C187" s="430">
        <f>TrialBalance!C187</f>
        <v>0</v>
      </c>
      <c r="D187" s="438"/>
      <c r="E187" s="428"/>
      <c r="F187" s="88">
        <f>K187</f>
        <v>0</v>
      </c>
      <c r="G187" s="56">
        <f>SUMIF(JournalsB!D$14:D$920,TrialBalanceB!M187,JournalsB!J$14:J$920)+SUMIF(JournalsB!E$14:E$920,TrialBalanceB!M187,JournalsB!J$14:J$920)</f>
        <v>0</v>
      </c>
      <c r="H187" s="443"/>
      <c r="I187" s="447">
        <f t="shared" si="36"/>
        <v>0</v>
      </c>
      <c r="J187" s="84"/>
      <c r="K187" s="57">
        <f t="shared" si="22"/>
        <v>0</v>
      </c>
      <c r="M187" s="197" t="str">
        <f t="shared" si="23"/>
        <v>5500/0030</v>
      </c>
      <c r="N187" s="79"/>
      <c r="P187" s="80"/>
      <c r="Q187" s="60"/>
      <c r="R187" s="34"/>
    </row>
    <row r="188" spans="1:18" x14ac:dyDescent="0.2">
      <c r="A188" s="394"/>
      <c r="B188" s="63" t="s">
        <v>163</v>
      </c>
      <c r="C188" s="430">
        <f>TrialBalance!C188</f>
        <v>0</v>
      </c>
      <c r="D188" s="436"/>
      <c r="E188" s="428"/>
      <c r="F188" s="88">
        <f>K188</f>
        <v>0</v>
      </c>
      <c r="G188" s="56">
        <f>SUMIF(JournalsB!D$14:D$920,TrialBalanceB!M188,JournalsB!J$14:J$920)+SUMIF(JournalsB!E$14:E$920,TrialBalanceB!M188,JournalsB!J$14:J$920)</f>
        <v>0</v>
      </c>
      <c r="H188" s="443"/>
      <c r="I188" s="447">
        <f t="shared" si="36"/>
        <v>0</v>
      </c>
      <c r="J188" s="84"/>
      <c r="K188" s="57">
        <f t="shared" si="22"/>
        <v>0</v>
      </c>
      <c r="M188" s="197" t="str">
        <f t="shared" si="23"/>
        <v>5500/0040</v>
      </c>
      <c r="N188" s="79"/>
      <c r="P188" s="80"/>
      <c r="Q188" s="60"/>
      <c r="R188" s="34"/>
    </row>
    <row r="189" spans="1:18" x14ac:dyDescent="0.2">
      <c r="A189" s="394"/>
      <c r="B189" s="63" t="s">
        <v>164</v>
      </c>
      <c r="C189" s="430">
        <f>TrialBalance!C189</f>
        <v>0</v>
      </c>
      <c r="D189" s="436"/>
      <c r="E189" s="428"/>
      <c r="F189" s="88">
        <f>K189</f>
        <v>0</v>
      </c>
      <c r="G189" s="56">
        <f>SUMIF(JournalsB!D$14:D$920,TrialBalanceB!M189,JournalsB!J$14:J$920)+SUMIF(JournalsB!E$14:E$920,TrialBalanceB!M189,JournalsB!J$14:J$920)</f>
        <v>0</v>
      </c>
      <c r="H189" s="443"/>
      <c r="I189" s="447">
        <f t="shared" si="36"/>
        <v>0</v>
      </c>
      <c r="J189" s="84"/>
      <c r="K189" s="57">
        <f t="shared" si="22"/>
        <v>0</v>
      </c>
      <c r="M189" s="197" t="str">
        <f t="shared" si="23"/>
        <v>5500/0050</v>
      </c>
      <c r="N189" s="79"/>
      <c r="P189" s="80"/>
      <c r="Q189" s="60"/>
      <c r="R189" s="34"/>
    </row>
    <row r="190" spans="1:18" x14ac:dyDescent="0.2">
      <c r="A190" s="394"/>
      <c r="B190" s="114" t="s">
        <v>708</v>
      </c>
      <c r="C190" s="430">
        <f>TrialBalance!C190</f>
        <v>0</v>
      </c>
      <c r="D190" s="436"/>
      <c r="E190" s="428"/>
      <c r="F190" s="88">
        <f t="shared" ref="F190:F215" si="37">K190</f>
        <v>0</v>
      </c>
      <c r="G190" s="56">
        <f>SUMIF(JournalsB!D$14:D$920,TrialBalanceB!M190,JournalsB!J$14:J$920)+SUMIF(JournalsB!E$14:E$920,TrialBalanceB!M190,JournalsB!J$14:J$920)</f>
        <v>0</v>
      </c>
      <c r="H190" s="443"/>
      <c r="I190" s="447">
        <f t="shared" si="36"/>
        <v>0</v>
      </c>
      <c r="J190" s="84"/>
      <c r="K190" s="57">
        <f t="shared" si="22"/>
        <v>0</v>
      </c>
      <c r="M190" s="197" t="str">
        <f t="shared" si="23"/>
        <v>5500/0060</v>
      </c>
      <c r="N190" s="79"/>
      <c r="P190" s="80"/>
      <c r="Q190" s="60"/>
      <c r="R190" s="34"/>
    </row>
    <row r="191" spans="1:18" x14ac:dyDescent="0.2">
      <c r="A191" s="394"/>
      <c r="B191" s="114" t="s">
        <v>709</v>
      </c>
      <c r="C191" s="430">
        <f>TrialBalance!C191</f>
        <v>0</v>
      </c>
      <c r="D191" s="436"/>
      <c r="E191" s="428"/>
      <c r="F191" s="88">
        <f t="shared" si="37"/>
        <v>0</v>
      </c>
      <c r="G191" s="56">
        <f>SUMIF(JournalsB!D$14:D$920,TrialBalanceB!M191,JournalsB!J$14:J$920)+SUMIF(JournalsB!E$14:E$920,TrialBalanceB!M191,JournalsB!J$14:J$920)</f>
        <v>0</v>
      </c>
      <c r="H191" s="443"/>
      <c r="I191" s="447">
        <f t="shared" si="36"/>
        <v>0</v>
      </c>
      <c r="J191" s="84"/>
      <c r="K191" s="57">
        <f t="shared" si="22"/>
        <v>0</v>
      </c>
      <c r="M191" s="197" t="str">
        <f t="shared" si="23"/>
        <v>5500/0070</v>
      </c>
      <c r="N191" s="79"/>
      <c r="P191" s="80"/>
      <c r="Q191" s="60"/>
      <c r="R191" s="34"/>
    </row>
    <row r="192" spans="1:18" x14ac:dyDescent="0.2">
      <c r="A192" s="394"/>
      <c r="B192" s="114" t="s">
        <v>710</v>
      </c>
      <c r="C192" s="430">
        <f>TrialBalance!C192</f>
        <v>0</v>
      </c>
      <c r="D192" s="436"/>
      <c r="E192" s="428"/>
      <c r="F192" s="88">
        <f t="shared" si="37"/>
        <v>0</v>
      </c>
      <c r="G192" s="56">
        <f>SUMIF(JournalsB!D$14:D$920,TrialBalanceB!M192,JournalsB!J$14:J$920)+SUMIF(JournalsB!E$14:E$920,TrialBalanceB!M192,JournalsB!J$14:J$920)</f>
        <v>0</v>
      </c>
      <c r="H192" s="443"/>
      <c r="I192" s="447">
        <f t="shared" si="36"/>
        <v>0</v>
      </c>
      <c r="J192" s="84"/>
      <c r="K192" s="57">
        <f t="shared" si="22"/>
        <v>0</v>
      </c>
      <c r="M192" s="197" t="str">
        <f t="shared" si="23"/>
        <v>5500/0080</v>
      </c>
      <c r="N192" s="79"/>
      <c r="P192" s="80"/>
      <c r="Q192" s="60"/>
      <c r="R192" s="34"/>
    </row>
    <row r="193" spans="1:18" x14ac:dyDescent="0.2">
      <c r="A193" s="394"/>
      <c r="B193" s="114" t="s">
        <v>711</v>
      </c>
      <c r="C193" s="430">
        <f>TrialBalance!C193</f>
        <v>0</v>
      </c>
      <c r="D193" s="436"/>
      <c r="E193" s="428"/>
      <c r="F193" s="88">
        <f t="shared" si="37"/>
        <v>0</v>
      </c>
      <c r="G193" s="56">
        <f>SUMIF(JournalsB!D$14:D$920,TrialBalanceB!M193,JournalsB!J$14:J$920)+SUMIF(JournalsB!E$14:E$920,TrialBalanceB!M193,JournalsB!J$14:J$920)</f>
        <v>0</v>
      </c>
      <c r="H193" s="443"/>
      <c r="I193" s="447">
        <f t="shared" si="36"/>
        <v>0</v>
      </c>
      <c r="J193" s="84"/>
      <c r="K193" s="57">
        <f t="shared" si="22"/>
        <v>0</v>
      </c>
      <c r="M193" s="197" t="str">
        <f t="shared" si="23"/>
        <v>5500/0090</v>
      </c>
      <c r="N193" s="79"/>
      <c r="P193" s="80"/>
      <c r="Q193" s="60"/>
      <c r="R193" s="34"/>
    </row>
    <row r="194" spans="1:18" x14ac:dyDescent="0.2">
      <c r="A194" s="394"/>
      <c r="B194" s="114" t="s">
        <v>712</v>
      </c>
      <c r="C194" s="430">
        <f>TrialBalance!C194</f>
        <v>0</v>
      </c>
      <c r="D194" s="436"/>
      <c r="E194" s="428"/>
      <c r="F194" s="88">
        <f t="shared" si="37"/>
        <v>0</v>
      </c>
      <c r="G194" s="56">
        <f>SUMIF(JournalsB!D$14:D$920,TrialBalanceB!M194,JournalsB!J$14:J$920)+SUMIF(JournalsB!E$14:E$920,TrialBalanceB!M194,JournalsB!J$14:J$920)</f>
        <v>0</v>
      </c>
      <c r="H194" s="443"/>
      <c r="I194" s="447">
        <f t="shared" si="36"/>
        <v>0</v>
      </c>
      <c r="J194" s="84"/>
      <c r="K194" s="57">
        <f t="shared" si="22"/>
        <v>0</v>
      </c>
      <c r="M194" s="197" t="str">
        <f t="shared" si="23"/>
        <v>5500/0100</v>
      </c>
      <c r="N194" s="79"/>
      <c r="P194" s="80"/>
      <c r="Q194" s="60"/>
      <c r="R194" s="34"/>
    </row>
    <row r="195" spans="1:18" x14ac:dyDescent="0.2">
      <c r="A195" s="394"/>
      <c r="B195" s="114" t="s">
        <v>713</v>
      </c>
      <c r="C195" s="430">
        <f>TrialBalance!C195</f>
        <v>0</v>
      </c>
      <c r="D195" s="436"/>
      <c r="E195" s="428"/>
      <c r="F195" s="88">
        <f t="shared" si="37"/>
        <v>0</v>
      </c>
      <c r="G195" s="56">
        <f>SUMIF(JournalsB!D$14:D$920,TrialBalanceB!M195,JournalsB!J$14:J$920)+SUMIF(JournalsB!E$14:E$920,TrialBalanceB!M195,JournalsB!J$14:J$920)</f>
        <v>0</v>
      </c>
      <c r="H195" s="443"/>
      <c r="I195" s="447">
        <f t="shared" si="36"/>
        <v>0</v>
      </c>
      <c r="J195" s="84"/>
      <c r="K195" s="57">
        <f t="shared" si="22"/>
        <v>0</v>
      </c>
      <c r="M195" s="197" t="str">
        <f t="shared" si="23"/>
        <v>5500/0110</v>
      </c>
      <c r="N195" s="79"/>
      <c r="P195" s="80"/>
      <c r="Q195" s="60"/>
      <c r="R195" s="34"/>
    </row>
    <row r="196" spans="1:18" x14ac:dyDescent="0.2">
      <c r="A196" s="394"/>
      <c r="B196" s="114" t="s">
        <v>714</v>
      </c>
      <c r="C196" s="430">
        <f>TrialBalance!C196</f>
        <v>0</v>
      </c>
      <c r="D196" s="436"/>
      <c r="E196" s="428"/>
      <c r="F196" s="88">
        <f t="shared" si="37"/>
        <v>0</v>
      </c>
      <c r="G196" s="56">
        <f>SUMIF(JournalsB!D$14:D$920,TrialBalanceB!M196,JournalsB!J$14:J$920)+SUMIF(JournalsB!E$14:E$920,TrialBalanceB!M196,JournalsB!J$14:J$920)</f>
        <v>0</v>
      </c>
      <c r="H196" s="443"/>
      <c r="I196" s="447">
        <f t="shared" si="36"/>
        <v>0</v>
      </c>
      <c r="J196" s="84"/>
      <c r="K196" s="57">
        <f t="shared" si="22"/>
        <v>0</v>
      </c>
      <c r="M196" s="197" t="str">
        <f t="shared" si="23"/>
        <v>5500/0120</v>
      </c>
      <c r="N196" s="79"/>
      <c r="P196" s="80"/>
      <c r="Q196" s="60"/>
      <c r="R196" s="34"/>
    </row>
    <row r="197" spans="1:18" x14ac:dyDescent="0.2">
      <c r="A197" s="394"/>
      <c r="B197" s="114" t="s">
        <v>715</v>
      </c>
      <c r="C197" s="430">
        <f>TrialBalance!C197</f>
        <v>0</v>
      </c>
      <c r="D197" s="436"/>
      <c r="E197" s="428"/>
      <c r="F197" s="88">
        <f t="shared" ref="F197:F198" si="38">K197</f>
        <v>0</v>
      </c>
      <c r="G197" s="56">
        <f>SUMIF(JournalsB!D$14:D$920,TrialBalanceB!M197,JournalsB!J$14:J$920)+SUMIF(JournalsB!E$14:E$920,TrialBalanceB!M197,JournalsB!J$14:J$920)</f>
        <v>0</v>
      </c>
      <c r="H197" s="443"/>
      <c r="I197" s="447">
        <f t="shared" ref="I197:I198" si="39">ROUND(D197-E197+G197+F197,0)</f>
        <v>0</v>
      </c>
      <c r="J197" s="84"/>
      <c r="K197" s="57">
        <f t="shared" ref="K197:K198" si="40">ROUND(SUM(A197),0)</f>
        <v>0</v>
      </c>
      <c r="M197" s="197" t="str">
        <f t="shared" ref="M197:M198" si="41">CONCATENATE(B197,C197)</f>
        <v>5500/0130</v>
      </c>
      <c r="N197" s="79"/>
      <c r="P197" s="80"/>
      <c r="Q197" s="60"/>
      <c r="R197" s="34"/>
    </row>
    <row r="198" spans="1:18" x14ac:dyDescent="0.2">
      <c r="A198" s="394"/>
      <c r="B198" s="114" t="s">
        <v>770</v>
      </c>
      <c r="C198" s="430">
        <f>TrialBalance!C198</f>
        <v>0</v>
      </c>
      <c r="D198" s="436"/>
      <c r="E198" s="428"/>
      <c r="F198" s="88">
        <f t="shared" si="38"/>
        <v>0</v>
      </c>
      <c r="G198" s="56">
        <f>SUMIF(JournalsB!D$14:D$920,TrialBalanceB!M198,JournalsB!J$14:J$920)+SUMIF(JournalsB!E$14:E$920,TrialBalanceB!M198,JournalsB!J$14:J$920)</f>
        <v>0</v>
      </c>
      <c r="H198" s="443"/>
      <c r="I198" s="447">
        <f t="shared" si="39"/>
        <v>0</v>
      </c>
      <c r="J198" s="84"/>
      <c r="K198" s="57">
        <f t="shared" si="40"/>
        <v>0</v>
      </c>
      <c r="M198" s="197" t="str">
        <f t="shared" si="41"/>
        <v>5500/0140</v>
      </c>
      <c r="N198" s="79"/>
      <c r="P198" s="80"/>
      <c r="Q198" s="60"/>
      <c r="R198" s="34"/>
    </row>
    <row r="199" spans="1:18" x14ac:dyDescent="0.2">
      <c r="A199" s="394"/>
      <c r="B199" s="114" t="s">
        <v>771</v>
      </c>
      <c r="C199" s="430">
        <f>TrialBalance!C199</f>
        <v>0</v>
      </c>
      <c r="D199" s="436"/>
      <c r="E199" s="428"/>
      <c r="F199" s="88">
        <f t="shared" si="37"/>
        <v>0</v>
      </c>
      <c r="G199" s="56">
        <f>SUMIF(JournalsB!D$14:D$920,TrialBalanceB!M199,JournalsB!J$14:J$920)+SUMIF(JournalsB!E$14:E$920,TrialBalanceB!M199,JournalsB!J$14:J$920)</f>
        <v>0</v>
      </c>
      <c r="H199" s="443"/>
      <c r="I199" s="447">
        <f t="shared" si="36"/>
        <v>0</v>
      </c>
      <c r="J199" s="84"/>
      <c r="K199" s="57">
        <f t="shared" si="22"/>
        <v>0</v>
      </c>
      <c r="M199" s="197" t="str">
        <f t="shared" si="23"/>
        <v>5500/0150</v>
      </c>
      <c r="N199" s="79"/>
      <c r="P199" s="80"/>
      <c r="Q199" s="60"/>
      <c r="R199" s="34"/>
    </row>
    <row r="200" spans="1:18" x14ac:dyDescent="0.2">
      <c r="A200" s="394"/>
      <c r="B200" s="63" t="s">
        <v>165</v>
      </c>
      <c r="C200" s="395" t="s">
        <v>311</v>
      </c>
      <c r="D200" s="436"/>
      <c r="E200" s="428"/>
      <c r="F200" s="88">
        <f t="shared" si="37"/>
        <v>0</v>
      </c>
      <c r="G200" s="56">
        <f>SUMIF(JournalsB!D$14:D$920,TrialBalanceB!M200,JournalsB!J$14:J$920)+SUMIF(JournalsB!E$14:E$920,TrialBalanceB!M200,JournalsB!J$14:J$920)</f>
        <v>0</v>
      </c>
      <c r="H200" s="443"/>
      <c r="I200" s="447">
        <f t="shared" si="36"/>
        <v>0</v>
      </c>
      <c r="J200" s="84"/>
      <c r="K200" s="57">
        <f t="shared" si="22"/>
        <v>0</v>
      </c>
      <c r="M200" s="197" t="str">
        <f t="shared" si="23"/>
        <v>5520/000Short term portion of long term loans</v>
      </c>
      <c r="N200" s="79"/>
      <c r="P200" s="80"/>
      <c r="Q200" s="60"/>
      <c r="R200" s="34"/>
    </row>
    <row r="201" spans="1:18" x14ac:dyDescent="0.2">
      <c r="A201" s="394"/>
      <c r="B201" s="63" t="s">
        <v>167</v>
      </c>
      <c r="C201" s="397" t="s">
        <v>168</v>
      </c>
      <c r="D201" s="437"/>
      <c r="E201" s="428"/>
      <c r="F201" s="88">
        <f t="shared" si="37"/>
        <v>0</v>
      </c>
      <c r="G201" s="56">
        <f>SUMIF(JournalsB!D$14:D$920,TrialBalanceB!M201,JournalsB!J$14:J$920)+SUMIF(JournalsB!E$14:E$920,TrialBalanceB!M201,JournalsB!J$14:J$920)</f>
        <v>0</v>
      </c>
      <c r="H201" s="443"/>
      <c r="I201" s="447">
        <f t="shared" si="36"/>
        <v>0</v>
      </c>
      <c r="J201" s="84"/>
      <c r="K201" s="57">
        <f t="shared" si="22"/>
        <v>0</v>
      </c>
      <c r="M201" s="197" t="str">
        <f t="shared" si="23"/>
        <v>5550/000LONG TERM INTEREST FREE LOANS</v>
      </c>
      <c r="N201" s="79"/>
      <c r="P201" s="80"/>
      <c r="Q201" s="60"/>
      <c r="R201" s="34"/>
    </row>
    <row r="202" spans="1:18" x14ac:dyDescent="0.2">
      <c r="A202" s="394"/>
      <c r="B202" s="63" t="s">
        <v>169</v>
      </c>
      <c r="C202" s="430">
        <f>TrialBalance!C202</f>
        <v>0</v>
      </c>
      <c r="D202" s="428"/>
      <c r="E202" s="428"/>
      <c r="F202" s="88">
        <f t="shared" si="37"/>
        <v>0</v>
      </c>
      <c r="G202" s="56">
        <f>SUMIF(JournalsB!D$14:D$920,TrialBalanceB!M202,JournalsB!J$14:J$920)+SUMIF(JournalsB!E$14:E$920,TrialBalanceB!M202,JournalsB!J$14:J$920)</f>
        <v>0</v>
      </c>
      <c r="H202" s="443"/>
      <c r="I202" s="447">
        <f t="shared" si="36"/>
        <v>0</v>
      </c>
      <c r="J202" s="115"/>
      <c r="K202" s="57">
        <f t="shared" si="22"/>
        <v>0</v>
      </c>
      <c r="M202" s="197" t="str">
        <f t="shared" si="23"/>
        <v>5550/0010</v>
      </c>
      <c r="N202" s="79"/>
      <c r="P202" s="80"/>
      <c r="Q202" s="60"/>
      <c r="R202" s="34"/>
    </row>
    <row r="203" spans="1:18" x14ac:dyDescent="0.2">
      <c r="A203" s="394"/>
      <c r="B203" s="63" t="s">
        <v>170</v>
      </c>
      <c r="C203" s="430">
        <f>TrialBalance!C203</f>
        <v>0</v>
      </c>
      <c r="D203" s="438"/>
      <c r="E203" s="428"/>
      <c r="F203" s="88">
        <f t="shared" si="37"/>
        <v>0</v>
      </c>
      <c r="G203" s="56">
        <f>SUMIF(JournalsB!D$14:D$920,TrialBalanceB!M203,JournalsB!J$14:J$920)+SUMIF(JournalsB!E$14:E$920,TrialBalanceB!M203,JournalsB!J$14:J$920)</f>
        <v>0</v>
      </c>
      <c r="H203" s="443"/>
      <c r="I203" s="447">
        <f t="shared" si="36"/>
        <v>0</v>
      </c>
      <c r="J203" s="84"/>
      <c r="K203" s="57">
        <f t="shared" si="22"/>
        <v>0</v>
      </c>
      <c r="M203" s="197" t="str">
        <f t="shared" si="23"/>
        <v>5550/0020</v>
      </c>
      <c r="N203" s="79"/>
      <c r="P203" s="80"/>
      <c r="Q203" s="60"/>
      <c r="R203" s="34"/>
    </row>
    <row r="204" spans="1:18" x14ac:dyDescent="0.2">
      <c r="A204" s="394"/>
      <c r="B204" s="63" t="s">
        <v>171</v>
      </c>
      <c r="C204" s="430">
        <f>TrialBalance!C204</f>
        <v>0</v>
      </c>
      <c r="D204" s="438"/>
      <c r="E204" s="428"/>
      <c r="F204" s="88">
        <f t="shared" si="37"/>
        <v>0</v>
      </c>
      <c r="G204" s="56">
        <f>SUMIF(JournalsB!D$14:D$920,TrialBalanceB!M204,JournalsB!J$14:J$920)+SUMIF(JournalsB!E$14:E$920,TrialBalanceB!M204,JournalsB!J$14:J$920)</f>
        <v>0</v>
      </c>
      <c r="H204" s="443"/>
      <c r="I204" s="447">
        <f t="shared" si="36"/>
        <v>0</v>
      </c>
      <c r="J204" s="115"/>
      <c r="K204" s="57">
        <f t="shared" si="22"/>
        <v>0</v>
      </c>
      <c r="M204" s="197" t="str">
        <f t="shared" si="23"/>
        <v>5550/0030</v>
      </c>
      <c r="N204" s="79"/>
      <c r="P204" s="80"/>
      <c r="Q204" s="60"/>
      <c r="R204" s="34"/>
    </row>
    <row r="205" spans="1:18" x14ac:dyDescent="0.2">
      <c r="A205" s="394"/>
      <c r="B205" s="63" t="s">
        <v>172</v>
      </c>
      <c r="C205" s="430">
        <f>TrialBalance!C205</f>
        <v>0</v>
      </c>
      <c r="D205" s="438"/>
      <c r="E205" s="428"/>
      <c r="F205" s="88">
        <f t="shared" si="37"/>
        <v>0</v>
      </c>
      <c r="G205" s="56">
        <f>SUMIF(JournalsB!D$14:D$920,TrialBalanceB!M205,JournalsB!J$14:J$920)+SUMIF(JournalsB!E$14:E$920,TrialBalanceB!M205,JournalsB!J$14:J$920)</f>
        <v>0</v>
      </c>
      <c r="H205" s="443"/>
      <c r="I205" s="447">
        <f t="shared" si="36"/>
        <v>0</v>
      </c>
      <c r="J205" s="115"/>
      <c r="K205" s="57">
        <f t="shared" si="22"/>
        <v>0</v>
      </c>
      <c r="M205" s="197" t="str">
        <f t="shared" si="23"/>
        <v>5550/0040</v>
      </c>
      <c r="N205" s="79"/>
      <c r="P205" s="80"/>
      <c r="Q205" s="60"/>
      <c r="R205" s="34"/>
    </row>
    <row r="206" spans="1:18" x14ac:dyDescent="0.2">
      <c r="A206" s="394"/>
      <c r="B206" s="63" t="s">
        <v>173</v>
      </c>
      <c r="C206" s="430">
        <f>TrialBalance!C206</f>
        <v>0</v>
      </c>
      <c r="D206" s="435"/>
      <c r="E206" s="428"/>
      <c r="F206" s="88">
        <f t="shared" si="37"/>
        <v>0</v>
      </c>
      <c r="G206" s="56">
        <f>SUMIF(JournalsB!D$14:D$920,TrialBalanceB!M206,JournalsB!J$14:J$920)+SUMIF(JournalsB!E$14:E$920,TrialBalanceB!M206,JournalsB!J$14:J$920)</f>
        <v>0</v>
      </c>
      <c r="H206" s="443"/>
      <c r="I206" s="447">
        <f t="shared" si="36"/>
        <v>0</v>
      </c>
      <c r="J206" s="84"/>
      <c r="K206" s="57">
        <f t="shared" si="22"/>
        <v>0</v>
      </c>
      <c r="M206" s="197" t="str">
        <f t="shared" si="23"/>
        <v>5550/0050</v>
      </c>
      <c r="N206" s="79"/>
      <c r="P206" s="80"/>
      <c r="Q206" s="60"/>
      <c r="R206" s="34"/>
    </row>
    <row r="207" spans="1:18" x14ac:dyDescent="0.2">
      <c r="A207" s="394"/>
      <c r="B207" s="114" t="s">
        <v>738</v>
      </c>
      <c r="C207" s="430">
        <f>TrialBalance!C207</f>
        <v>0</v>
      </c>
      <c r="D207" s="438"/>
      <c r="E207" s="428"/>
      <c r="F207" s="88">
        <f t="shared" si="37"/>
        <v>0</v>
      </c>
      <c r="G207" s="56">
        <f>SUMIF(JournalsB!D$14:D$920,TrialBalanceB!M207,JournalsB!J$14:J$920)+SUMIF(JournalsB!E$14:E$920,TrialBalanceB!M207,JournalsB!J$14:J$920)</f>
        <v>0</v>
      </c>
      <c r="H207" s="443"/>
      <c r="I207" s="447">
        <f t="shared" si="36"/>
        <v>0</v>
      </c>
      <c r="J207" s="115"/>
      <c r="K207" s="57">
        <f t="shared" ref="K207:K282" si="42">ROUND(SUM(A207),0)</f>
        <v>0</v>
      </c>
      <c r="M207" s="197" t="str">
        <f t="shared" ref="M207:M282" si="43">CONCATENATE(B207,C207)</f>
        <v>5550/0060</v>
      </c>
      <c r="N207" s="79"/>
      <c r="P207" s="80"/>
      <c r="Q207" s="60"/>
      <c r="R207" s="34"/>
    </row>
    <row r="208" spans="1:18" x14ac:dyDescent="0.2">
      <c r="A208" s="394"/>
      <c r="B208" s="114" t="s">
        <v>739</v>
      </c>
      <c r="C208" s="430">
        <f>TrialBalance!C208</f>
        <v>0</v>
      </c>
      <c r="D208" s="435"/>
      <c r="E208" s="428"/>
      <c r="F208" s="88">
        <f t="shared" si="37"/>
        <v>0</v>
      </c>
      <c r="G208" s="56">
        <f>SUMIF(JournalsB!D$14:D$920,TrialBalanceB!M208,JournalsB!J$14:J$920)+SUMIF(JournalsB!E$14:E$920,TrialBalanceB!M208,JournalsB!J$14:J$920)</f>
        <v>0</v>
      </c>
      <c r="H208" s="443"/>
      <c r="I208" s="447">
        <f t="shared" si="36"/>
        <v>0</v>
      </c>
      <c r="J208" s="115"/>
      <c r="K208" s="57">
        <f t="shared" si="42"/>
        <v>0</v>
      </c>
      <c r="M208" s="197" t="str">
        <f t="shared" si="43"/>
        <v>5550/0070</v>
      </c>
      <c r="N208" s="79"/>
      <c r="P208" s="80"/>
      <c r="Q208" s="60"/>
      <c r="R208" s="34"/>
    </row>
    <row r="209" spans="1:18" x14ac:dyDescent="0.2">
      <c r="A209" s="394"/>
      <c r="B209" s="114" t="s">
        <v>740</v>
      </c>
      <c r="C209" s="430">
        <f>TrialBalance!C209</f>
        <v>0</v>
      </c>
      <c r="D209" s="435"/>
      <c r="E209" s="428"/>
      <c r="F209" s="88">
        <f t="shared" si="37"/>
        <v>0</v>
      </c>
      <c r="G209" s="56">
        <f>SUMIF(JournalsB!D$14:D$920,TrialBalanceB!M209,JournalsB!J$14:J$920)+SUMIF(JournalsB!E$14:E$920,TrialBalanceB!M209,JournalsB!J$14:J$920)</f>
        <v>0</v>
      </c>
      <c r="H209" s="443"/>
      <c r="I209" s="447">
        <f>ROUND(D209-E209+G209+F209,0)</f>
        <v>0</v>
      </c>
      <c r="J209" s="84"/>
      <c r="K209" s="57">
        <f t="shared" si="42"/>
        <v>0</v>
      </c>
      <c r="M209" s="197" t="str">
        <f t="shared" si="43"/>
        <v>5550/0080</v>
      </c>
      <c r="N209" s="79"/>
      <c r="P209" s="80"/>
      <c r="Q209" s="60"/>
      <c r="R209" s="34"/>
    </row>
    <row r="210" spans="1:18" x14ac:dyDescent="0.2">
      <c r="A210" s="394"/>
      <c r="B210" s="114" t="s">
        <v>741</v>
      </c>
      <c r="C210" s="430">
        <f>TrialBalance!C210</f>
        <v>0</v>
      </c>
      <c r="D210" s="440"/>
      <c r="E210" s="428"/>
      <c r="F210" s="88">
        <f t="shared" si="37"/>
        <v>0</v>
      </c>
      <c r="G210" s="56">
        <f>SUMIF(JournalsB!D$14:D$920,TrialBalanceB!M210,JournalsB!J$14:J$920)+SUMIF(JournalsB!E$14:E$920,TrialBalanceB!M210,JournalsB!J$14:J$920)</f>
        <v>0</v>
      </c>
      <c r="H210" s="443"/>
      <c r="I210" s="447">
        <f t="shared" si="36"/>
        <v>0</v>
      </c>
      <c r="J210" s="115"/>
      <c r="K210" s="57">
        <f t="shared" si="42"/>
        <v>0</v>
      </c>
      <c r="M210" s="197" t="str">
        <f t="shared" si="43"/>
        <v>5550/0090</v>
      </c>
      <c r="N210" s="79"/>
      <c r="P210" s="80"/>
      <c r="Q210" s="60"/>
      <c r="R210" s="34"/>
    </row>
    <row r="211" spans="1:18" x14ac:dyDescent="0.2">
      <c r="A211" s="394"/>
      <c r="B211" s="114" t="s">
        <v>764</v>
      </c>
      <c r="C211" s="430">
        <f>TrialBalance!C211</f>
        <v>0</v>
      </c>
      <c r="D211" s="442"/>
      <c r="E211" s="428"/>
      <c r="F211" s="88">
        <f t="shared" si="37"/>
        <v>0</v>
      </c>
      <c r="G211" s="56">
        <f>SUMIF(JournalsB!D$14:D$920,TrialBalanceB!M211,JournalsB!J$14:J$920)+SUMIF(JournalsB!E$14:E$920,TrialBalanceB!M211,JournalsB!J$14:J$920)</f>
        <v>0</v>
      </c>
      <c r="H211" s="443"/>
      <c r="I211" s="447">
        <f t="shared" si="36"/>
        <v>0</v>
      </c>
      <c r="J211" s="84"/>
      <c r="K211" s="57">
        <f t="shared" si="42"/>
        <v>0</v>
      </c>
      <c r="M211" s="197" t="str">
        <f t="shared" si="43"/>
        <v>5550/0100</v>
      </c>
      <c r="N211" s="79"/>
      <c r="P211" s="80"/>
      <c r="Q211" s="60"/>
      <c r="R211" s="34"/>
    </row>
    <row r="212" spans="1:18" x14ac:dyDescent="0.2">
      <c r="A212" s="394"/>
      <c r="B212" s="114" t="s">
        <v>777</v>
      </c>
      <c r="C212" s="430">
        <f>TrialBalance!C212</f>
        <v>0</v>
      </c>
      <c r="D212" s="442"/>
      <c r="E212" s="428"/>
      <c r="F212" s="88">
        <f t="shared" si="37"/>
        <v>0</v>
      </c>
      <c r="G212" s="56">
        <f>SUMIF(JournalsB!D$14:D$920,TrialBalanceB!M212,JournalsB!J$14:J$920)+SUMIF(JournalsB!E$14:E$920,TrialBalanceB!M212,JournalsB!J$14:J$920)</f>
        <v>0</v>
      </c>
      <c r="H212" s="443"/>
      <c r="I212" s="447">
        <f t="shared" si="36"/>
        <v>0</v>
      </c>
      <c r="J212" s="84"/>
      <c r="K212" s="57">
        <f t="shared" si="42"/>
        <v>0</v>
      </c>
      <c r="M212" s="197" t="str">
        <f t="shared" si="43"/>
        <v>5550/0110</v>
      </c>
      <c r="N212" s="79"/>
      <c r="P212" s="80"/>
      <c r="Q212" s="60"/>
      <c r="R212" s="34"/>
    </row>
    <row r="213" spans="1:18" x14ac:dyDescent="0.2">
      <c r="A213" s="394"/>
      <c r="B213" s="114" t="s">
        <v>778</v>
      </c>
      <c r="C213" s="430">
        <f>TrialBalance!C213</f>
        <v>0</v>
      </c>
      <c r="D213" s="442"/>
      <c r="E213" s="428"/>
      <c r="F213" s="88">
        <f t="shared" si="37"/>
        <v>0</v>
      </c>
      <c r="G213" s="56">
        <f>SUMIF(JournalsB!D$14:D$920,TrialBalanceB!M213,JournalsB!J$14:J$920)+SUMIF(JournalsB!E$14:E$920,TrialBalanceB!M213,JournalsB!J$14:J$920)</f>
        <v>0</v>
      </c>
      <c r="H213" s="443"/>
      <c r="I213" s="447">
        <f t="shared" si="36"/>
        <v>0</v>
      </c>
      <c r="J213" s="84"/>
      <c r="K213" s="57">
        <f t="shared" si="42"/>
        <v>0</v>
      </c>
      <c r="M213" s="197" t="str">
        <f t="shared" si="43"/>
        <v>5550/0120</v>
      </c>
      <c r="N213" s="79"/>
      <c r="P213" s="80"/>
      <c r="Q213" s="60"/>
      <c r="R213" s="34"/>
    </row>
    <row r="214" spans="1:18" x14ac:dyDescent="0.2">
      <c r="A214" s="394"/>
      <c r="B214" s="114" t="s">
        <v>779</v>
      </c>
      <c r="C214" s="430">
        <f>TrialBalance!C214</f>
        <v>0</v>
      </c>
      <c r="D214" s="442"/>
      <c r="E214" s="428"/>
      <c r="F214" s="88">
        <f t="shared" si="37"/>
        <v>0</v>
      </c>
      <c r="G214" s="56">
        <f>SUMIF(JournalsB!D$14:D$920,TrialBalanceB!M214,JournalsB!J$14:J$920)+SUMIF(JournalsB!E$14:E$920,TrialBalanceB!M214,JournalsB!J$14:J$920)</f>
        <v>0</v>
      </c>
      <c r="H214" s="443"/>
      <c r="I214" s="447">
        <f t="shared" si="36"/>
        <v>0</v>
      </c>
      <c r="J214" s="84"/>
      <c r="K214" s="57">
        <f t="shared" si="42"/>
        <v>0</v>
      </c>
      <c r="M214" s="197" t="str">
        <f t="shared" si="43"/>
        <v>5550/0130</v>
      </c>
      <c r="N214" s="79"/>
      <c r="P214" s="80"/>
      <c r="Q214" s="60"/>
      <c r="R214" s="34"/>
    </row>
    <row r="215" spans="1:18" x14ac:dyDescent="0.2">
      <c r="A215" s="394"/>
      <c r="B215" s="114" t="s">
        <v>780</v>
      </c>
      <c r="C215" s="430">
        <f>TrialBalance!C215</f>
        <v>0</v>
      </c>
      <c r="D215" s="437"/>
      <c r="E215" s="428"/>
      <c r="F215" s="88">
        <f t="shared" si="37"/>
        <v>0</v>
      </c>
      <c r="G215" s="56">
        <f>SUMIF(JournalsB!D$14:D$920,TrialBalanceB!M215,JournalsB!J$14:J$920)+SUMIF(JournalsB!E$14:E$920,TrialBalanceB!M215,JournalsB!J$14:J$920)</f>
        <v>0</v>
      </c>
      <c r="H215" s="443"/>
      <c r="I215" s="447">
        <f t="shared" si="36"/>
        <v>0</v>
      </c>
      <c r="J215" s="84"/>
      <c r="K215" s="57">
        <f t="shared" si="42"/>
        <v>0</v>
      </c>
      <c r="M215" s="197" t="str">
        <f t="shared" si="43"/>
        <v>5550/0140</v>
      </c>
      <c r="N215" s="79"/>
      <c r="P215" s="80"/>
      <c r="Q215" s="60"/>
      <c r="R215" s="34"/>
    </row>
    <row r="216" spans="1:18" x14ac:dyDescent="0.2">
      <c r="A216" s="394"/>
      <c r="B216" s="114" t="s">
        <v>781</v>
      </c>
      <c r="C216" s="430">
        <f>TrialBalance!C216</f>
        <v>0</v>
      </c>
      <c r="D216" s="436"/>
      <c r="E216" s="428"/>
      <c r="F216" s="88">
        <f>K216</f>
        <v>0</v>
      </c>
      <c r="G216" s="56">
        <f>SUMIF(JournalsB!D$14:D$920,TrialBalanceB!M216,JournalsB!J$14:J$920)+SUMIF(JournalsB!E$14:E$920,TrialBalanceB!M216,JournalsB!J$14:J$920)</f>
        <v>0</v>
      </c>
      <c r="H216" s="443"/>
      <c r="I216" s="447">
        <f t="shared" si="36"/>
        <v>0</v>
      </c>
      <c r="J216" s="84"/>
      <c r="K216" s="57">
        <f t="shared" si="42"/>
        <v>0</v>
      </c>
      <c r="M216" s="197" t="str">
        <f t="shared" si="43"/>
        <v>5550/0150</v>
      </c>
      <c r="N216" s="79"/>
      <c r="P216" s="80"/>
      <c r="Q216" s="60"/>
      <c r="R216" s="34"/>
    </row>
    <row r="217" spans="1:18" x14ac:dyDescent="0.2">
      <c r="A217" s="394"/>
      <c r="B217" s="114" t="s">
        <v>782</v>
      </c>
      <c r="C217" s="430">
        <f>TrialBalance!C217</f>
        <v>0</v>
      </c>
      <c r="D217" s="428"/>
      <c r="E217" s="428"/>
      <c r="F217" s="88">
        <f>K217</f>
        <v>0</v>
      </c>
      <c r="G217" s="56">
        <f>SUMIF(JournalsB!D$14:D$920,TrialBalanceB!M217,JournalsB!J$14:J$920)+SUMIF(JournalsB!E$14:E$920,TrialBalanceB!M217,JournalsB!J$14:J$920)</f>
        <v>0</v>
      </c>
      <c r="H217" s="443"/>
      <c r="I217" s="447">
        <f t="shared" si="36"/>
        <v>0</v>
      </c>
      <c r="J217" s="84"/>
      <c r="K217" s="57">
        <f t="shared" si="42"/>
        <v>0</v>
      </c>
      <c r="M217" s="197" t="str">
        <f t="shared" si="43"/>
        <v>5550/0160</v>
      </c>
      <c r="N217" s="79"/>
      <c r="P217" s="80"/>
      <c r="Q217" s="60"/>
      <c r="R217" s="34"/>
    </row>
    <row r="218" spans="1:18" x14ac:dyDescent="0.2">
      <c r="A218" s="394"/>
      <c r="B218" s="114" t="s">
        <v>783</v>
      </c>
      <c r="C218" s="430">
        <f>TrialBalance!C218</f>
        <v>0</v>
      </c>
      <c r="D218" s="440"/>
      <c r="E218" s="428"/>
      <c r="F218" s="88">
        <f>K218</f>
        <v>0</v>
      </c>
      <c r="G218" s="56">
        <f>SUMIF(JournalsB!D$14:D$920,TrialBalanceB!M218,JournalsB!J$14:J$920)+SUMIF(JournalsB!E$14:E$920,TrialBalanceB!M218,JournalsB!J$14:J$920)</f>
        <v>0</v>
      </c>
      <c r="H218" s="443"/>
      <c r="I218" s="447">
        <f t="shared" si="36"/>
        <v>0</v>
      </c>
      <c r="J218" s="84"/>
      <c r="K218" s="57">
        <f t="shared" si="42"/>
        <v>0</v>
      </c>
      <c r="M218" s="197" t="str">
        <f t="shared" si="43"/>
        <v>5550/0170</v>
      </c>
      <c r="N218" s="79"/>
      <c r="P218" s="80"/>
      <c r="Q218" s="60"/>
      <c r="R218" s="34"/>
    </row>
    <row r="219" spans="1:18" x14ac:dyDescent="0.2">
      <c r="A219" s="394"/>
      <c r="B219" s="63" t="s">
        <v>174</v>
      </c>
      <c r="C219" s="395" t="s">
        <v>232</v>
      </c>
      <c r="D219" s="436"/>
      <c r="E219" s="428"/>
      <c r="F219" s="88"/>
      <c r="G219" s="56">
        <f>SUMIF(JournalsB!D$14:D$920,TrialBalanceB!M219,JournalsB!J$14:J$920)+SUMIF(JournalsB!E$14:E$920,TrialBalanceB!M219,JournalsB!J$14:J$920)</f>
        <v>0</v>
      </c>
      <c r="H219" s="443"/>
      <c r="I219" s="447">
        <f t="shared" si="36"/>
        <v>0</v>
      </c>
      <c r="J219" s="84"/>
      <c r="K219" s="57">
        <f t="shared" si="42"/>
        <v>0</v>
      </c>
      <c r="M219" s="197" t="str">
        <f t="shared" si="43"/>
        <v>5700/000DEFERRED TAX</v>
      </c>
      <c r="N219" s="79"/>
      <c r="P219" s="80"/>
      <c r="Q219" s="60"/>
      <c r="R219" s="34"/>
    </row>
    <row r="220" spans="1:18" x14ac:dyDescent="0.2">
      <c r="A220" s="394"/>
      <c r="B220" s="63" t="s">
        <v>175</v>
      </c>
      <c r="C220" s="398" t="s">
        <v>614</v>
      </c>
      <c r="D220" s="438"/>
      <c r="E220" s="428"/>
      <c r="F220" s="88">
        <f>K220+K222+K224+K226</f>
        <v>0</v>
      </c>
      <c r="G220" s="56">
        <f>SUMIF(JournalsB!D$14:D$920,TrialBalanceB!M220,JournalsB!J$14:J$920)+SUMIF(JournalsB!E$14:E$920,TrialBalanceB!M220,JournalsB!J$14:J$920)</f>
        <v>0</v>
      </c>
      <c r="H220" s="443"/>
      <c r="I220" s="447">
        <f t="shared" si="36"/>
        <v>0</v>
      </c>
      <c r="J220" s="84"/>
      <c r="K220" s="57">
        <f t="shared" si="42"/>
        <v>0</v>
      </c>
      <c r="M220" s="197" t="str">
        <f t="shared" si="43"/>
        <v>5700/010Deferred tax balance  depreciation b/fwd</v>
      </c>
      <c r="N220" s="79"/>
      <c r="P220" s="80"/>
      <c r="Q220" s="60"/>
      <c r="R220" s="34"/>
    </row>
    <row r="221" spans="1:18" x14ac:dyDescent="0.2">
      <c r="A221" s="394"/>
      <c r="B221" s="114" t="s">
        <v>742</v>
      </c>
      <c r="C221" s="398" t="s">
        <v>615</v>
      </c>
      <c r="D221" s="438"/>
      <c r="E221" s="428"/>
      <c r="F221" s="88">
        <f>K221+K223+K225+K227</f>
        <v>0</v>
      </c>
      <c r="G221" s="56">
        <f>SUMIF(JournalsB!D$14:D$920,TrialBalanceB!M221,JournalsB!J$14:J$920)+SUMIF(JournalsB!E$14:E$920,TrialBalanceB!M221,JournalsB!J$14:J$920)</f>
        <v>0</v>
      </c>
      <c r="H221" s="443"/>
      <c r="I221" s="447">
        <f t="shared" si="36"/>
        <v>0</v>
      </c>
      <c r="J221" s="84"/>
      <c r="K221" s="57">
        <f t="shared" si="42"/>
        <v>0</v>
      </c>
      <c r="M221" s="197" t="str">
        <f t="shared" si="43"/>
        <v>5700/020Deferred tax balance  tax loss b/fwd</v>
      </c>
      <c r="N221" s="79"/>
      <c r="P221" s="80"/>
      <c r="Q221" s="60"/>
      <c r="R221" s="34"/>
    </row>
    <row r="222" spans="1:18" x14ac:dyDescent="0.2">
      <c r="A222" s="394"/>
      <c r="B222" s="114" t="s">
        <v>1587</v>
      </c>
      <c r="C222" s="398" t="s">
        <v>1588</v>
      </c>
      <c r="D222" s="438"/>
      <c r="E222" s="428"/>
      <c r="F222" s="88"/>
      <c r="G222" s="56">
        <f>SUMIF(JournalsB!D$14:D$920,TrialBalanceB!M222,JournalsB!J$14:J$920)+SUMIF(JournalsB!E$14:E$920,TrialBalanceB!M222,JournalsB!J$14:J$920)</f>
        <v>0</v>
      </c>
      <c r="H222" s="443"/>
      <c r="I222" s="447">
        <f t="shared" ref="I222:I223" si="44">ROUND(D222-E222+G222+F222,0)</f>
        <v>0</v>
      </c>
      <c r="J222" s="84"/>
      <c r="K222" s="57">
        <f t="shared" ref="K222:K223" si="45">ROUND(SUM(A222),0)</f>
        <v>0</v>
      </c>
      <c r="M222" s="197" t="str">
        <f t="shared" ref="M222:M223" si="46">CONCATENATE(B222,C222)</f>
        <v>5700/021Opening balance depreciation tax rate change</v>
      </c>
      <c r="N222" s="79"/>
      <c r="P222" s="80"/>
      <c r="Q222" s="60"/>
      <c r="R222" s="34"/>
    </row>
    <row r="223" spans="1:18" x14ac:dyDescent="0.2">
      <c r="A223" s="394"/>
      <c r="B223" s="114" t="s">
        <v>1589</v>
      </c>
      <c r="C223" s="398" t="s">
        <v>1590</v>
      </c>
      <c r="D223" s="438"/>
      <c r="E223" s="428"/>
      <c r="F223" s="88"/>
      <c r="G223" s="56">
        <f>SUMIF(JournalsB!D$14:D$920,TrialBalanceB!M223,JournalsB!J$14:J$920)+SUMIF(JournalsB!E$14:E$920,TrialBalanceB!M223,JournalsB!J$14:J$920)</f>
        <v>0</v>
      </c>
      <c r="H223" s="443"/>
      <c r="I223" s="447">
        <f t="shared" si="44"/>
        <v>0</v>
      </c>
      <c r="J223" s="84"/>
      <c r="K223" s="57">
        <f t="shared" si="45"/>
        <v>0</v>
      </c>
      <c r="M223" s="197" t="str">
        <f t="shared" si="46"/>
        <v>5700/022Opening balance tax loss tax rate change</v>
      </c>
      <c r="N223" s="79"/>
      <c r="P223" s="80"/>
      <c r="Q223" s="60"/>
      <c r="R223" s="34"/>
    </row>
    <row r="224" spans="1:18" x14ac:dyDescent="0.2">
      <c r="A224" s="394"/>
      <c r="B224" s="114" t="s">
        <v>743</v>
      </c>
      <c r="C224" s="395" t="s">
        <v>176</v>
      </c>
      <c r="D224" s="436"/>
      <c r="E224" s="428"/>
      <c r="F224" s="88"/>
      <c r="G224" s="56">
        <f>SUMIF(JournalsB!D$14:D$920,TrialBalanceB!M224,JournalsB!J$14:J$920)+SUMIF(JournalsB!E$14:E$920,TrialBalanceB!M224,JournalsB!J$14:J$920)</f>
        <v>0</v>
      </c>
      <c r="H224" s="443"/>
      <c r="I224" s="447">
        <f t="shared" si="36"/>
        <v>0</v>
      </c>
      <c r="J224" s="84"/>
      <c r="K224" s="57">
        <f t="shared" si="42"/>
        <v>0</v>
      </c>
      <c r="M224" s="197" t="str">
        <f t="shared" si="43"/>
        <v>5700/030Deferred tax on depreciation for year</v>
      </c>
      <c r="N224" s="79"/>
      <c r="P224" s="80"/>
      <c r="Q224" s="60"/>
      <c r="R224" s="34"/>
    </row>
    <row r="225" spans="1:18" x14ac:dyDescent="0.2">
      <c r="A225" s="394"/>
      <c r="B225" s="114" t="s">
        <v>744</v>
      </c>
      <c r="C225" s="395" t="s">
        <v>177</v>
      </c>
      <c r="D225" s="436"/>
      <c r="E225" s="428"/>
      <c r="F225" s="88"/>
      <c r="G225" s="56">
        <f>SUMIF(JournalsB!D$14:D$920,TrialBalanceB!M225,JournalsB!J$14:J$920)+SUMIF(JournalsB!E$14:E$920,TrialBalanceB!M225,JournalsB!J$14:J$920)</f>
        <v>0</v>
      </c>
      <c r="H225" s="443"/>
      <c r="I225" s="447">
        <f t="shared" si="36"/>
        <v>0</v>
      </c>
      <c r="J225" s="84"/>
      <c r="K225" s="57">
        <f t="shared" si="42"/>
        <v>0</v>
      </c>
      <c r="M225" s="197" t="str">
        <f t="shared" si="43"/>
        <v>5700/040Deferred tax on tax loss for year</v>
      </c>
      <c r="N225" s="79"/>
      <c r="P225" s="80"/>
      <c r="Q225" s="60"/>
      <c r="R225" s="34"/>
    </row>
    <row r="226" spans="1:18" x14ac:dyDescent="0.2">
      <c r="A226" s="394"/>
      <c r="B226" s="114" t="s">
        <v>745</v>
      </c>
      <c r="C226" s="398" t="s">
        <v>724</v>
      </c>
      <c r="D226" s="438"/>
      <c r="E226" s="428"/>
      <c r="F226" s="88"/>
      <c r="G226" s="56">
        <f>SUMIF(JournalsB!D$14:D$920,TrialBalanceB!M226,JournalsB!J$14:J$920)+SUMIF(JournalsB!E$14:E$920,TrialBalanceB!M226,JournalsB!J$14:J$920)</f>
        <v>0</v>
      </c>
      <c r="H226" s="443"/>
      <c r="I226" s="447">
        <f t="shared" si="36"/>
        <v>0</v>
      </c>
      <c r="J226" s="84"/>
      <c r="K226" s="57">
        <f t="shared" si="42"/>
        <v>0</v>
      </c>
      <c r="M226" s="197" t="str">
        <f t="shared" si="43"/>
        <v>5700/050Def tax adj  depreciation previous year</v>
      </c>
      <c r="N226" s="79"/>
      <c r="P226" s="80"/>
      <c r="Q226" s="60"/>
      <c r="R226" s="34"/>
    </row>
    <row r="227" spans="1:18" x14ac:dyDescent="0.2">
      <c r="A227" s="394"/>
      <c r="B227" s="114" t="s">
        <v>746</v>
      </c>
      <c r="C227" s="398" t="s">
        <v>725</v>
      </c>
      <c r="D227" s="438"/>
      <c r="E227" s="428"/>
      <c r="F227" s="88"/>
      <c r="G227" s="56">
        <f>SUMIF(JournalsB!D$14:D$920,TrialBalanceB!M227,JournalsB!J$14:J$920)+SUMIF(JournalsB!E$14:E$920,TrialBalanceB!M227,JournalsB!J$14:J$920)</f>
        <v>0</v>
      </c>
      <c r="H227" s="443"/>
      <c r="I227" s="447">
        <f t="shared" si="36"/>
        <v>0</v>
      </c>
      <c r="J227" s="84"/>
      <c r="K227" s="57">
        <f t="shared" si="42"/>
        <v>0</v>
      </c>
      <c r="M227" s="197" t="str">
        <f t="shared" si="43"/>
        <v>5700/060Def tax adj tax loss previous year</v>
      </c>
      <c r="N227" s="79"/>
      <c r="P227" s="80"/>
      <c r="Q227" s="60"/>
      <c r="R227" s="34"/>
    </row>
    <row r="228" spans="1:18" x14ac:dyDescent="0.2">
      <c r="A228" s="394"/>
      <c r="B228" s="63" t="s">
        <v>178</v>
      </c>
      <c r="C228" s="397" t="s">
        <v>1620</v>
      </c>
      <c r="D228" s="437"/>
      <c r="E228" s="428"/>
      <c r="F228" s="88"/>
      <c r="G228" s="56">
        <f>SUMIF(JournalsB!D$14:D$920,TrialBalanceB!M228,JournalsB!J$14:J$920)+SUMIF(JournalsB!E$14:E$920,TrialBalanceB!M228,JournalsB!J$14:J$920)</f>
        <v>0</v>
      </c>
      <c r="H228" s="443"/>
      <c r="I228" s="447">
        <f t="shared" si="36"/>
        <v>0</v>
      </c>
      <c r="J228" s="84"/>
      <c r="K228" s="57">
        <f t="shared" si="42"/>
        <v>0</v>
      </c>
      <c r="M228" s="197" t="str">
        <f t="shared" si="43"/>
        <v>6100/000PROPERTY - COST</v>
      </c>
      <c r="N228" s="79"/>
      <c r="P228" s="80"/>
      <c r="Q228" s="60"/>
      <c r="R228" s="34"/>
    </row>
    <row r="229" spans="1:18" x14ac:dyDescent="0.2">
      <c r="A229" s="394"/>
      <c r="B229" s="63" t="s">
        <v>179</v>
      </c>
      <c r="C229" s="398" t="s">
        <v>1621</v>
      </c>
      <c r="D229" s="436"/>
      <c r="E229" s="428"/>
      <c r="F229" s="88">
        <f>SUM(K229:K233)</f>
        <v>0</v>
      </c>
      <c r="G229" s="56">
        <f>SUMIF(JournalsB!D$14:D$920,TrialBalanceB!M229,JournalsB!J$14:J$920)+SUMIF(JournalsB!E$14:E$920,TrialBalanceB!M229,JournalsB!J$14:J$920)</f>
        <v>0</v>
      </c>
      <c r="H229" s="443"/>
      <c r="I229" s="447">
        <f t="shared" si="36"/>
        <v>0</v>
      </c>
      <c r="J229" s="84"/>
      <c r="K229" s="57">
        <f t="shared" si="42"/>
        <v>0</v>
      </c>
      <c r="M229" s="197" t="str">
        <f t="shared" si="43"/>
        <v>6100/001Property - cost b/fwd</v>
      </c>
      <c r="N229" s="79"/>
      <c r="P229" s="80"/>
      <c r="Q229" s="60"/>
      <c r="R229" s="34"/>
    </row>
    <row r="230" spans="1:18" x14ac:dyDescent="0.2">
      <c r="A230" s="394"/>
      <c r="B230" s="63" t="s">
        <v>180</v>
      </c>
      <c r="C230" s="398" t="s">
        <v>1622</v>
      </c>
      <c r="D230" s="436"/>
      <c r="E230" s="428"/>
      <c r="F230" s="88"/>
      <c r="G230" s="56">
        <f>SUMIF(JournalsB!D$14:D$920,TrialBalanceB!M230,JournalsB!J$14:J$920)+SUMIF(JournalsB!E$14:E$920,TrialBalanceB!M230,JournalsB!J$14:J$920)</f>
        <v>0</v>
      </c>
      <c r="H230" s="443"/>
      <c r="I230" s="447">
        <f t="shared" si="36"/>
        <v>0</v>
      </c>
      <c r="J230" s="84"/>
      <c r="K230" s="57">
        <f t="shared" si="42"/>
        <v>0</v>
      </c>
      <c r="M230" s="197" t="str">
        <f t="shared" si="43"/>
        <v>6100/002Property - additions</v>
      </c>
      <c r="N230" s="79"/>
      <c r="P230" s="80"/>
      <c r="Q230" s="60"/>
      <c r="R230" s="34"/>
    </row>
    <row r="231" spans="1:18" x14ac:dyDescent="0.2">
      <c r="A231" s="394"/>
      <c r="B231" s="63" t="s">
        <v>181</v>
      </c>
      <c r="C231" s="398" t="s">
        <v>1623</v>
      </c>
      <c r="D231" s="436"/>
      <c r="E231" s="428"/>
      <c r="F231" s="88"/>
      <c r="G231" s="56">
        <f>SUMIF(JournalsB!D$14:D$920,TrialBalanceB!M231,JournalsB!J$14:J$920)+SUMIF(JournalsB!E$14:E$920,TrialBalanceB!M231,JournalsB!J$14:J$920)</f>
        <v>0</v>
      </c>
      <c r="H231" s="443"/>
      <c r="I231" s="447">
        <f t="shared" si="36"/>
        <v>0</v>
      </c>
      <c r="J231" s="84"/>
      <c r="K231" s="57">
        <f t="shared" si="42"/>
        <v>0</v>
      </c>
      <c r="M231" s="197" t="str">
        <f t="shared" si="43"/>
        <v>6100/003Property - cost of sales</v>
      </c>
      <c r="N231" s="79"/>
      <c r="P231" s="80"/>
      <c r="Q231" s="60"/>
      <c r="R231" s="34"/>
    </row>
    <row r="232" spans="1:18" x14ac:dyDescent="0.2">
      <c r="A232" s="394"/>
      <c r="B232" s="114" t="s">
        <v>1414</v>
      </c>
      <c r="C232" s="398" t="s">
        <v>1624</v>
      </c>
      <c r="D232" s="436"/>
      <c r="E232" s="428"/>
      <c r="F232" s="88"/>
      <c r="G232" s="56">
        <f>SUMIF(JournalsB!D$14:D$920,TrialBalanceB!M232,JournalsB!J$14:J$920)+SUMIF(JournalsB!E$14:E$920,TrialBalanceB!M232,JournalsB!J$14:J$920)</f>
        <v>0</v>
      </c>
      <c r="H232" s="443"/>
      <c r="I232" s="447">
        <f t="shared" ref="I232" si="47">ROUND(D232-E232+G232+F232,0)</f>
        <v>0</v>
      </c>
      <c r="J232" s="84"/>
      <c r="K232" s="57">
        <f t="shared" ref="K232" si="48">ROUND(SUM(A232),0)</f>
        <v>0</v>
      </c>
      <c r="M232" s="197" t="str">
        <f t="shared" ref="M232" si="49">CONCATENATE(B232,C232)</f>
        <v>6100/004Property - transfer to investment property</v>
      </c>
      <c r="N232" s="79"/>
      <c r="P232" s="80"/>
      <c r="Q232" s="60"/>
      <c r="R232" s="34"/>
    </row>
    <row r="233" spans="1:18" x14ac:dyDescent="0.2">
      <c r="A233" s="394"/>
      <c r="B233" s="114" t="s">
        <v>1555</v>
      </c>
      <c r="C233" s="398" t="s">
        <v>1625</v>
      </c>
      <c r="D233" s="436"/>
      <c r="E233" s="428"/>
      <c r="F233" s="88"/>
      <c r="G233" s="56">
        <f>SUMIF(JournalsB!D$14:D$920,TrialBalanceB!M233,JournalsB!J$14:J$920)+SUMIF(JournalsB!E$14:E$920,TrialBalanceB!M233,JournalsB!J$14:J$920)</f>
        <v>0</v>
      </c>
      <c r="H233" s="443"/>
      <c r="I233" s="447">
        <f t="shared" ref="I233" si="50">ROUND(D233-E233+G233+F233,0)</f>
        <v>0</v>
      </c>
      <c r="J233" s="84"/>
      <c r="K233" s="57">
        <f t="shared" ref="K233" si="51">ROUND(SUM(A233),0)</f>
        <v>0</v>
      </c>
      <c r="M233" s="197" t="str">
        <f t="shared" ref="M233" si="52">CONCATENATE(B233,C233)</f>
        <v>6100/005Property - transfer from investment property</v>
      </c>
      <c r="N233" s="79"/>
      <c r="P233" s="80"/>
      <c r="Q233" s="60"/>
      <c r="R233" s="34"/>
    </row>
    <row r="234" spans="1:18" x14ac:dyDescent="0.2">
      <c r="A234" s="394"/>
      <c r="B234" s="63" t="s">
        <v>344</v>
      </c>
      <c r="C234" s="397" t="s">
        <v>1626</v>
      </c>
      <c r="D234" s="437"/>
      <c r="E234" s="428"/>
      <c r="F234" s="88"/>
      <c r="G234" s="56">
        <f>SUMIF(JournalsB!D$14:D$920,TrialBalanceB!M234,JournalsB!J$14:J$920)+SUMIF(JournalsB!E$14:E$920,TrialBalanceB!M234,JournalsB!J$14:J$920)</f>
        <v>0</v>
      </c>
      <c r="H234" s="443"/>
      <c r="I234" s="447">
        <f t="shared" si="36"/>
        <v>0</v>
      </c>
      <c r="J234" s="84"/>
      <c r="K234" s="57">
        <f t="shared" si="42"/>
        <v>0</v>
      </c>
      <c r="M234" s="197" t="str">
        <f t="shared" si="43"/>
        <v>6100/020PROPERTY - ACC DEPR</v>
      </c>
      <c r="N234" s="79"/>
      <c r="P234" s="80"/>
      <c r="Q234" s="60"/>
      <c r="R234" s="34"/>
    </row>
    <row r="235" spans="1:18" x14ac:dyDescent="0.2">
      <c r="A235" s="394"/>
      <c r="B235" s="63" t="s">
        <v>345</v>
      </c>
      <c r="C235" s="398" t="s">
        <v>1627</v>
      </c>
      <c r="D235" s="436"/>
      <c r="E235" s="428"/>
      <c r="F235" s="88">
        <f>SUM(K235:K238)</f>
        <v>0</v>
      </c>
      <c r="G235" s="56">
        <f>SUMIF(JournalsB!D$14:D$920,TrialBalanceB!M235,JournalsB!J$14:J$920)+SUMIF(JournalsB!E$14:E$920,TrialBalanceB!M235,JournalsB!J$14:J$920)</f>
        <v>0</v>
      </c>
      <c r="H235" s="443"/>
      <c r="I235" s="447">
        <f t="shared" si="36"/>
        <v>0</v>
      </c>
      <c r="J235" s="84"/>
      <c r="K235" s="57">
        <f t="shared" si="42"/>
        <v>0</v>
      </c>
      <c r="M235" s="197" t="str">
        <f t="shared" si="43"/>
        <v>6100/021Property - acc depr b/fwd</v>
      </c>
      <c r="N235" s="79"/>
      <c r="P235" s="80"/>
      <c r="Q235" s="60"/>
      <c r="R235" s="34"/>
    </row>
    <row r="236" spans="1:18" x14ac:dyDescent="0.2">
      <c r="A236" s="394"/>
      <c r="B236" s="63" t="s">
        <v>346</v>
      </c>
      <c r="C236" s="398" t="s">
        <v>1628</v>
      </c>
      <c r="D236" s="436"/>
      <c r="E236" s="428"/>
      <c r="F236" s="88"/>
      <c r="G236" s="56">
        <f>SUMIF(JournalsB!D$14:D$920,TrialBalanceB!M236,JournalsB!J$14:J$920)+SUMIF(JournalsB!E$14:E$920,TrialBalanceB!M236,JournalsB!J$14:J$920)</f>
        <v>0</v>
      </c>
      <c r="H236" s="443"/>
      <c r="I236" s="447">
        <f t="shared" si="36"/>
        <v>0</v>
      </c>
      <c r="J236" s="84"/>
      <c r="K236" s="57">
        <f t="shared" si="42"/>
        <v>0</v>
      </c>
      <c r="M236" s="197" t="str">
        <f t="shared" si="43"/>
        <v>6100/022Property - depr this year</v>
      </c>
      <c r="N236" s="79"/>
      <c r="P236" s="80"/>
      <c r="Q236" s="60"/>
      <c r="R236" s="34"/>
    </row>
    <row r="237" spans="1:18" x14ac:dyDescent="0.2">
      <c r="A237" s="394"/>
      <c r="B237" s="63" t="s">
        <v>349</v>
      </c>
      <c r="C237" s="398" t="s">
        <v>1629</v>
      </c>
      <c r="D237" s="436"/>
      <c r="E237" s="428"/>
      <c r="F237" s="88"/>
      <c r="G237" s="56">
        <f>SUMIF(JournalsB!D$14:D$920,TrialBalanceB!M237,JournalsB!J$14:J$920)+SUMIF(JournalsB!E$14:E$920,TrialBalanceB!M237,JournalsB!J$14:J$920)</f>
        <v>0</v>
      </c>
      <c r="H237" s="443"/>
      <c r="I237" s="447">
        <f t="shared" si="36"/>
        <v>0</v>
      </c>
      <c r="J237" s="84"/>
      <c r="K237" s="57">
        <f t="shared" si="42"/>
        <v>0</v>
      </c>
      <c r="M237" s="197" t="str">
        <f t="shared" si="43"/>
        <v>6100/023Property - acc depr on sales</v>
      </c>
      <c r="N237" s="79"/>
      <c r="P237" s="80"/>
      <c r="Q237" s="60"/>
      <c r="R237" s="34"/>
    </row>
    <row r="238" spans="1:18" x14ac:dyDescent="0.2">
      <c r="A238" s="394"/>
      <c r="B238" s="114" t="s">
        <v>1543</v>
      </c>
      <c r="C238" s="398" t="s">
        <v>1630</v>
      </c>
      <c r="D238" s="436"/>
      <c r="E238" s="428"/>
      <c r="F238" s="88"/>
      <c r="G238" s="56">
        <f>SUMIF(JournalsB!D$14:D$920,TrialBalanceB!M238,JournalsB!J$14:J$920)+SUMIF(JournalsB!E$14:E$920,TrialBalanceB!M238,JournalsB!J$14:J$920)</f>
        <v>0</v>
      </c>
      <c r="H238" s="443"/>
      <c r="I238" s="447">
        <f t="shared" ref="I238" si="53">ROUND(D238-E238+G238+F238,0)</f>
        <v>0</v>
      </c>
      <c r="J238" s="84"/>
      <c r="K238" s="57">
        <f t="shared" ref="K238" si="54">ROUND(SUM(A238),0)</f>
        <v>0</v>
      </c>
      <c r="M238" s="197" t="str">
        <f t="shared" ref="M238" si="55">CONCATENATE(B238,C238)</f>
        <v>6100/024Property - recoupment of depr</v>
      </c>
      <c r="N238" s="79"/>
      <c r="P238" s="80"/>
      <c r="Q238" s="60"/>
      <c r="R238" s="34"/>
    </row>
    <row r="239" spans="1:18" x14ac:dyDescent="0.2">
      <c r="A239" s="394"/>
      <c r="B239" s="114" t="s">
        <v>862</v>
      </c>
      <c r="C239" s="397" t="s">
        <v>1409</v>
      </c>
      <c r="D239" s="436"/>
      <c r="E239" s="428"/>
      <c r="F239" s="88"/>
      <c r="G239" s="56">
        <f>SUMIF(JournalsB!D$14:D$920,TrialBalanceB!M239,JournalsB!J$14:J$920)+SUMIF(JournalsB!E$14:E$920,TrialBalanceB!M239,JournalsB!J$14:J$920)</f>
        <v>0</v>
      </c>
      <c r="H239" s="443"/>
      <c r="I239" s="447">
        <f t="shared" ref="I239:I243" si="56">ROUND(D239-E239+G239+F239,0)</f>
        <v>0</v>
      </c>
      <c r="J239" s="84"/>
      <c r="K239" s="57">
        <f t="shared" ref="K239:K243" si="57">ROUND(SUM(A239),0)</f>
        <v>0</v>
      </c>
      <c r="M239" s="197" t="str">
        <f t="shared" ref="M239:M243" si="58">CONCATENATE(B239,C239)</f>
        <v>6100/030INVESTMENT PROPERTY - COST</v>
      </c>
      <c r="N239" s="79"/>
      <c r="P239" s="80"/>
      <c r="Q239" s="60"/>
      <c r="R239" s="34"/>
    </row>
    <row r="240" spans="1:18" x14ac:dyDescent="0.2">
      <c r="A240" s="394"/>
      <c r="B240" s="114" t="s">
        <v>863</v>
      </c>
      <c r="C240" s="398" t="s">
        <v>1410</v>
      </c>
      <c r="D240" s="436"/>
      <c r="E240" s="428"/>
      <c r="F240" s="88">
        <f>SUM(K240:K244)</f>
        <v>0</v>
      </c>
      <c r="G240" s="56">
        <f>SUMIF(JournalsB!D$14:D$920,TrialBalanceB!M240,JournalsB!J$14:J$920)+SUMIF(JournalsB!E$14:E$920,TrialBalanceB!M240,JournalsB!J$14:J$920)</f>
        <v>0</v>
      </c>
      <c r="H240" s="443"/>
      <c r="I240" s="447">
        <f t="shared" si="56"/>
        <v>0</v>
      </c>
      <c r="J240" s="84"/>
      <c r="K240" s="57">
        <f t="shared" si="57"/>
        <v>0</v>
      </c>
      <c r="M240" s="197" t="str">
        <f t="shared" si="58"/>
        <v>6100/031Investment property - cost b/fwd</v>
      </c>
      <c r="N240" s="79"/>
      <c r="P240" s="80"/>
      <c r="Q240" s="60"/>
      <c r="R240" s="34"/>
    </row>
    <row r="241" spans="1:18" x14ac:dyDescent="0.2">
      <c r="A241" s="394"/>
      <c r="B241" s="114" t="s">
        <v>864</v>
      </c>
      <c r="C241" s="398" t="s">
        <v>1411</v>
      </c>
      <c r="D241" s="436"/>
      <c r="E241" s="428"/>
      <c r="F241" s="88"/>
      <c r="G241" s="56">
        <f>SUMIF(JournalsB!D$14:D$920,TrialBalanceB!M241,JournalsB!J$14:J$920)+SUMIF(JournalsB!E$14:E$920,TrialBalanceB!M241,JournalsB!J$14:J$920)</f>
        <v>0</v>
      </c>
      <c r="H241" s="443"/>
      <c r="I241" s="447">
        <f t="shared" si="56"/>
        <v>0</v>
      </c>
      <c r="J241" s="84"/>
      <c r="K241" s="57">
        <f t="shared" si="57"/>
        <v>0</v>
      </c>
      <c r="M241" s="197" t="str">
        <f t="shared" si="58"/>
        <v>6100/032Investment property - additions</v>
      </c>
      <c r="N241" s="79"/>
      <c r="P241" s="80"/>
      <c r="Q241" s="60"/>
      <c r="R241" s="34"/>
    </row>
    <row r="242" spans="1:18" x14ac:dyDescent="0.2">
      <c r="A242" s="394"/>
      <c r="B242" s="114" t="s">
        <v>865</v>
      </c>
      <c r="C242" s="398" t="s">
        <v>1412</v>
      </c>
      <c r="D242" s="436"/>
      <c r="E242" s="428"/>
      <c r="F242" s="88"/>
      <c r="G242" s="56">
        <f>SUMIF(JournalsB!D$14:D$920,TrialBalanceB!M242,JournalsB!J$14:J$920)+SUMIF(JournalsB!E$14:E$920,TrialBalanceB!M242,JournalsB!J$14:J$920)</f>
        <v>0</v>
      </c>
      <c r="H242" s="443"/>
      <c r="I242" s="447">
        <f t="shared" si="56"/>
        <v>0</v>
      </c>
      <c r="J242" s="84"/>
      <c r="K242" s="57">
        <f t="shared" si="57"/>
        <v>0</v>
      </c>
      <c r="M242" s="197" t="str">
        <f t="shared" si="58"/>
        <v>6100/033Investment property - cost of sales</v>
      </c>
      <c r="N242" s="79"/>
      <c r="P242" s="80"/>
      <c r="Q242" s="60"/>
      <c r="R242" s="34"/>
    </row>
    <row r="243" spans="1:18" x14ac:dyDescent="0.2">
      <c r="A243" s="394"/>
      <c r="B243" s="114" t="s">
        <v>1535</v>
      </c>
      <c r="C243" s="398" t="s">
        <v>1413</v>
      </c>
      <c r="D243" s="436"/>
      <c r="E243" s="428"/>
      <c r="F243" s="88"/>
      <c r="G243" s="56">
        <f>SUMIF(JournalsB!D$14:D$920,TrialBalanceB!M243,JournalsB!J$14:J$920)+SUMIF(JournalsB!E$14:E$920,TrialBalanceB!M243,JournalsB!J$14:J$920)</f>
        <v>0</v>
      </c>
      <c r="H243" s="443"/>
      <c r="I243" s="447">
        <f t="shared" si="56"/>
        <v>0</v>
      </c>
      <c r="J243" s="84"/>
      <c r="K243" s="57">
        <f t="shared" si="57"/>
        <v>0</v>
      </c>
      <c r="M243" s="197" t="str">
        <f t="shared" si="58"/>
        <v>6100/034Investment property - transfer from property</v>
      </c>
      <c r="N243" s="79"/>
      <c r="P243" s="80"/>
      <c r="Q243" s="60"/>
      <c r="R243" s="34"/>
    </row>
    <row r="244" spans="1:18" x14ac:dyDescent="0.2">
      <c r="A244" s="394"/>
      <c r="B244" s="114" t="s">
        <v>1556</v>
      </c>
      <c r="C244" s="398" t="s">
        <v>1557</v>
      </c>
      <c r="D244" s="436"/>
      <c r="E244" s="428"/>
      <c r="F244" s="88"/>
      <c r="G244" s="56">
        <f>SUMIF(JournalsB!D$14:D$920,TrialBalanceB!M244,JournalsB!J$14:J$920)+SUMIF(JournalsB!E$14:E$920,TrialBalanceB!M244,JournalsB!J$14:J$920)</f>
        <v>0</v>
      </c>
      <c r="H244" s="443"/>
      <c r="I244" s="447">
        <f t="shared" ref="I244" si="59">ROUND(D244-E244+G244+F244,0)</f>
        <v>0</v>
      </c>
      <c r="J244" s="84"/>
      <c r="K244" s="57">
        <f t="shared" ref="K244" si="60">ROUND(SUM(A244),0)</f>
        <v>0</v>
      </c>
      <c r="M244" s="197" t="str">
        <f t="shared" ref="M244" si="61">CONCATENATE(B244,C244)</f>
        <v>6100/035Investment property - transfer to property</v>
      </c>
      <c r="N244" s="79"/>
      <c r="P244" s="80"/>
      <c r="Q244" s="60"/>
      <c r="R244" s="34"/>
    </row>
    <row r="245" spans="1:18" x14ac:dyDescent="0.2">
      <c r="A245" s="394"/>
      <c r="B245" s="114" t="s">
        <v>1536</v>
      </c>
      <c r="C245" s="397" t="s">
        <v>1540</v>
      </c>
      <c r="D245" s="436"/>
      <c r="E245" s="428"/>
      <c r="F245" s="88"/>
      <c r="G245" s="56">
        <f>SUMIF(JournalsB!D$14:D$920,TrialBalanceB!M245,JournalsB!J$14:J$920)+SUMIF(JournalsB!E$14:E$920,TrialBalanceB!M245,JournalsB!J$14:J$920)</f>
        <v>0</v>
      </c>
      <c r="H245" s="443"/>
      <c r="I245" s="447">
        <f t="shared" ref="I245:I249" si="62">ROUND(D245-E245+G245+F245,0)</f>
        <v>0</v>
      </c>
      <c r="J245" s="84"/>
      <c r="K245" s="57">
        <f t="shared" ref="K245:K249" si="63">ROUND(SUM(A245),0)</f>
        <v>0</v>
      </c>
      <c r="M245" s="197" t="str">
        <f t="shared" ref="M245:M249" si="64">CONCATENATE(B245,C245)</f>
        <v>6100/040INVESTMENT PROPERTY - VALUATION</v>
      </c>
      <c r="N245" s="79"/>
      <c r="P245" s="80"/>
      <c r="Q245" s="60"/>
      <c r="R245" s="34"/>
    </row>
    <row r="246" spans="1:18" x14ac:dyDescent="0.2">
      <c r="A246" s="394"/>
      <c r="B246" s="114" t="s">
        <v>1537</v>
      </c>
      <c r="C246" s="398" t="s">
        <v>1541</v>
      </c>
      <c r="D246" s="436"/>
      <c r="E246" s="428"/>
      <c r="F246" s="88">
        <f>SUM(K246:K249)</f>
        <v>0</v>
      </c>
      <c r="G246" s="56">
        <f>SUMIF(JournalsB!D$14:D$920,TrialBalanceB!M246,JournalsB!J$14:J$920)+SUMIF(JournalsB!E$14:E$920,TrialBalanceB!M246,JournalsB!J$14:J$920)</f>
        <v>0</v>
      </c>
      <c r="H246" s="443"/>
      <c r="I246" s="447">
        <f t="shared" si="62"/>
        <v>0</v>
      </c>
      <c r="J246" s="84"/>
      <c r="K246" s="57">
        <f t="shared" si="63"/>
        <v>0</v>
      </c>
      <c r="M246" s="197" t="str">
        <f t="shared" si="64"/>
        <v>6100/041Investment property - valuation b/fwd</v>
      </c>
      <c r="N246" s="79"/>
      <c r="P246" s="80"/>
      <c r="Q246" s="60"/>
      <c r="R246" s="34"/>
    </row>
    <row r="247" spans="1:18" x14ac:dyDescent="0.2">
      <c r="A247" s="394"/>
      <c r="B247" s="114" t="s">
        <v>1538</v>
      </c>
      <c r="C247" s="398" t="s">
        <v>1542</v>
      </c>
      <c r="D247" s="436"/>
      <c r="E247" s="428"/>
      <c r="F247" s="88"/>
      <c r="G247" s="56">
        <f>SUMIF(JournalsB!D$14:D$920,TrialBalanceB!M247,JournalsB!J$14:J$920)+SUMIF(JournalsB!E$14:E$920,TrialBalanceB!M247,JournalsB!J$14:J$920)</f>
        <v>0</v>
      </c>
      <c r="H247" s="443"/>
      <c r="I247" s="447">
        <f t="shared" si="62"/>
        <v>0</v>
      </c>
      <c r="J247" s="84"/>
      <c r="K247" s="57">
        <f t="shared" si="63"/>
        <v>0</v>
      </c>
      <c r="M247" s="197" t="str">
        <f t="shared" si="64"/>
        <v>6100/042Investment property - valuation additions</v>
      </c>
      <c r="N247" s="79"/>
      <c r="P247" s="80"/>
      <c r="Q247" s="60"/>
      <c r="R247" s="34"/>
    </row>
    <row r="248" spans="1:18" x14ac:dyDescent="0.2">
      <c r="A248" s="394"/>
      <c r="B248" s="114" t="s">
        <v>1539</v>
      </c>
      <c r="C248" s="398" t="s">
        <v>1562</v>
      </c>
      <c r="D248" s="436"/>
      <c r="E248" s="428"/>
      <c r="F248" s="88"/>
      <c r="G248" s="56">
        <f>SUMIF(JournalsB!D$14:D$920,TrialBalanceB!M248,JournalsB!J$14:J$920)+SUMIF(JournalsB!E$14:E$920,TrialBalanceB!M248,JournalsB!J$14:J$920)</f>
        <v>0</v>
      </c>
      <c r="H248" s="443"/>
      <c r="I248" s="447">
        <f t="shared" ref="I248" si="65">ROUND(D248-E248+G248+F248,0)</f>
        <v>0</v>
      </c>
      <c r="J248" s="84"/>
      <c r="K248" s="57">
        <f t="shared" ref="K248" si="66">ROUND(SUM(A248),0)</f>
        <v>0</v>
      </c>
      <c r="M248" s="197" t="str">
        <f t="shared" ref="M248" si="67">CONCATENATE(B248,C248)</f>
        <v>6100/043Investment property - valuation reduction on sales</v>
      </c>
      <c r="N248" s="79"/>
      <c r="P248" s="80"/>
      <c r="Q248" s="60"/>
      <c r="R248" s="34"/>
    </row>
    <row r="249" spans="1:18" x14ac:dyDescent="0.2">
      <c r="A249" s="394"/>
      <c r="B249" s="114" t="s">
        <v>1563</v>
      </c>
      <c r="C249" s="398" t="s">
        <v>1564</v>
      </c>
      <c r="D249" s="436"/>
      <c r="E249" s="428"/>
      <c r="F249" s="88"/>
      <c r="G249" s="56">
        <f>SUMIF(JournalsB!D$14:D$920,TrialBalanceB!M249,JournalsB!J$14:J$920)+SUMIF(JournalsB!E$14:E$920,TrialBalanceB!M249,JournalsB!J$14:J$920)</f>
        <v>0</v>
      </c>
      <c r="H249" s="443"/>
      <c r="I249" s="447">
        <f t="shared" si="62"/>
        <v>0</v>
      </c>
      <c r="J249" s="84"/>
      <c r="K249" s="57">
        <f t="shared" si="63"/>
        <v>0</v>
      </c>
      <c r="M249" s="197" t="str">
        <f t="shared" si="64"/>
        <v>6100/044Investment property - valuation reduction on transfers</v>
      </c>
      <c r="N249" s="79"/>
      <c r="P249" s="80"/>
      <c r="Q249" s="60"/>
      <c r="R249" s="34"/>
    </row>
    <row r="250" spans="1:18" x14ac:dyDescent="0.2">
      <c r="A250" s="394"/>
      <c r="B250" s="63" t="s">
        <v>350</v>
      </c>
      <c r="C250" s="397" t="s">
        <v>1006</v>
      </c>
      <c r="D250" s="437"/>
      <c r="E250" s="428"/>
      <c r="F250" s="88"/>
      <c r="G250" s="56">
        <f>SUMIF(JournalsB!D$14:D$920,TrialBalanceB!M250,JournalsB!J$14:J$920)+SUMIF(JournalsB!E$14:E$920,TrialBalanceB!M250,JournalsB!J$14:J$920)</f>
        <v>0</v>
      </c>
      <c r="H250" s="443"/>
      <c r="I250" s="447">
        <f t="shared" si="36"/>
        <v>0</v>
      </c>
      <c r="J250" s="84"/>
      <c r="K250" s="57">
        <f t="shared" si="42"/>
        <v>0</v>
      </c>
      <c r="M250" s="197" t="str">
        <f t="shared" si="43"/>
        <v>6150/000PLANT AND MACHINERY - COST</v>
      </c>
      <c r="N250" s="79"/>
      <c r="P250" s="80"/>
      <c r="Q250" s="60"/>
      <c r="R250" s="34"/>
    </row>
    <row r="251" spans="1:18" x14ac:dyDescent="0.2">
      <c r="A251" s="394"/>
      <c r="B251" s="63" t="s">
        <v>43</v>
      </c>
      <c r="C251" s="398" t="s">
        <v>1007</v>
      </c>
      <c r="D251" s="436"/>
      <c r="E251" s="428"/>
      <c r="F251" s="88">
        <f>SUM(K251:K253)</f>
        <v>0</v>
      </c>
      <c r="G251" s="56">
        <f>SUMIF(JournalsB!D$14:D$920,TrialBalanceB!M251,JournalsB!J$14:J$920)+SUMIF(JournalsB!E$14:E$920,TrialBalanceB!M251,JournalsB!J$14:J$920)</f>
        <v>0</v>
      </c>
      <c r="H251" s="443"/>
      <c r="I251" s="447">
        <f t="shared" si="36"/>
        <v>0</v>
      </c>
      <c r="J251" s="84"/>
      <c r="K251" s="57">
        <f t="shared" si="42"/>
        <v>0</v>
      </c>
      <c r="M251" s="197" t="str">
        <f t="shared" si="43"/>
        <v>6150/001Plant and machinery - cost b/fwd</v>
      </c>
      <c r="N251" s="79"/>
      <c r="P251" s="80"/>
      <c r="Q251" s="60"/>
      <c r="R251" s="34"/>
    </row>
    <row r="252" spans="1:18" x14ac:dyDescent="0.2">
      <c r="A252" s="394"/>
      <c r="B252" s="63" t="s">
        <v>44</v>
      </c>
      <c r="C252" s="398" t="s">
        <v>1008</v>
      </c>
      <c r="D252" s="436"/>
      <c r="E252" s="428"/>
      <c r="F252" s="88"/>
      <c r="G252" s="56">
        <f>SUMIF(JournalsB!D$14:D$920,TrialBalanceB!M252,JournalsB!J$14:J$920)+SUMIF(JournalsB!E$14:E$920,TrialBalanceB!M252,JournalsB!J$14:J$920)</f>
        <v>0</v>
      </c>
      <c r="H252" s="443"/>
      <c r="I252" s="447">
        <f t="shared" si="36"/>
        <v>0</v>
      </c>
      <c r="J252" s="84"/>
      <c r="K252" s="57">
        <f t="shared" si="42"/>
        <v>0</v>
      </c>
      <c r="M252" s="197" t="str">
        <f t="shared" si="43"/>
        <v>6150/002Plant and machinery - additions</v>
      </c>
      <c r="N252" s="79"/>
      <c r="P252" s="80"/>
      <c r="Q252" s="60"/>
      <c r="R252" s="34"/>
    </row>
    <row r="253" spans="1:18" x14ac:dyDescent="0.2">
      <c r="A253" s="394"/>
      <c r="B253" s="63" t="s">
        <v>45</v>
      </c>
      <c r="C253" s="398" t="s">
        <v>1009</v>
      </c>
      <c r="D253" s="436"/>
      <c r="E253" s="428"/>
      <c r="F253" s="88"/>
      <c r="G253" s="56">
        <f>SUMIF(JournalsB!D$14:D$920,TrialBalanceB!M253,JournalsB!J$14:J$920)+SUMIF(JournalsB!E$14:E$920,TrialBalanceB!M253,JournalsB!J$14:J$920)</f>
        <v>0</v>
      </c>
      <c r="H253" s="443"/>
      <c r="I253" s="447">
        <f t="shared" ref="I253:I354" si="68">ROUND(D253-E253+G253+F253,0)</f>
        <v>0</v>
      </c>
      <c r="J253" s="84"/>
      <c r="K253" s="57">
        <f t="shared" si="42"/>
        <v>0</v>
      </c>
      <c r="M253" s="197" t="str">
        <f t="shared" si="43"/>
        <v>6150/003Plant and machinery - cost of sales</v>
      </c>
      <c r="N253" s="79"/>
      <c r="P253" s="80"/>
      <c r="Q253" s="60"/>
      <c r="R253" s="34"/>
    </row>
    <row r="254" spans="1:18" x14ac:dyDescent="0.2">
      <c r="A254" s="394"/>
      <c r="B254" s="63" t="s">
        <v>20</v>
      </c>
      <c r="C254" s="397" t="s">
        <v>1010</v>
      </c>
      <c r="D254" s="437"/>
      <c r="E254" s="428"/>
      <c r="F254" s="88"/>
      <c r="G254" s="56">
        <f>SUMIF(JournalsB!D$14:D$920,TrialBalanceB!M254,JournalsB!J$14:J$920)+SUMIF(JournalsB!E$14:E$920,TrialBalanceB!M254,JournalsB!J$14:J$920)</f>
        <v>0</v>
      </c>
      <c r="H254" s="443"/>
      <c r="I254" s="447">
        <f t="shared" si="68"/>
        <v>0</v>
      </c>
      <c r="J254" s="84"/>
      <c r="K254" s="57">
        <f t="shared" si="42"/>
        <v>0</v>
      </c>
      <c r="M254" s="197" t="str">
        <f t="shared" si="43"/>
        <v>6150/020PLANT AND MACHINERY - ACC DEPR</v>
      </c>
      <c r="N254" s="79"/>
      <c r="P254" s="80"/>
      <c r="Q254" s="60"/>
      <c r="R254" s="34"/>
    </row>
    <row r="255" spans="1:18" x14ac:dyDescent="0.2">
      <c r="A255" s="394"/>
      <c r="B255" s="63" t="s">
        <v>21</v>
      </c>
      <c r="C255" s="398" t="s">
        <v>1011</v>
      </c>
      <c r="D255" s="436"/>
      <c r="E255" s="428"/>
      <c r="F255" s="88">
        <f>SUM(K255:K257)</f>
        <v>0</v>
      </c>
      <c r="G255" s="56">
        <f>SUMIF(JournalsB!D$14:D$920,TrialBalanceB!M255,JournalsB!J$14:J$920)+SUMIF(JournalsB!E$14:E$920,TrialBalanceB!M255,JournalsB!J$14:J$920)</f>
        <v>0</v>
      </c>
      <c r="H255" s="443"/>
      <c r="I255" s="447">
        <f t="shared" si="68"/>
        <v>0</v>
      </c>
      <c r="J255" s="84"/>
      <c r="K255" s="57">
        <f t="shared" si="42"/>
        <v>0</v>
      </c>
      <c r="M255" s="197" t="str">
        <f t="shared" si="43"/>
        <v>6150/021Plant and machinery - acc depr b/fwd</v>
      </c>
      <c r="N255" s="79"/>
      <c r="P255" s="80"/>
      <c r="Q255" s="60"/>
      <c r="R255" s="34"/>
    </row>
    <row r="256" spans="1:18" x14ac:dyDescent="0.2">
      <c r="A256" s="394"/>
      <c r="B256" s="63" t="s">
        <v>37</v>
      </c>
      <c r="C256" s="398" t="s">
        <v>1012</v>
      </c>
      <c r="D256" s="436"/>
      <c r="E256" s="428"/>
      <c r="F256" s="88"/>
      <c r="G256" s="56">
        <f>SUMIF(JournalsB!D$14:D$920,TrialBalanceB!M256,JournalsB!J$14:J$920)+SUMIF(JournalsB!E$14:E$920,TrialBalanceB!M256,JournalsB!J$14:J$920)</f>
        <v>0</v>
      </c>
      <c r="H256" s="443"/>
      <c r="I256" s="447">
        <f t="shared" si="68"/>
        <v>0</v>
      </c>
      <c r="J256" s="84"/>
      <c r="K256" s="57">
        <f t="shared" si="42"/>
        <v>0</v>
      </c>
      <c r="M256" s="197" t="str">
        <f t="shared" si="43"/>
        <v>6150/022Plant and machinery - depr this year</v>
      </c>
      <c r="N256" s="79"/>
      <c r="P256" s="80"/>
      <c r="Q256" s="60"/>
      <c r="R256" s="34"/>
    </row>
    <row r="257" spans="1:18" x14ac:dyDescent="0.2">
      <c r="A257" s="394"/>
      <c r="B257" s="63" t="s">
        <v>38</v>
      </c>
      <c r="C257" s="398" t="s">
        <v>1013</v>
      </c>
      <c r="D257" s="436"/>
      <c r="E257" s="428"/>
      <c r="F257" s="88"/>
      <c r="G257" s="56">
        <f>SUMIF(JournalsB!D$14:D$920,TrialBalanceB!M257,JournalsB!J$14:J$920)+SUMIF(JournalsB!E$14:E$920,TrialBalanceB!M257,JournalsB!J$14:J$920)</f>
        <v>0</v>
      </c>
      <c r="H257" s="443"/>
      <c r="I257" s="447">
        <f t="shared" si="68"/>
        <v>0</v>
      </c>
      <c r="J257" s="84"/>
      <c r="K257" s="57">
        <f t="shared" si="42"/>
        <v>0</v>
      </c>
      <c r="M257" s="197" t="str">
        <f t="shared" si="43"/>
        <v>6150/023Plant and machinery - acc depr on sales</v>
      </c>
      <c r="N257" s="79"/>
      <c r="P257" s="80"/>
      <c r="Q257" s="60"/>
      <c r="R257" s="34"/>
    </row>
    <row r="258" spans="1:18" x14ac:dyDescent="0.2">
      <c r="A258" s="394"/>
      <c r="B258" s="63" t="s">
        <v>39</v>
      </c>
      <c r="C258" s="397" t="s">
        <v>40</v>
      </c>
      <c r="D258" s="437"/>
      <c r="E258" s="428"/>
      <c r="F258" s="88"/>
      <c r="G258" s="56">
        <f>SUMIF(JournalsB!D$14:D$920,TrialBalanceB!M258,JournalsB!J$14:J$920)+SUMIF(JournalsB!E$14:E$920,TrialBalanceB!M258,JournalsB!J$14:J$920)</f>
        <v>0</v>
      </c>
      <c r="H258" s="443"/>
      <c r="I258" s="447">
        <f t="shared" si="68"/>
        <v>0</v>
      </c>
      <c r="J258" s="84"/>
      <c r="K258" s="57">
        <f t="shared" si="42"/>
        <v>0</v>
      </c>
      <c r="M258" s="197" t="str">
        <f t="shared" si="43"/>
        <v>6200/000MOTOR VEHICLES - COST</v>
      </c>
      <c r="N258" s="79"/>
      <c r="P258" s="80"/>
      <c r="Q258" s="60"/>
      <c r="R258" s="34"/>
    </row>
    <row r="259" spans="1:18" x14ac:dyDescent="0.2">
      <c r="A259" s="394"/>
      <c r="B259" s="63" t="s">
        <v>41</v>
      </c>
      <c r="C259" s="398" t="s">
        <v>1014</v>
      </c>
      <c r="D259" s="436"/>
      <c r="E259" s="428"/>
      <c r="F259" s="88">
        <f>SUM(K259:K261)</f>
        <v>0</v>
      </c>
      <c r="G259" s="56">
        <f>SUMIF(JournalsB!D$14:D$920,TrialBalanceB!M259,JournalsB!J$14:J$920)+SUMIF(JournalsB!E$14:E$920,TrialBalanceB!M259,JournalsB!J$14:J$920)</f>
        <v>0</v>
      </c>
      <c r="H259" s="443"/>
      <c r="I259" s="447">
        <f t="shared" si="68"/>
        <v>0</v>
      </c>
      <c r="J259" s="84"/>
      <c r="K259" s="57">
        <f t="shared" si="42"/>
        <v>0</v>
      </c>
      <c r="M259" s="197" t="str">
        <f t="shared" si="43"/>
        <v>6200/001Motor vehicles - cost b/fwd</v>
      </c>
      <c r="N259" s="79"/>
      <c r="P259" s="80"/>
      <c r="Q259" s="60"/>
      <c r="R259" s="34"/>
    </row>
    <row r="260" spans="1:18" x14ac:dyDescent="0.2">
      <c r="A260" s="394"/>
      <c r="B260" s="63" t="s">
        <v>42</v>
      </c>
      <c r="C260" s="398" t="s">
        <v>1015</v>
      </c>
      <c r="D260" s="436"/>
      <c r="E260" s="428"/>
      <c r="F260" s="88"/>
      <c r="G260" s="56">
        <f>SUMIF(JournalsB!D$14:D$920,TrialBalanceB!M260,JournalsB!J$14:J$920)+SUMIF(JournalsB!E$14:E$920,TrialBalanceB!M260,JournalsB!J$14:J$920)</f>
        <v>0</v>
      </c>
      <c r="H260" s="443"/>
      <c r="I260" s="447">
        <f t="shared" si="68"/>
        <v>0</v>
      </c>
      <c r="J260" s="84"/>
      <c r="K260" s="57">
        <f t="shared" si="42"/>
        <v>0</v>
      </c>
      <c r="M260" s="197" t="str">
        <f t="shared" si="43"/>
        <v>6200/002Motor vehicles - additions</v>
      </c>
      <c r="N260" s="79"/>
      <c r="P260" s="80"/>
      <c r="Q260" s="60"/>
      <c r="R260" s="34"/>
    </row>
    <row r="261" spans="1:18" x14ac:dyDescent="0.2">
      <c r="A261" s="394"/>
      <c r="B261" s="63" t="s">
        <v>556</v>
      </c>
      <c r="C261" s="398" t="s">
        <v>1016</v>
      </c>
      <c r="D261" s="436"/>
      <c r="E261" s="428"/>
      <c r="F261" s="88"/>
      <c r="G261" s="56">
        <f>SUMIF(JournalsB!D$14:D$920,TrialBalanceB!M261,JournalsB!J$14:J$920)+SUMIF(JournalsB!E$14:E$920,TrialBalanceB!M261,JournalsB!J$14:J$920)</f>
        <v>0</v>
      </c>
      <c r="H261" s="443"/>
      <c r="I261" s="447">
        <f t="shared" si="68"/>
        <v>0</v>
      </c>
      <c r="J261" s="84"/>
      <c r="K261" s="57">
        <f t="shared" si="42"/>
        <v>0</v>
      </c>
      <c r="M261" s="197" t="str">
        <f t="shared" si="43"/>
        <v>6200/003Motor vehicles - cost of sales</v>
      </c>
      <c r="N261" s="79"/>
      <c r="P261" s="80"/>
      <c r="Q261" s="60"/>
      <c r="R261" s="34"/>
    </row>
    <row r="262" spans="1:18" x14ac:dyDescent="0.2">
      <c r="A262" s="394"/>
      <c r="B262" s="63" t="s">
        <v>0</v>
      </c>
      <c r="C262" s="397" t="s">
        <v>1</v>
      </c>
      <c r="D262" s="437"/>
      <c r="E262" s="428"/>
      <c r="F262" s="88"/>
      <c r="G262" s="56">
        <f>SUMIF(JournalsB!D$14:D$920,TrialBalanceB!M262,JournalsB!J$14:J$920)+SUMIF(JournalsB!E$14:E$920,TrialBalanceB!M262,JournalsB!J$14:J$920)</f>
        <v>0</v>
      </c>
      <c r="H262" s="443"/>
      <c r="I262" s="447">
        <f t="shared" si="68"/>
        <v>0</v>
      </c>
      <c r="J262" s="84"/>
      <c r="K262" s="57">
        <f t="shared" si="42"/>
        <v>0</v>
      </c>
      <c r="M262" s="197" t="str">
        <f t="shared" si="43"/>
        <v>6200/020MOTOR VEHICLES - ACC DEPR</v>
      </c>
      <c r="N262" s="79"/>
      <c r="P262" s="80"/>
      <c r="Q262" s="60"/>
      <c r="R262" s="34"/>
    </row>
    <row r="263" spans="1:18" x14ac:dyDescent="0.2">
      <c r="A263" s="394"/>
      <c r="B263" s="63" t="s">
        <v>2</v>
      </c>
      <c r="C263" s="398" t="s">
        <v>1017</v>
      </c>
      <c r="D263" s="436"/>
      <c r="E263" s="428"/>
      <c r="F263" s="88">
        <f>SUM(K263:K265)</f>
        <v>0</v>
      </c>
      <c r="G263" s="56">
        <f>SUMIF(JournalsB!D$14:D$920,TrialBalanceB!M263,JournalsB!J$14:J$920)+SUMIF(JournalsB!E$14:E$920,TrialBalanceB!M263,JournalsB!J$14:J$920)</f>
        <v>0</v>
      </c>
      <c r="H263" s="443"/>
      <c r="I263" s="447">
        <f t="shared" si="68"/>
        <v>0</v>
      </c>
      <c r="J263" s="84"/>
      <c r="K263" s="57">
        <f t="shared" si="42"/>
        <v>0</v>
      </c>
      <c r="M263" s="197" t="str">
        <f t="shared" si="43"/>
        <v>6200/021Motor vehicles - acc depr b/fwd</v>
      </c>
      <c r="N263" s="79"/>
      <c r="P263" s="80"/>
      <c r="Q263" s="60"/>
      <c r="R263" s="34"/>
    </row>
    <row r="264" spans="1:18" x14ac:dyDescent="0.2">
      <c r="A264" s="394"/>
      <c r="B264" s="63" t="s">
        <v>3</v>
      </c>
      <c r="C264" s="398" t="s">
        <v>1018</v>
      </c>
      <c r="D264" s="436"/>
      <c r="E264" s="428"/>
      <c r="F264" s="88"/>
      <c r="G264" s="56">
        <f>SUMIF(JournalsB!D$14:D$920,TrialBalanceB!M264,JournalsB!J$14:J$920)+SUMIF(JournalsB!E$14:E$920,TrialBalanceB!M264,JournalsB!J$14:J$920)</f>
        <v>0</v>
      </c>
      <c r="H264" s="443"/>
      <c r="I264" s="447">
        <f t="shared" si="68"/>
        <v>0</v>
      </c>
      <c r="J264" s="84"/>
      <c r="K264" s="57">
        <f t="shared" si="42"/>
        <v>0</v>
      </c>
      <c r="M264" s="197" t="str">
        <f t="shared" si="43"/>
        <v>6200/022Motor vehicles - depr this year</v>
      </c>
      <c r="N264" s="79"/>
      <c r="P264" s="80"/>
      <c r="Q264" s="60"/>
      <c r="R264" s="34"/>
    </row>
    <row r="265" spans="1:18" x14ac:dyDescent="0.2">
      <c r="A265" s="394"/>
      <c r="B265" s="63" t="s">
        <v>4</v>
      </c>
      <c r="C265" s="398" t="s">
        <v>1019</v>
      </c>
      <c r="D265" s="436"/>
      <c r="E265" s="428"/>
      <c r="F265" s="88"/>
      <c r="G265" s="56">
        <f>SUMIF(JournalsB!D$14:D$920,TrialBalanceB!M265,JournalsB!J$14:J$920)+SUMIF(JournalsB!E$14:E$920,TrialBalanceB!M265,JournalsB!J$14:J$920)</f>
        <v>0</v>
      </c>
      <c r="H265" s="443"/>
      <c r="I265" s="447">
        <f t="shared" si="68"/>
        <v>0</v>
      </c>
      <c r="J265" s="84"/>
      <c r="K265" s="57">
        <f t="shared" si="42"/>
        <v>0</v>
      </c>
      <c r="M265" s="197" t="str">
        <f t="shared" si="43"/>
        <v>6200/023Motor vehicles - acc depr on sales</v>
      </c>
      <c r="N265" s="79"/>
      <c r="P265" s="80"/>
      <c r="Q265" s="60"/>
      <c r="R265" s="34"/>
    </row>
    <row r="266" spans="1:18" x14ac:dyDescent="0.2">
      <c r="A266" s="394"/>
      <c r="B266" s="63" t="s">
        <v>5</v>
      </c>
      <c r="C266" s="397" t="s">
        <v>150</v>
      </c>
      <c r="D266" s="437"/>
      <c r="E266" s="428"/>
      <c r="F266" s="88"/>
      <c r="G266" s="56">
        <f>SUMIF(JournalsB!D$14:D$920,TrialBalanceB!M266,JournalsB!J$14:J$920)+SUMIF(JournalsB!E$14:E$920,TrialBalanceB!M266,JournalsB!J$14:J$920)</f>
        <v>0</v>
      </c>
      <c r="H266" s="443"/>
      <c r="I266" s="447">
        <f t="shared" si="68"/>
        <v>0</v>
      </c>
      <c r="J266" s="84"/>
      <c r="K266" s="57">
        <f t="shared" si="42"/>
        <v>0</v>
      </c>
      <c r="M266" s="197" t="str">
        <f t="shared" si="43"/>
        <v>6250/000ELECTRONIC EQUIPMENT - COST</v>
      </c>
      <c r="N266" s="79"/>
      <c r="P266" s="80"/>
      <c r="Q266" s="60"/>
      <c r="R266" s="34"/>
    </row>
    <row r="267" spans="1:18" x14ac:dyDescent="0.2">
      <c r="A267" s="394"/>
      <c r="B267" s="63" t="s">
        <v>6</v>
      </c>
      <c r="C267" s="398" t="s">
        <v>1020</v>
      </c>
      <c r="D267" s="436"/>
      <c r="E267" s="428"/>
      <c r="F267" s="88">
        <f>SUM(K267:K269)</f>
        <v>0</v>
      </c>
      <c r="G267" s="56">
        <f>SUMIF(JournalsB!D$14:D$920,TrialBalanceB!M267,JournalsB!J$14:J$920)+SUMIF(JournalsB!E$14:E$920,TrialBalanceB!M267,JournalsB!J$14:J$920)</f>
        <v>0</v>
      </c>
      <c r="H267" s="443"/>
      <c r="I267" s="447">
        <f t="shared" si="68"/>
        <v>0</v>
      </c>
      <c r="J267" s="84"/>
      <c r="K267" s="57">
        <f t="shared" si="42"/>
        <v>0</v>
      </c>
      <c r="M267" s="197" t="str">
        <f t="shared" si="43"/>
        <v>6250/001Electronic equipment - cost b/fwd</v>
      </c>
      <c r="N267" s="79"/>
      <c r="P267" s="80"/>
      <c r="Q267" s="60"/>
      <c r="R267" s="34"/>
    </row>
    <row r="268" spans="1:18" x14ac:dyDescent="0.2">
      <c r="A268" s="394"/>
      <c r="B268" s="63" t="s">
        <v>7</v>
      </c>
      <c r="C268" s="398" t="s">
        <v>1021</v>
      </c>
      <c r="D268" s="436"/>
      <c r="E268" s="428"/>
      <c r="F268" s="88"/>
      <c r="G268" s="56">
        <f>SUMIF(JournalsB!D$14:D$920,TrialBalanceB!M268,JournalsB!J$14:J$920)+SUMIF(JournalsB!E$14:E$920,TrialBalanceB!M268,JournalsB!J$14:J$920)</f>
        <v>0</v>
      </c>
      <c r="H268" s="443"/>
      <c r="I268" s="447">
        <f t="shared" si="68"/>
        <v>0</v>
      </c>
      <c r="J268" s="84"/>
      <c r="K268" s="57">
        <f t="shared" si="42"/>
        <v>0</v>
      </c>
      <c r="M268" s="197" t="str">
        <f t="shared" si="43"/>
        <v>6250/002Electronic equipment - additions</v>
      </c>
      <c r="N268" s="79"/>
      <c r="P268" s="80"/>
      <c r="Q268" s="60"/>
      <c r="R268" s="34"/>
    </row>
    <row r="269" spans="1:18" x14ac:dyDescent="0.2">
      <c r="A269" s="394"/>
      <c r="B269" s="63" t="s">
        <v>8</v>
      </c>
      <c r="C269" s="398" t="s">
        <v>1022</v>
      </c>
      <c r="D269" s="436"/>
      <c r="E269" s="428"/>
      <c r="F269" s="88"/>
      <c r="G269" s="56">
        <f>SUMIF(JournalsB!D$14:D$920,TrialBalanceB!M269,JournalsB!J$14:J$920)+SUMIF(JournalsB!E$14:E$920,TrialBalanceB!M269,JournalsB!J$14:J$920)</f>
        <v>0</v>
      </c>
      <c r="H269" s="443"/>
      <c r="I269" s="447">
        <f t="shared" si="68"/>
        <v>0</v>
      </c>
      <c r="J269" s="84"/>
      <c r="K269" s="57">
        <f t="shared" si="42"/>
        <v>0</v>
      </c>
      <c r="M269" s="197" t="str">
        <f t="shared" si="43"/>
        <v>6250/003Electronic equipment - cost of sales</v>
      </c>
      <c r="N269" s="79"/>
      <c r="P269" s="80"/>
      <c r="Q269" s="60"/>
      <c r="R269" s="34"/>
    </row>
    <row r="270" spans="1:18" x14ac:dyDescent="0.2">
      <c r="A270" s="394"/>
      <c r="B270" s="63" t="s">
        <v>9</v>
      </c>
      <c r="C270" s="397" t="s">
        <v>151</v>
      </c>
      <c r="D270" s="437"/>
      <c r="E270" s="428"/>
      <c r="F270" s="88"/>
      <c r="G270" s="56">
        <f>SUMIF(JournalsB!D$14:D$920,TrialBalanceB!M270,JournalsB!J$14:J$920)+SUMIF(JournalsB!E$14:E$920,TrialBalanceB!M270,JournalsB!J$14:J$920)</f>
        <v>0</v>
      </c>
      <c r="H270" s="443"/>
      <c r="I270" s="447">
        <f t="shared" si="68"/>
        <v>0</v>
      </c>
      <c r="J270" s="84"/>
      <c r="K270" s="57">
        <f t="shared" si="42"/>
        <v>0</v>
      </c>
      <c r="M270" s="197" t="str">
        <f t="shared" si="43"/>
        <v>6250/020ELECTRONIC EQUIPMENT - ACC DEPR</v>
      </c>
      <c r="N270" s="79"/>
      <c r="P270" s="80"/>
      <c r="Q270" s="60"/>
      <c r="R270" s="34"/>
    </row>
    <row r="271" spans="1:18" x14ac:dyDescent="0.2">
      <c r="A271" s="394"/>
      <c r="B271" s="63" t="s">
        <v>10</v>
      </c>
      <c r="C271" s="398" t="s">
        <v>1023</v>
      </c>
      <c r="D271" s="436"/>
      <c r="E271" s="428"/>
      <c r="F271" s="88">
        <f>SUM(K271:K273)</f>
        <v>0</v>
      </c>
      <c r="G271" s="56">
        <f>SUMIF(JournalsB!D$14:D$920,TrialBalanceB!M271,JournalsB!J$14:J$920)+SUMIF(JournalsB!E$14:E$920,TrialBalanceB!M271,JournalsB!J$14:J$920)</f>
        <v>0</v>
      </c>
      <c r="H271" s="443"/>
      <c r="I271" s="447">
        <f t="shared" si="68"/>
        <v>0</v>
      </c>
      <c r="J271" s="84"/>
      <c r="K271" s="57">
        <f t="shared" si="42"/>
        <v>0</v>
      </c>
      <c r="M271" s="197" t="str">
        <f t="shared" si="43"/>
        <v>6250/021Electronic equipment - acc depr b/fwd</v>
      </c>
      <c r="N271" s="79"/>
      <c r="P271" s="80"/>
      <c r="Q271" s="60"/>
      <c r="R271" s="34"/>
    </row>
    <row r="272" spans="1:18" x14ac:dyDescent="0.2">
      <c r="A272" s="394"/>
      <c r="B272" s="63" t="s">
        <v>11</v>
      </c>
      <c r="C272" s="398" t="s">
        <v>1024</v>
      </c>
      <c r="D272" s="436"/>
      <c r="E272" s="428"/>
      <c r="F272" s="88"/>
      <c r="G272" s="56">
        <f>SUMIF(JournalsB!D$14:D$920,TrialBalanceB!M272,JournalsB!J$14:J$920)+SUMIF(JournalsB!E$14:E$920,TrialBalanceB!M272,JournalsB!J$14:J$920)</f>
        <v>0</v>
      </c>
      <c r="H272" s="443"/>
      <c r="I272" s="447">
        <f t="shared" si="68"/>
        <v>0</v>
      </c>
      <c r="J272" s="84"/>
      <c r="K272" s="57">
        <f t="shared" si="42"/>
        <v>0</v>
      </c>
      <c r="M272" s="197" t="str">
        <f t="shared" si="43"/>
        <v>6250/022Electronic equipment - depr this year</v>
      </c>
      <c r="N272" s="79"/>
      <c r="P272" s="80"/>
      <c r="Q272" s="60"/>
      <c r="R272" s="34"/>
    </row>
    <row r="273" spans="1:18" x14ac:dyDescent="0.2">
      <c r="A273" s="394"/>
      <c r="B273" s="63" t="s">
        <v>12</v>
      </c>
      <c r="C273" s="398" t="s">
        <v>1025</v>
      </c>
      <c r="D273" s="436"/>
      <c r="E273" s="428"/>
      <c r="F273" s="88"/>
      <c r="G273" s="56">
        <f>SUMIF(JournalsB!D$14:D$920,TrialBalanceB!M273,JournalsB!J$14:J$920)+SUMIF(JournalsB!E$14:E$920,TrialBalanceB!M273,JournalsB!J$14:J$920)</f>
        <v>0</v>
      </c>
      <c r="H273" s="443"/>
      <c r="I273" s="447">
        <f t="shared" si="68"/>
        <v>0</v>
      </c>
      <c r="J273" s="84"/>
      <c r="K273" s="57">
        <f t="shared" si="42"/>
        <v>0</v>
      </c>
      <c r="M273" s="197" t="str">
        <f t="shared" si="43"/>
        <v>6250/023Electronic equipment - acc depr on sales</v>
      </c>
      <c r="N273" s="79"/>
      <c r="P273" s="80"/>
      <c r="Q273" s="60"/>
      <c r="R273" s="34"/>
    </row>
    <row r="274" spans="1:18" x14ac:dyDescent="0.2">
      <c r="A274" s="394"/>
      <c r="B274" s="63" t="s">
        <v>16</v>
      </c>
      <c r="C274" s="397" t="s">
        <v>1026</v>
      </c>
      <c r="D274" s="437"/>
      <c r="E274" s="428"/>
      <c r="F274" s="88"/>
      <c r="G274" s="56">
        <f>SUMIF(JournalsB!D$14:D$920,TrialBalanceB!M274,JournalsB!J$14:J$920)+SUMIF(JournalsB!E$14:E$920,TrialBalanceB!M274,JournalsB!J$14:J$920)</f>
        <v>0</v>
      </c>
      <c r="H274" s="443"/>
      <c r="I274" s="447">
        <f t="shared" si="68"/>
        <v>0</v>
      </c>
      <c r="J274" s="84"/>
      <c r="K274" s="57">
        <f t="shared" si="42"/>
        <v>0</v>
      </c>
      <c r="M274" s="197" t="str">
        <f t="shared" si="43"/>
        <v>6350/000FURNITURE AND FITTINGS - COST</v>
      </c>
      <c r="N274" s="79"/>
      <c r="P274" s="80"/>
      <c r="Q274" s="60"/>
      <c r="R274" s="34"/>
    </row>
    <row r="275" spans="1:18" x14ac:dyDescent="0.2">
      <c r="A275" s="394"/>
      <c r="B275" s="63" t="s">
        <v>17</v>
      </c>
      <c r="C275" s="398" t="s">
        <v>1027</v>
      </c>
      <c r="D275" s="436"/>
      <c r="E275" s="428"/>
      <c r="F275" s="88">
        <f>SUM(K275:K277)</f>
        <v>0</v>
      </c>
      <c r="G275" s="56">
        <f>SUMIF(JournalsB!D$14:D$920,TrialBalanceB!M275,JournalsB!J$14:J$920)+SUMIF(JournalsB!E$14:E$920,TrialBalanceB!M275,JournalsB!J$14:J$920)</f>
        <v>0</v>
      </c>
      <c r="H275" s="443"/>
      <c r="I275" s="447">
        <f t="shared" si="68"/>
        <v>0</v>
      </c>
      <c r="J275" s="84"/>
      <c r="K275" s="57">
        <f t="shared" si="42"/>
        <v>0</v>
      </c>
      <c r="M275" s="197" t="str">
        <f t="shared" si="43"/>
        <v>6350/001Furniture and fittings - cost b/fwd</v>
      </c>
      <c r="N275" s="79"/>
      <c r="P275" s="80"/>
      <c r="Q275" s="60"/>
      <c r="R275" s="34"/>
    </row>
    <row r="276" spans="1:18" x14ac:dyDescent="0.2">
      <c r="A276" s="394"/>
      <c r="B276" s="63" t="s">
        <v>500</v>
      </c>
      <c r="C276" s="398" t="s">
        <v>1028</v>
      </c>
      <c r="D276" s="436"/>
      <c r="E276" s="428"/>
      <c r="F276" s="88"/>
      <c r="G276" s="56">
        <f>SUMIF(JournalsB!D$14:D$920,TrialBalanceB!M276,JournalsB!J$14:J$920)+SUMIF(JournalsB!E$14:E$920,TrialBalanceB!M276,JournalsB!J$14:J$920)</f>
        <v>0</v>
      </c>
      <c r="H276" s="443"/>
      <c r="I276" s="447">
        <f t="shared" si="68"/>
        <v>0</v>
      </c>
      <c r="J276" s="84"/>
      <c r="K276" s="57">
        <f t="shared" si="42"/>
        <v>0</v>
      </c>
      <c r="M276" s="197" t="str">
        <f t="shared" si="43"/>
        <v>6350/002Furniture and fittings - additions</v>
      </c>
      <c r="N276" s="79"/>
      <c r="P276" s="80"/>
      <c r="Q276" s="60"/>
      <c r="R276" s="34"/>
    </row>
    <row r="277" spans="1:18" x14ac:dyDescent="0.2">
      <c r="A277" s="394"/>
      <c r="B277" s="63" t="s">
        <v>516</v>
      </c>
      <c r="C277" s="398" t="s">
        <v>1029</v>
      </c>
      <c r="D277" s="436"/>
      <c r="E277" s="428"/>
      <c r="F277" s="88"/>
      <c r="G277" s="56">
        <f>SUMIF(JournalsB!D$14:D$920,TrialBalanceB!M277,JournalsB!J$14:J$920)+SUMIF(JournalsB!E$14:E$920,TrialBalanceB!M277,JournalsB!J$14:J$920)</f>
        <v>0</v>
      </c>
      <c r="H277" s="443"/>
      <c r="I277" s="447">
        <f t="shared" si="68"/>
        <v>0</v>
      </c>
      <c r="J277" s="84"/>
      <c r="K277" s="57">
        <f t="shared" si="42"/>
        <v>0</v>
      </c>
      <c r="M277" s="197" t="str">
        <f t="shared" si="43"/>
        <v>6350/003Furniture and fittings - cost of sales</v>
      </c>
      <c r="N277" s="79"/>
      <c r="P277" s="80"/>
      <c r="Q277" s="60"/>
      <c r="R277" s="34"/>
    </row>
    <row r="278" spans="1:18" x14ac:dyDescent="0.2">
      <c r="A278" s="394"/>
      <c r="B278" s="63" t="s">
        <v>331</v>
      </c>
      <c r="C278" s="397" t="s">
        <v>1030</v>
      </c>
      <c r="D278" s="437"/>
      <c r="E278" s="428"/>
      <c r="F278" s="88"/>
      <c r="G278" s="56">
        <f>SUMIF(JournalsB!D$14:D$920,TrialBalanceB!M278,JournalsB!J$14:J$920)+SUMIF(JournalsB!E$14:E$920,TrialBalanceB!M278,JournalsB!J$14:J$920)</f>
        <v>0</v>
      </c>
      <c r="H278" s="443"/>
      <c r="I278" s="447">
        <f t="shared" si="68"/>
        <v>0</v>
      </c>
      <c r="J278" s="84"/>
      <c r="K278" s="57">
        <f t="shared" si="42"/>
        <v>0</v>
      </c>
      <c r="M278" s="197" t="str">
        <f t="shared" si="43"/>
        <v>6350/020FURNITURE AND FITTINGS - ACC DEPR</v>
      </c>
      <c r="N278" s="79"/>
      <c r="P278" s="80"/>
      <c r="Q278" s="60"/>
      <c r="R278" s="34"/>
    </row>
    <row r="279" spans="1:18" x14ac:dyDescent="0.2">
      <c r="A279" s="394"/>
      <c r="B279" s="63" t="s">
        <v>183</v>
      </c>
      <c r="C279" s="398" t="s">
        <v>1031</v>
      </c>
      <c r="D279" s="436"/>
      <c r="E279" s="428"/>
      <c r="F279" s="88">
        <f>SUM(K279:K281)</f>
        <v>0</v>
      </c>
      <c r="G279" s="56">
        <f>SUMIF(JournalsB!D$14:D$920,TrialBalanceB!M279,JournalsB!J$14:J$920)+SUMIF(JournalsB!E$14:E$920,TrialBalanceB!M279,JournalsB!J$14:J$920)</f>
        <v>0</v>
      </c>
      <c r="H279" s="443"/>
      <c r="I279" s="447">
        <f t="shared" si="68"/>
        <v>0</v>
      </c>
      <c r="J279" s="84"/>
      <c r="K279" s="57">
        <f t="shared" si="42"/>
        <v>0</v>
      </c>
      <c r="M279" s="197" t="str">
        <f t="shared" si="43"/>
        <v>6350/021Furniture and fittings - acc depr b/fwd</v>
      </c>
      <c r="N279" s="79"/>
      <c r="P279" s="80"/>
      <c r="Q279" s="60"/>
      <c r="R279" s="34"/>
    </row>
    <row r="280" spans="1:18" x14ac:dyDescent="0.2">
      <c r="A280" s="394"/>
      <c r="B280" s="63" t="s">
        <v>184</v>
      </c>
      <c r="C280" s="398" t="s">
        <v>1032</v>
      </c>
      <c r="D280" s="436"/>
      <c r="E280" s="428"/>
      <c r="F280" s="88"/>
      <c r="G280" s="56">
        <f>SUMIF(JournalsB!D$14:D$920,TrialBalanceB!M280,JournalsB!J$14:J$920)+SUMIF(JournalsB!E$14:E$920,TrialBalanceB!M280,JournalsB!J$14:J$920)</f>
        <v>0</v>
      </c>
      <c r="H280" s="443"/>
      <c r="I280" s="447">
        <f t="shared" si="68"/>
        <v>0</v>
      </c>
      <c r="J280" s="84"/>
      <c r="K280" s="57">
        <f t="shared" si="42"/>
        <v>0</v>
      </c>
      <c r="M280" s="197" t="str">
        <f t="shared" si="43"/>
        <v>6350/022Furniture and fittings - depr this year</v>
      </c>
      <c r="N280" s="79"/>
      <c r="P280" s="80"/>
      <c r="Q280" s="60"/>
      <c r="R280" s="34"/>
    </row>
    <row r="281" spans="1:18" x14ac:dyDescent="0.2">
      <c r="A281" s="394"/>
      <c r="B281" s="63" t="s">
        <v>300</v>
      </c>
      <c r="C281" s="398" t="s">
        <v>1033</v>
      </c>
      <c r="D281" s="436"/>
      <c r="E281" s="428"/>
      <c r="F281" s="88"/>
      <c r="G281" s="56">
        <f>SUMIF(JournalsB!D$14:D$920,TrialBalanceB!M281,JournalsB!J$14:J$920)+SUMIF(JournalsB!E$14:E$920,TrialBalanceB!M281,JournalsB!J$14:J$920)</f>
        <v>0</v>
      </c>
      <c r="H281" s="443"/>
      <c r="I281" s="447">
        <f t="shared" si="68"/>
        <v>0</v>
      </c>
      <c r="J281" s="84"/>
      <c r="K281" s="57">
        <f t="shared" si="42"/>
        <v>0</v>
      </c>
      <c r="M281" s="197" t="str">
        <f t="shared" si="43"/>
        <v>6350/023Furniture and fittings - acc depr on sales</v>
      </c>
      <c r="N281" s="79"/>
      <c r="P281" s="80"/>
      <c r="Q281" s="60"/>
      <c r="R281" s="34"/>
    </row>
    <row r="282" spans="1:18" x14ac:dyDescent="0.2">
      <c r="A282" s="394"/>
      <c r="B282" s="63" t="s">
        <v>538</v>
      </c>
      <c r="C282" s="397" t="s">
        <v>57</v>
      </c>
      <c r="D282" s="437"/>
      <c r="E282" s="428"/>
      <c r="F282" s="88"/>
      <c r="G282" s="56">
        <f>SUMIF(JournalsB!D$14:D$920,TrialBalanceB!M282,JournalsB!J$14:J$920)+SUMIF(JournalsB!E$14:E$920,TrialBalanceB!M282,JournalsB!J$14:J$920)</f>
        <v>0</v>
      </c>
      <c r="H282" s="443"/>
      <c r="I282" s="447">
        <f t="shared" si="68"/>
        <v>0</v>
      </c>
      <c r="J282" s="84"/>
      <c r="K282" s="57">
        <f t="shared" si="42"/>
        <v>0</v>
      </c>
      <c r="M282" s="197" t="str">
        <f t="shared" si="43"/>
        <v>7000/000INTANGIBLE ASSETS</v>
      </c>
      <c r="N282" s="79"/>
      <c r="P282" s="80"/>
      <c r="Q282" s="60"/>
      <c r="R282" s="34"/>
    </row>
    <row r="283" spans="1:18" x14ac:dyDescent="0.2">
      <c r="A283" s="394"/>
      <c r="B283" s="114" t="s">
        <v>1489</v>
      </c>
      <c r="C283" s="397" t="s">
        <v>1490</v>
      </c>
      <c r="D283" s="437"/>
      <c r="E283" s="428"/>
      <c r="F283" s="88"/>
      <c r="G283" s="56">
        <f>SUMIF(JournalsB!D$14:D$920,TrialBalanceB!M283,JournalsB!J$14:J$920)+SUMIF(JournalsB!E$14:E$920,TrialBalanceB!M283,JournalsB!J$14:J$920)</f>
        <v>0</v>
      </c>
      <c r="H283" s="443"/>
      <c r="I283" s="447">
        <f t="shared" ref="I283:I299" si="69">ROUND(D283-E283+G283+F283,0)</f>
        <v>0</v>
      </c>
      <c r="J283" s="84"/>
      <c r="K283" s="57">
        <f t="shared" ref="K283:K299" si="70">ROUND(SUM(A283),0)</f>
        <v>0</v>
      </c>
      <c r="M283" s="197" t="str">
        <f t="shared" ref="M283:M300" si="71">CONCATENATE(B283,C283)</f>
        <v>7000/001GOODWILL - COST</v>
      </c>
      <c r="N283" s="79"/>
      <c r="P283" s="80"/>
      <c r="Q283" s="60"/>
      <c r="R283" s="34"/>
    </row>
    <row r="284" spans="1:18" x14ac:dyDescent="0.2">
      <c r="A284" s="394"/>
      <c r="B284" s="114" t="s">
        <v>1491</v>
      </c>
      <c r="C284" s="398" t="s">
        <v>1492</v>
      </c>
      <c r="D284" s="437"/>
      <c r="E284" s="428"/>
      <c r="F284" s="88">
        <f>SUM(K284:K285)</f>
        <v>0</v>
      </c>
      <c r="G284" s="56">
        <f>SUMIF(JournalsB!D$14:D$920,TrialBalanceB!M284,JournalsB!J$14:J$920)+SUMIF(JournalsB!E$14:E$920,TrialBalanceB!M284,JournalsB!J$14:J$920)</f>
        <v>0</v>
      </c>
      <c r="H284" s="443"/>
      <c r="I284" s="447">
        <f t="shared" si="69"/>
        <v>0</v>
      </c>
      <c r="J284" s="84"/>
      <c r="K284" s="57">
        <f t="shared" si="70"/>
        <v>0</v>
      </c>
      <c r="M284" s="197" t="str">
        <f t="shared" si="71"/>
        <v>7000/002Goodwill - cost b/fwd</v>
      </c>
      <c r="N284" s="79"/>
      <c r="P284" s="80"/>
      <c r="Q284" s="60"/>
      <c r="R284" s="34"/>
    </row>
    <row r="285" spans="1:18" x14ac:dyDescent="0.2">
      <c r="A285" s="394"/>
      <c r="B285" s="114" t="s">
        <v>1493</v>
      </c>
      <c r="C285" s="398" t="s">
        <v>1494</v>
      </c>
      <c r="D285" s="437"/>
      <c r="E285" s="428"/>
      <c r="F285" s="88"/>
      <c r="G285" s="56">
        <f>SUMIF(JournalsB!D$14:D$920,TrialBalanceB!M285,JournalsB!J$14:J$920)+SUMIF(JournalsB!E$14:E$920,TrialBalanceB!M285,JournalsB!J$14:J$920)</f>
        <v>0</v>
      </c>
      <c r="H285" s="443"/>
      <c r="I285" s="447">
        <f t="shared" si="69"/>
        <v>0</v>
      </c>
      <c r="J285" s="84"/>
      <c r="K285" s="57">
        <f t="shared" si="70"/>
        <v>0</v>
      </c>
      <c r="M285" s="197" t="str">
        <f t="shared" si="71"/>
        <v>7000/003Goodwill - additions</v>
      </c>
      <c r="N285" s="79"/>
      <c r="P285" s="80"/>
      <c r="Q285" s="60"/>
      <c r="R285" s="34"/>
    </row>
    <row r="286" spans="1:18" x14ac:dyDescent="0.2">
      <c r="A286" s="394"/>
      <c r="B286" s="114" t="s">
        <v>1495</v>
      </c>
      <c r="C286" s="397" t="s">
        <v>1496</v>
      </c>
      <c r="D286" s="437"/>
      <c r="E286" s="428"/>
      <c r="F286" s="88"/>
      <c r="G286" s="56">
        <f>SUMIF(JournalsB!D$14:D$920,TrialBalanceB!M286,JournalsB!J$14:J$920)+SUMIF(JournalsB!E$14:E$920,TrialBalanceB!M286,JournalsB!J$14:J$920)</f>
        <v>0</v>
      </c>
      <c r="H286" s="443"/>
      <c r="I286" s="447">
        <f t="shared" si="69"/>
        <v>0</v>
      </c>
      <c r="J286" s="84"/>
      <c r="K286" s="57">
        <f t="shared" si="70"/>
        <v>0</v>
      </c>
      <c r="M286" s="197" t="str">
        <f t="shared" si="71"/>
        <v>7000/005GOODWILL - ACC AMORTISATION</v>
      </c>
      <c r="N286" s="79"/>
      <c r="P286" s="80"/>
      <c r="Q286" s="60"/>
      <c r="R286" s="34"/>
    </row>
    <row r="287" spans="1:18" x14ac:dyDescent="0.2">
      <c r="A287" s="394"/>
      <c r="B287" s="114" t="s">
        <v>1497</v>
      </c>
      <c r="C287" s="398" t="s">
        <v>1498</v>
      </c>
      <c r="D287" s="437"/>
      <c r="E287" s="428"/>
      <c r="F287" s="88">
        <f>SUM(K287:K288)</f>
        <v>0</v>
      </c>
      <c r="G287" s="56">
        <f>SUMIF(JournalsB!D$14:D$920,TrialBalanceB!M287,JournalsB!J$14:J$920)+SUMIF(JournalsB!E$14:E$920,TrialBalanceB!M287,JournalsB!J$14:J$920)</f>
        <v>0</v>
      </c>
      <c r="H287" s="443"/>
      <c r="I287" s="447">
        <f t="shared" si="69"/>
        <v>0</v>
      </c>
      <c r="J287" s="84"/>
      <c r="K287" s="57">
        <f t="shared" si="70"/>
        <v>0</v>
      </c>
      <c r="M287" s="197" t="str">
        <f t="shared" si="71"/>
        <v>7000/006Goodwill - acc amortisation b/fwd</v>
      </c>
      <c r="N287" s="79"/>
      <c r="P287" s="80"/>
      <c r="Q287" s="60"/>
      <c r="R287" s="34"/>
    </row>
    <row r="288" spans="1:18" x14ac:dyDescent="0.2">
      <c r="A288" s="394"/>
      <c r="B288" s="114" t="s">
        <v>1499</v>
      </c>
      <c r="C288" s="398" t="s">
        <v>1500</v>
      </c>
      <c r="D288" s="437"/>
      <c r="E288" s="428"/>
      <c r="F288" s="88"/>
      <c r="G288" s="56">
        <f>SUMIF(JournalsB!D$14:D$920,TrialBalanceB!M288,JournalsB!J$14:J$920)+SUMIF(JournalsB!E$14:E$920,TrialBalanceB!M288,JournalsB!J$14:J$920)</f>
        <v>0</v>
      </c>
      <c r="H288" s="443"/>
      <c r="I288" s="447">
        <f t="shared" si="69"/>
        <v>0</v>
      </c>
      <c r="J288" s="84"/>
      <c r="K288" s="57">
        <f t="shared" si="70"/>
        <v>0</v>
      </c>
      <c r="M288" s="197" t="str">
        <f t="shared" si="71"/>
        <v>7000/007Goodwill - amortisation this year</v>
      </c>
      <c r="N288" s="79"/>
      <c r="P288" s="80"/>
      <c r="Q288" s="60"/>
      <c r="R288" s="34"/>
    </row>
    <row r="289" spans="1:18" x14ac:dyDescent="0.2">
      <c r="A289" s="394"/>
      <c r="B289" s="114" t="s">
        <v>539</v>
      </c>
      <c r="C289" s="397" t="s">
        <v>1501</v>
      </c>
      <c r="D289" s="437"/>
      <c r="E289" s="428"/>
      <c r="F289" s="88"/>
      <c r="G289" s="56">
        <f>SUMIF(JournalsB!D$14:D$920,TrialBalanceB!M289,JournalsB!J$14:J$920)+SUMIF(JournalsB!E$14:E$920,TrialBalanceB!M289,JournalsB!J$14:J$920)</f>
        <v>0</v>
      </c>
      <c r="H289" s="443"/>
      <c r="I289" s="447">
        <f t="shared" si="69"/>
        <v>0</v>
      </c>
      <c r="J289" s="84"/>
      <c r="K289" s="57">
        <f t="shared" si="70"/>
        <v>0</v>
      </c>
      <c r="M289" s="197" t="str">
        <f t="shared" si="71"/>
        <v>7000/010GOODWILL - IMPAIRMENT</v>
      </c>
      <c r="N289" s="79"/>
      <c r="P289" s="80"/>
      <c r="Q289" s="60"/>
      <c r="R289" s="34"/>
    </row>
    <row r="290" spans="1:18" x14ac:dyDescent="0.2">
      <c r="A290" s="394"/>
      <c r="B290" s="114" t="s">
        <v>762</v>
      </c>
      <c r="C290" s="398" t="s">
        <v>1502</v>
      </c>
      <c r="D290" s="437"/>
      <c r="E290" s="428"/>
      <c r="F290" s="88">
        <f>SUM(K290:K291)</f>
        <v>0</v>
      </c>
      <c r="G290" s="56">
        <f>SUMIF(JournalsB!D$14:D$920,TrialBalanceB!M290,JournalsB!J$14:J$920)+SUMIF(JournalsB!E$14:E$920,TrialBalanceB!M290,JournalsB!J$14:J$920)</f>
        <v>0</v>
      </c>
      <c r="H290" s="443"/>
      <c r="I290" s="447">
        <f t="shared" si="69"/>
        <v>0</v>
      </c>
      <c r="J290" s="84"/>
      <c r="K290" s="57">
        <f t="shared" si="70"/>
        <v>0</v>
      </c>
      <c r="M290" s="197" t="str">
        <f t="shared" si="71"/>
        <v>7000/011Goodwill - impairment loss b/fwd</v>
      </c>
      <c r="N290" s="79"/>
      <c r="P290" s="80"/>
      <c r="Q290" s="60"/>
      <c r="R290" s="34"/>
    </row>
    <row r="291" spans="1:18" x14ac:dyDescent="0.2">
      <c r="A291" s="394"/>
      <c r="B291" s="114" t="s">
        <v>1503</v>
      </c>
      <c r="C291" s="398" t="s">
        <v>1504</v>
      </c>
      <c r="D291" s="437"/>
      <c r="E291" s="428"/>
      <c r="F291" s="88"/>
      <c r="G291" s="56">
        <f>SUMIF(JournalsB!D$14:D$920,TrialBalanceB!M291,JournalsB!J$14:J$920)+SUMIF(JournalsB!E$14:E$920,TrialBalanceB!M291,JournalsB!J$14:J$920)</f>
        <v>0</v>
      </c>
      <c r="H291" s="443"/>
      <c r="I291" s="447">
        <f t="shared" si="69"/>
        <v>0</v>
      </c>
      <c r="J291" s="84"/>
      <c r="K291" s="57">
        <f t="shared" si="70"/>
        <v>0</v>
      </c>
      <c r="M291" s="197" t="str">
        <f t="shared" si="71"/>
        <v>7000/012Goodwill - impairment loss this year</v>
      </c>
      <c r="N291" s="79"/>
      <c r="P291" s="80"/>
      <c r="Q291" s="60"/>
      <c r="R291" s="34"/>
    </row>
    <row r="292" spans="1:18" x14ac:dyDescent="0.2">
      <c r="A292" s="394"/>
      <c r="B292" s="114" t="s">
        <v>1505</v>
      </c>
      <c r="C292" s="397" t="s">
        <v>1506</v>
      </c>
      <c r="D292" s="437"/>
      <c r="E292" s="428"/>
      <c r="F292" s="88"/>
      <c r="G292" s="56">
        <f>SUMIF(JournalsB!D$14:D$920,TrialBalanceB!M292,JournalsB!J$14:J$920)+SUMIF(JournalsB!E$14:E$920,TrialBalanceB!M292,JournalsB!J$14:J$920)</f>
        <v>0</v>
      </c>
      <c r="H292" s="443"/>
      <c r="I292" s="447">
        <f t="shared" si="69"/>
        <v>0</v>
      </c>
      <c r="J292" s="84"/>
      <c r="K292" s="57">
        <f t="shared" si="70"/>
        <v>0</v>
      </c>
      <c r="M292" s="197" t="str">
        <f t="shared" si="71"/>
        <v>7000/021PREPAID LEASE AGREEMENT - COST</v>
      </c>
      <c r="N292" s="79"/>
      <c r="P292" s="80"/>
      <c r="Q292" s="60"/>
      <c r="R292" s="34"/>
    </row>
    <row r="293" spans="1:18" x14ac:dyDescent="0.2">
      <c r="A293" s="394"/>
      <c r="B293" s="114" t="s">
        <v>1507</v>
      </c>
      <c r="C293" s="398" t="s">
        <v>1508</v>
      </c>
      <c r="D293" s="437"/>
      <c r="E293" s="428"/>
      <c r="F293" s="88">
        <f>SUM(K293:K294)</f>
        <v>0</v>
      </c>
      <c r="G293" s="56">
        <f>SUMIF(JournalsB!D$14:D$920,TrialBalanceB!M293,JournalsB!J$14:J$920)+SUMIF(JournalsB!E$14:E$920,TrialBalanceB!M293,JournalsB!J$14:J$920)</f>
        <v>0</v>
      </c>
      <c r="H293" s="443"/>
      <c r="I293" s="447">
        <f t="shared" si="69"/>
        <v>0</v>
      </c>
      <c r="J293" s="84"/>
      <c r="K293" s="57">
        <f t="shared" si="70"/>
        <v>0</v>
      </c>
      <c r="M293" s="197" t="str">
        <f t="shared" si="71"/>
        <v>7000/022Prepaid lease agreement - cost b/fwd</v>
      </c>
      <c r="N293" s="79"/>
      <c r="P293" s="80"/>
      <c r="Q293" s="60"/>
      <c r="R293" s="34"/>
    </row>
    <row r="294" spans="1:18" x14ac:dyDescent="0.2">
      <c r="A294" s="394"/>
      <c r="B294" s="114" t="s">
        <v>1509</v>
      </c>
      <c r="C294" s="398" t="s">
        <v>1510</v>
      </c>
      <c r="D294" s="437"/>
      <c r="E294" s="428"/>
      <c r="F294" s="88"/>
      <c r="G294" s="56">
        <f>SUMIF(JournalsB!D$14:D$920,TrialBalanceB!M294,JournalsB!J$14:J$920)+SUMIF(JournalsB!E$14:E$920,TrialBalanceB!M294,JournalsB!J$14:J$920)</f>
        <v>0</v>
      </c>
      <c r="H294" s="443"/>
      <c r="I294" s="447">
        <f t="shared" si="69"/>
        <v>0</v>
      </c>
      <c r="J294" s="84"/>
      <c r="K294" s="57">
        <f t="shared" si="70"/>
        <v>0</v>
      </c>
      <c r="M294" s="197" t="str">
        <f t="shared" si="71"/>
        <v>7000/023Prepaid lease agreement - additions</v>
      </c>
      <c r="N294" s="79"/>
      <c r="P294" s="80"/>
      <c r="Q294" s="60"/>
      <c r="R294" s="34"/>
    </row>
    <row r="295" spans="1:18" x14ac:dyDescent="0.2">
      <c r="A295" s="394"/>
      <c r="B295" s="114" t="s">
        <v>540</v>
      </c>
      <c r="C295" s="397" t="s">
        <v>1511</v>
      </c>
      <c r="D295" s="437"/>
      <c r="E295" s="428"/>
      <c r="F295" s="88"/>
      <c r="G295" s="56">
        <f>SUMIF(JournalsB!D$14:D$920,TrialBalanceB!M295,JournalsB!J$14:J$920)+SUMIF(JournalsB!E$14:E$920,TrialBalanceB!M295,JournalsB!J$14:J$920)</f>
        <v>0</v>
      </c>
      <c r="H295" s="443"/>
      <c r="I295" s="447">
        <f t="shared" si="69"/>
        <v>0</v>
      </c>
      <c r="J295" s="84"/>
      <c r="K295" s="57">
        <f t="shared" si="70"/>
        <v>0</v>
      </c>
      <c r="M295" s="197" t="str">
        <f t="shared" si="71"/>
        <v>7000/025PREPAID LEASE AGREEMENT - ACC AMORTISATION</v>
      </c>
      <c r="N295" s="79"/>
      <c r="P295" s="80"/>
      <c r="Q295" s="60"/>
      <c r="R295" s="34"/>
    </row>
    <row r="296" spans="1:18" x14ac:dyDescent="0.2">
      <c r="A296" s="394"/>
      <c r="B296" s="114" t="s">
        <v>1512</v>
      </c>
      <c r="C296" s="398" t="s">
        <v>1513</v>
      </c>
      <c r="D296" s="437"/>
      <c r="E296" s="428"/>
      <c r="F296" s="88">
        <f>SUM(K296:K297)</f>
        <v>0</v>
      </c>
      <c r="G296" s="56">
        <f>SUMIF(JournalsB!D$14:D$920,TrialBalanceB!M296,JournalsB!J$14:J$920)+SUMIF(JournalsB!E$14:E$920,TrialBalanceB!M296,JournalsB!J$14:J$920)</f>
        <v>0</v>
      </c>
      <c r="H296" s="443"/>
      <c r="I296" s="447">
        <f t="shared" si="69"/>
        <v>0</v>
      </c>
      <c r="J296" s="84"/>
      <c r="K296" s="57">
        <f t="shared" si="70"/>
        <v>0</v>
      </c>
      <c r="M296" s="197" t="str">
        <f t="shared" si="71"/>
        <v>7000/026Prepaid lease agreement - acc amortisation b/fwd</v>
      </c>
      <c r="N296" s="79"/>
      <c r="P296" s="80"/>
      <c r="Q296" s="60"/>
      <c r="R296" s="34"/>
    </row>
    <row r="297" spans="1:18" x14ac:dyDescent="0.2">
      <c r="A297" s="394"/>
      <c r="B297" s="114" t="s">
        <v>1514</v>
      </c>
      <c r="C297" s="398" t="s">
        <v>1515</v>
      </c>
      <c r="D297" s="437"/>
      <c r="E297" s="428"/>
      <c r="F297" s="88"/>
      <c r="G297" s="56">
        <f>SUMIF(JournalsB!D$14:D$920,TrialBalanceB!M297,JournalsB!J$14:J$920)+SUMIF(JournalsB!E$14:E$920,TrialBalanceB!M297,JournalsB!J$14:J$920)</f>
        <v>0</v>
      </c>
      <c r="H297" s="443"/>
      <c r="I297" s="447">
        <f t="shared" si="69"/>
        <v>0</v>
      </c>
      <c r="J297" s="84"/>
      <c r="K297" s="57">
        <f t="shared" si="70"/>
        <v>0</v>
      </c>
      <c r="M297" s="197" t="str">
        <f t="shared" si="71"/>
        <v>7000/027Prepaid lease agreement - amortisation this year</v>
      </c>
      <c r="N297" s="79"/>
      <c r="P297" s="80"/>
      <c r="Q297" s="60"/>
      <c r="R297" s="34"/>
    </row>
    <row r="298" spans="1:18" x14ac:dyDescent="0.2">
      <c r="A298" s="394"/>
      <c r="B298" s="114" t="s">
        <v>1516</v>
      </c>
      <c r="C298" s="397" t="s">
        <v>1517</v>
      </c>
      <c r="D298" s="437"/>
      <c r="E298" s="428"/>
      <c r="F298" s="88"/>
      <c r="G298" s="56">
        <f>SUMIF(JournalsB!D$14:D$920,TrialBalanceB!M298,JournalsB!J$14:J$920)+SUMIF(JournalsB!E$14:E$920,TrialBalanceB!M298,JournalsB!J$14:J$920)</f>
        <v>0</v>
      </c>
      <c r="H298" s="443"/>
      <c r="I298" s="447">
        <f t="shared" si="69"/>
        <v>0</v>
      </c>
      <c r="J298" s="84"/>
      <c r="K298" s="57">
        <f t="shared" si="70"/>
        <v>0</v>
      </c>
      <c r="M298" s="197" t="str">
        <f t="shared" si="71"/>
        <v>7000/030PREPAID LEASE AGREEMENT - IMPAIRMENT</v>
      </c>
      <c r="N298" s="79"/>
      <c r="P298" s="80"/>
      <c r="Q298" s="60"/>
      <c r="R298" s="34"/>
    </row>
    <row r="299" spans="1:18" x14ac:dyDescent="0.2">
      <c r="A299" s="394"/>
      <c r="B299" s="114" t="s">
        <v>1518</v>
      </c>
      <c r="C299" s="398" t="s">
        <v>1519</v>
      </c>
      <c r="D299" s="437"/>
      <c r="E299" s="428"/>
      <c r="F299" s="88">
        <f>SUM(K299:K300)</f>
        <v>0</v>
      </c>
      <c r="G299" s="56">
        <f>SUMIF(JournalsB!D$14:D$920,TrialBalanceB!M299,JournalsB!J$14:J$920)+SUMIF(JournalsB!E$14:E$920,TrialBalanceB!M299,JournalsB!J$14:J$920)</f>
        <v>0</v>
      </c>
      <c r="H299" s="443"/>
      <c r="I299" s="447">
        <f t="shared" si="69"/>
        <v>0</v>
      </c>
      <c r="J299" s="84"/>
      <c r="K299" s="57">
        <f t="shared" si="70"/>
        <v>0</v>
      </c>
      <c r="M299" s="197" t="str">
        <f t="shared" si="71"/>
        <v>7000/031Prepaid lease agreement - impairment loss b/fwd</v>
      </c>
      <c r="N299" s="79"/>
      <c r="P299" s="80"/>
      <c r="Q299" s="60"/>
      <c r="R299" s="34"/>
    </row>
    <row r="300" spans="1:18" x14ac:dyDescent="0.2">
      <c r="A300" s="394"/>
      <c r="B300" s="114" t="s">
        <v>1520</v>
      </c>
      <c r="C300" s="398" t="s">
        <v>1521</v>
      </c>
      <c r="D300" s="437"/>
      <c r="E300" s="428"/>
      <c r="F300" s="88"/>
      <c r="G300" s="56">
        <f>SUMIF(JournalsB!D$14:D$920,TrialBalanceB!M300,JournalsB!J$14:J$920)+SUMIF(JournalsB!E$14:E$920,TrialBalanceB!M300,JournalsB!J$14:J$920)</f>
        <v>0</v>
      </c>
      <c r="H300" s="443"/>
      <c r="I300" s="447">
        <f>ROUND(D300-E300+G300+F300,0)</f>
        <v>0</v>
      </c>
      <c r="J300" s="84"/>
      <c r="K300" s="57">
        <f>ROUND(SUM(A300),0)</f>
        <v>0</v>
      </c>
      <c r="M300" s="197" t="str">
        <f t="shared" si="71"/>
        <v>7000/032Prepaid lease agreement - impairment loss this year</v>
      </c>
      <c r="N300" s="79"/>
      <c r="P300" s="80"/>
      <c r="Q300" s="60"/>
      <c r="R300" s="34"/>
    </row>
    <row r="301" spans="1:18" x14ac:dyDescent="0.2">
      <c r="A301" s="394"/>
      <c r="B301" s="63" t="s">
        <v>541</v>
      </c>
      <c r="C301" s="397" t="s">
        <v>209</v>
      </c>
      <c r="D301" s="437"/>
      <c r="E301" s="428"/>
      <c r="F301" s="88"/>
      <c r="G301" s="56">
        <f>SUMIF(JournalsB!D$14:D$920,TrialBalanceB!M301,JournalsB!J$14:J$920)+SUMIF(JournalsB!E$14:E$920,TrialBalanceB!M301,JournalsB!J$14:J$920)</f>
        <v>0</v>
      </c>
      <c r="H301" s="443"/>
      <c r="I301" s="447">
        <f t="shared" si="68"/>
        <v>0</v>
      </c>
      <c r="J301" s="84"/>
      <c r="K301" s="57">
        <f t="shared" ref="K301:K388" si="72">ROUND(SUM(A301),0)</f>
        <v>0</v>
      </c>
      <c r="M301" s="197" t="str">
        <f t="shared" ref="M301:M388" si="73">CONCATENATE(B301,C301)</f>
        <v>7100/000INVESTMENTS</v>
      </c>
      <c r="N301" s="79"/>
      <c r="P301" s="80"/>
      <c r="Q301" s="60"/>
      <c r="R301" s="34"/>
    </row>
    <row r="302" spans="1:18" x14ac:dyDescent="0.2">
      <c r="A302" s="394"/>
      <c r="B302" s="114" t="s">
        <v>1324</v>
      </c>
      <c r="C302" s="398" t="s">
        <v>1318</v>
      </c>
      <c r="D302" s="437"/>
      <c r="E302" s="428"/>
      <c r="F302" s="88"/>
      <c r="G302" s="56">
        <f>SUMIF(JournalsB!D$14:D$920,TrialBalanceB!M302,JournalsB!J$14:J$920)+SUMIF(JournalsB!E$14:E$920,TrialBalanceB!M302,JournalsB!J$14:J$920)</f>
        <v>0</v>
      </c>
      <c r="H302" s="443"/>
      <c r="I302" s="447">
        <f t="shared" ref="I302" si="74">ROUND(D302-E302+G302+F302,0)</f>
        <v>0</v>
      </c>
      <c r="J302" s="84"/>
      <c r="K302" s="57">
        <f t="shared" ref="K302" si="75">ROUND(SUM(A302),0)</f>
        <v>0</v>
      </c>
      <c r="M302" s="197" t="str">
        <f t="shared" ref="M302" si="76">CONCATENATE(B302,C302)</f>
        <v>7100/050INVESTMENTS IN ASSOCIATES</v>
      </c>
      <c r="N302" s="79"/>
      <c r="P302" s="80"/>
      <c r="Q302" s="60"/>
      <c r="R302" s="34"/>
    </row>
    <row r="303" spans="1:18" x14ac:dyDescent="0.2">
      <c r="A303" s="394"/>
      <c r="B303" s="114" t="s">
        <v>1325</v>
      </c>
      <c r="C303" s="430" t="str">
        <f>TrialBalance!C303</f>
        <v>100 Shares in ABC Company (Pty) Ltd - 100% interest</v>
      </c>
      <c r="D303" s="406"/>
      <c r="E303" s="407"/>
      <c r="F303" s="88">
        <f>K303</f>
        <v>0</v>
      </c>
      <c r="G303" s="56">
        <f>SUMIF(JournalsB!D$14:D$920,TrialBalanceB!M303,JournalsB!J$14:J$920)+SUMIF(JournalsB!E$14:E$920,TrialBalanceB!M303,JournalsB!J$14:J$920)</f>
        <v>0</v>
      </c>
      <c r="H303" s="443"/>
      <c r="I303" s="447">
        <f t="shared" ref="I303:I305" si="77">ROUND(D303-E303+G303+F303,0)</f>
        <v>0</v>
      </c>
      <c r="J303" s="84"/>
      <c r="K303" s="57">
        <f t="shared" ref="K303:K305" si="78">ROUND(SUM(A303),0)</f>
        <v>0</v>
      </c>
      <c r="M303" s="197" t="str">
        <f t="shared" ref="M303:M305" si="79">CONCATENATE(B303,C303)</f>
        <v>7100/051100 Shares in ABC Company (Pty) Ltd - 100% interest</v>
      </c>
      <c r="N303" s="79"/>
      <c r="P303" s="80"/>
      <c r="Q303" s="60"/>
      <c r="R303" s="34"/>
    </row>
    <row r="304" spans="1:18" x14ac:dyDescent="0.2">
      <c r="A304" s="394"/>
      <c r="B304" s="114" t="s">
        <v>1326</v>
      </c>
      <c r="C304" s="430">
        <f>TrialBalance!C304</f>
        <v>0</v>
      </c>
      <c r="D304" s="406"/>
      <c r="E304" s="407"/>
      <c r="F304" s="88">
        <f>K304</f>
        <v>0</v>
      </c>
      <c r="G304" s="56">
        <f>SUMIF(JournalsB!D$14:D$920,TrialBalanceB!M304,JournalsB!J$14:J$920)+SUMIF(JournalsB!E$14:E$920,TrialBalanceB!M304,JournalsB!J$14:J$920)</f>
        <v>0</v>
      </c>
      <c r="H304" s="443"/>
      <c r="I304" s="447">
        <f t="shared" si="77"/>
        <v>0</v>
      </c>
      <c r="J304" s="84"/>
      <c r="K304" s="57">
        <f t="shared" si="78"/>
        <v>0</v>
      </c>
      <c r="M304" s="197" t="str">
        <f t="shared" si="79"/>
        <v>7100/0520</v>
      </c>
      <c r="N304" s="79"/>
      <c r="P304" s="80"/>
      <c r="Q304" s="60"/>
      <c r="R304" s="34"/>
    </row>
    <row r="305" spans="1:18" x14ac:dyDescent="0.2">
      <c r="A305" s="394"/>
      <c r="B305" s="114" t="s">
        <v>1327</v>
      </c>
      <c r="C305" s="430">
        <f>TrialBalance!C305</f>
        <v>0</v>
      </c>
      <c r="D305" s="406"/>
      <c r="E305" s="407"/>
      <c r="F305" s="88">
        <f t="shared" ref="F305" si="80">K305</f>
        <v>0</v>
      </c>
      <c r="G305" s="56">
        <f>SUMIF(JournalsB!D$14:D$920,TrialBalanceB!M305,JournalsB!J$14:J$920)+SUMIF(JournalsB!E$14:E$920,TrialBalanceB!M305,JournalsB!J$14:J$920)</f>
        <v>0</v>
      </c>
      <c r="H305" s="443"/>
      <c r="I305" s="447">
        <f t="shared" si="77"/>
        <v>0</v>
      </c>
      <c r="J305" s="84"/>
      <c r="K305" s="57">
        <f t="shared" si="78"/>
        <v>0</v>
      </c>
      <c r="M305" s="197" t="str">
        <f t="shared" si="79"/>
        <v>7100/0530</v>
      </c>
      <c r="N305" s="79"/>
      <c r="P305" s="80"/>
      <c r="Q305" s="60"/>
      <c r="R305" s="34"/>
    </row>
    <row r="306" spans="1:18" x14ac:dyDescent="0.2">
      <c r="A306" s="394"/>
      <c r="B306" s="63" t="s">
        <v>542</v>
      </c>
      <c r="C306" s="395" t="s">
        <v>543</v>
      </c>
      <c r="D306" s="436"/>
      <c r="E306" s="428"/>
      <c r="F306" s="88"/>
      <c r="G306" s="56">
        <f>SUMIF(JournalsB!D$14:D$920,TrialBalanceB!M306,JournalsB!J$14:J$920)+SUMIF(JournalsB!E$14:E$920,TrialBalanceB!M306,JournalsB!J$14:J$920)</f>
        <v>0</v>
      </c>
      <c r="H306" s="443"/>
      <c r="I306" s="447">
        <f t="shared" si="68"/>
        <v>0</v>
      </c>
      <c r="J306" s="84"/>
      <c r="K306" s="57">
        <f t="shared" si="72"/>
        <v>0</v>
      </c>
      <c r="M306" s="197" t="str">
        <f t="shared" si="73"/>
        <v>7100/100LISTED INVESTMENTS</v>
      </c>
      <c r="N306" s="79"/>
      <c r="P306" s="80"/>
      <c r="Q306" s="60"/>
      <c r="R306" s="34"/>
    </row>
    <row r="307" spans="1:18" x14ac:dyDescent="0.2">
      <c r="A307" s="394"/>
      <c r="B307" s="63" t="s">
        <v>544</v>
      </c>
      <c r="C307" s="430">
        <f>TrialBalance!C307</f>
        <v>0</v>
      </c>
      <c r="D307" s="436"/>
      <c r="E307" s="428"/>
      <c r="F307" s="88">
        <f>K307</f>
        <v>0</v>
      </c>
      <c r="G307" s="56">
        <f>SUMIF(JournalsB!D$14:D$920,TrialBalanceB!M307,JournalsB!J$14:J$920)+SUMIF(JournalsB!E$14:E$920,TrialBalanceB!M307,JournalsB!J$14:J$920)</f>
        <v>0</v>
      </c>
      <c r="H307" s="443"/>
      <c r="I307" s="447">
        <f t="shared" si="68"/>
        <v>0</v>
      </c>
      <c r="J307" s="84"/>
      <c r="K307" s="57">
        <f t="shared" si="72"/>
        <v>0</v>
      </c>
      <c r="M307" s="197" t="str">
        <f t="shared" si="73"/>
        <v>7100/1010</v>
      </c>
      <c r="N307" s="79"/>
      <c r="P307" s="80"/>
      <c r="Q307" s="60"/>
      <c r="R307" s="34"/>
    </row>
    <row r="308" spans="1:18" x14ac:dyDescent="0.2">
      <c r="A308" s="394"/>
      <c r="B308" s="63" t="s">
        <v>545</v>
      </c>
      <c r="C308" s="430">
        <f>TrialBalance!C308</f>
        <v>0</v>
      </c>
      <c r="D308" s="436"/>
      <c r="E308" s="428"/>
      <c r="F308" s="88">
        <f t="shared" ref="F308:F376" si="81">K308</f>
        <v>0</v>
      </c>
      <c r="G308" s="56">
        <f>SUMIF(JournalsB!D$14:D$920,TrialBalanceB!M308,JournalsB!J$14:J$920)+SUMIF(JournalsB!E$14:E$920,TrialBalanceB!M308,JournalsB!J$14:J$920)</f>
        <v>0</v>
      </c>
      <c r="H308" s="443"/>
      <c r="I308" s="447">
        <f t="shared" si="68"/>
        <v>0</v>
      </c>
      <c r="J308" s="84"/>
      <c r="K308" s="57">
        <f t="shared" si="72"/>
        <v>0</v>
      </c>
      <c r="M308" s="197" t="str">
        <f t="shared" si="73"/>
        <v>7100/1020</v>
      </c>
      <c r="N308" s="79"/>
      <c r="P308" s="80"/>
      <c r="Q308" s="60"/>
      <c r="R308" s="34"/>
    </row>
    <row r="309" spans="1:18" x14ac:dyDescent="0.2">
      <c r="A309" s="394"/>
      <c r="B309" s="63" t="s">
        <v>546</v>
      </c>
      <c r="C309" s="430">
        <f>TrialBalance!C309</f>
        <v>0</v>
      </c>
      <c r="D309" s="436"/>
      <c r="E309" s="428"/>
      <c r="F309" s="88">
        <f t="shared" si="81"/>
        <v>0</v>
      </c>
      <c r="G309" s="56">
        <f>SUMIF(JournalsB!D$14:D$920,TrialBalanceB!M309,JournalsB!J$14:J$920)+SUMIF(JournalsB!E$14:E$920,TrialBalanceB!M309,JournalsB!J$14:J$920)</f>
        <v>0</v>
      </c>
      <c r="H309" s="443"/>
      <c r="I309" s="447">
        <f t="shared" si="68"/>
        <v>0</v>
      </c>
      <c r="J309" s="84"/>
      <c r="K309" s="57">
        <f t="shared" si="72"/>
        <v>0</v>
      </c>
      <c r="M309" s="197" t="str">
        <f t="shared" si="73"/>
        <v>7100/1030</v>
      </c>
      <c r="N309" s="79"/>
      <c r="P309" s="80"/>
      <c r="Q309" s="60"/>
      <c r="R309" s="34"/>
    </row>
    <row r="310" spans="1:18" x14ac:dyDescent="0.2">
      <c r="A310" s="394"/>
      <c r="B310" s="63" t="s">
        <v>547</v>
      </c>
      <c r="C310" s="430">
        <f>TrialBalance!C310</f>
        <v>0</v>
      </c>
      <c r="D310" s="436"/>
      <c r="E310" s="428"/>
      <c r="F310" s="88">
        <f t="shared" si="81"/>
        <v>0</v>
      </c>
      <c r="G310" s="56">
        <f>SUMIF(JournalsB!D$14:D$920,TrialBalanceB!M310,JournalsB!J$14:J$920)+SUMIF(JournalsB!E$14:E$920,TrialBalanceB!M310,JournalsB!J$14:J$920)</f>
        <v>0</v>
      </c>
      <c r="H310" s="443"/>
      <c r="I310" s="447">
        <f t="shared" si="68"/>
        <v>0</v>
      </c>
      <c r="J310" s="84"/>
      <c r="K310" s="57">
        <f t="shared" si="72"/>
        <v>0</v>
      </c>
      <c r="M310" s="197" t="str">
        <f t="shared" si="73"/>
        <v>7100/1040</v>
      </c>
      <c r="N310" s="79"/>
      <c r="P310" s="80"/>
      <c r="Q310" s="60"/>
      <c r="R310" s="34"/>
    </row>
    <row r="311" spans="1:18" x14ac:dyDescent="0.2">
      <c r="A311" s="394"/>
      <c r="B311" s="63" t="s">
        <v>548</v>
      </c>
      <c r="C311" s="430">
        <f>TrialBalance!C311</f>
        <v>0</v>
      </c>
      <c r="D311" s="436"/>
      <c r="E311" s="428"/>
      <c r="F311" s="88">
        <f t="shared" si="81"/>
        <v>0</v>
      </c>
      <c r="G311" s="56">
        <f>SUMIF(JournalsB!D$14:D$920,TrialBalanceB!M311,JournalsB!J$14:J$920)+SUMIF(JournalsB!E$14:E$920,TrialBalanceB!M311,JournalsB!J$14:J$920)</f>
        <v>0</v>
      </c>
      <c r="H311" s="443"/>
      <c r="I311" s="447">
        <f t="shared" si="68"/>
        <v>0</v>
      </c>
      <c r="J311" s="84"/>
      <c r="K311" s="57">
        <f t="shared" si="72"/>
        <v>0</v>
      </c>
      <c r="M311" s="197" t="str">
        <f t="shared" si="73"/>
        <v>7100/1050</v>
      </c>
      <c r="N311" s="79"/>
      <c r="P311" s="80"/>
      <c r="Q311" s="60"/>
      <c r="R311" s="34"/>
    </row>
    <row r="312" spans="1:18" x14ac:dyDescent="0.2">
      <c r="A312" s="394"/>
      <c r="B312" s="63" t="s">
        <v>549</v>
      </c>
      <c r="C312" s="397" t="s">
        <v>447</v>
      </c>
      <c r="D312" s="437"/>
      <c r="E312" s="428"/>
      <c r="F312" s="88"/>
      <c r="G312" s="56">
        <f>SUMIF(JournalsB!D$14:D$920,TrialBalanceB!M312,JournalsB!J$14:J$920)+SUMIF(JournalsB!E$14:E$920,TrialBalanceB!M312,JournalsB!J$14:J$920)</f>
        <v>0</v>
      </c>
      <c r="H312" s="443"/>
      <c r="I312" s="447">
        <f t="shared" si="68"/>
        <v>0</v>
      </c>
      <c r="J312" s="84"/>
      <c r="K312" s="57">
        <f t="shared" si="72"/>
        <v>0</v>
      </c>
      <c r="M312" s="197" t="str">
        <f t="shared" si="73"/>
        <v>7100/200OTHER INVESTMENTS</v>
      </c>
      <c r="N312" s="79"/>
      <c r="P312" s="80"/>
      <c r="Q312" s="60"/>
      <c r="R312" s="34"/>
    </row>
    <row r="313" spans="1:18" x14ac:dyDescent="0.2">
      <c r="A313" s="394"/>
      <c r="B313" s="63" t="s">
        <v>550</v>
      </c>
      <c r="C313" s="430">
        <f>TrialBalance!C313</f>
        <v>0</v>
      </c>
      <c r="D313" s="438"/>
      <c r="E313" s="428"/>
      <c r="F313" s="88">
        <f t="shared" si="81"/>
        <v>0</v>
      </c>
      <c r="G313" s="56">
        <f>SUMIF(JournalsB!D$14:D$920,TrialBalanceB!M313,JournalsB!J$14:J$920)+SUMIF(JournalsB!E$14:E$920,TrialBalanceB!M313,JournalsB!J$14:J$920)</f>
        <v>0</v>
      </c>
      <c r="H313" s="443"/>
      <c r="I313" s="447">
        <f t="shared" si="68"/>
        <v>0</v>
      </c>
      <c r="J313" s="84"/>
      <c r="K313" s="57">
        <f t="shared" si="72"/>
        <v>0</v>
      </c>
      <c r="M313" s="197" t="str">
        <f t="shared" si="73"/>
        <v>7100/2010</v>
      </c>
      <c r="N313" s="79"/>
      <c r="P313" s="80"/>
      <c r="Q313" s="60"/>
      <c r="R313" s="34"/>
    </row>
    <row r="314" spans="1:18" x14ac:dyDescent="0.2">
      <c r="A314" s="394"/>
      <c r="B314" s="63" t="s">
        <v>551</v>
      </c>
      <c r="C314" s="430">
        <f>TrialBalance!C314</f>
        <v>0</v>
      </c>
      <c r="D314" s="438"/>
      <c r="E314" s="428"/>
      <c r="F314" s="88">
        <f t="shared" si="81"/>
        <v>0</v>
      </c>
      <c r="G314" s="56">
        <f>SUMIF(JournalsB!D$14:D$920,TrialBalanceB!M314,JournalsB!J$14:J$920)+SUMIF(JournalsB!E$14:E$920,TrialBalanceB!M314,JournalsB!J$14:J$920)</f>
        <v>0</v>
      </c>
      <c r="H314" s="443"/>
      <c r="I314" s="447">
        <f t="shared" si="68"/>
        <v>0</v>
      </c>
      <c r="J314" s="84"/>
      <c r="K314" s="57">
        <f t="shared" si="72"/>
        <v>0</v>
      </c>
      <c r="M314" s="197" t="str">
        <f t="shared" si="73"/>
        <v>7100/2020</v>
      </c>
      <c r="N314" s="79"/>
      <c r="P314" s="80"/>
      <c r="Q314" s="60"/>
      <c r="R314" s="34"/>
    </row>
    <row r="315" spans="1:18" x14ac:dyDescent="0.2">
      <c r="A315" s="394"/>
      <c r="B315" s="63" t="s">
        <v>552</v>
      </c>
      <c r="C315" s="430">
        <f>TrialBalance!C315</f>
        <v>0</v>
      </c>
      <c r="D315" s="436"/>
      <c r="E315" s="428"/>
      <c r="F315" s="88">
        <f t="shared" si="81"/>
        <v>0</v>
      </c>
      <c r="G315" s="56">
        <f>SUMIF(JournalsB!D$14:D$920,TrialBalanceB!M315,JournalsB!J$14:J$920)+SUMIF(JournalsB!E$14:E$920,TrialBalanceB!M315,JournalsB!J$14:J$920)</f>
        <v>0</v>
      </c>
      <c r="H315" s="443"/>
      <c r="I315" s="447">
        <f t="shared" si="68"/>
        <v>0</v>
      </c>
      <c r="J315" s="84"/>
      <c r="K315" s="57">
        <f t="shared" si="72"/>
        <v>0</v>
      </c>
      <c r="M315" s="197" t="str">
        <f t="shared" si="73"/>
        <v>7100/2030</v>
      </c>
      <c r="N315" s="79"/>
      <c r="P315" s="80"/>
      <c r="Q315" s="60"/>
      <c r="R315" s="34"/>
    </row>
    <row r="316" spans="1:18" x14ac:dyDescent="0.2">
      <c r="A316" s="394"/>
      <c r="B316" s="63" t="s">
        <v>553</v>
      </c>
      <c r="C316" s="430">
        <f>TrialBalance!C316</f>
        <v>0</v>
      </c>
      <c r="D316" s="436"/>
      <c r="E316" s="428"/>
      <c r="F316" s="88">
        <f t="shared" si="81"/>
        <v>0</v>
      </c>
      <c r="G316" s="56">
        <f>SUMIF(JournalsB!D$14:D$920,TrialBalanceB!M316,JournalsB!J$14:J$920)+SUMIF(JournalsB!E$14:E$920,TrialBalanceB!M316,JournalsB!J$14:J$920)</f>
        <v>0</v>
      </c>
      <c r="H316" s="443"/>
      <c r="I316" s="447">
        <f t="shared" si="68"/>
        <v>0</v>
      </c>
      <c r="J316" s="84"/>
      <c r="K316" s="57">
        <f t="shared" si="72"/>
        <v>0</v>
      </c>
      <c r="M316" s="197" t="str">
        <f t="shared" si="73"/>
        <v>7100/2040</v>
      </c>
      <c r="N316" s="79"/>
      <c r="P316" s="80"/>
      <c r="Q316" s="60"/>
      <c r="R316" s="34"/>
    </row>
    <row r="317" spans="1:18" x14ac:dyDescent="0.2">
      <c r="A317" s="394"/>
      <c r="B317" s="63" t="s">
        <v>185</v>
      </c>
      <c r="C317" s="430">
        <f>TrialBalance!C317</f>
        <v>0</v>
      </c>
      <c r="D317" s="436"/>
      <c r="E317" s="428"/>
      <c r="F317" s="88">
        <f t="shared" si="81"/>
        <v>0</v>
      </c>
      <c r="G317" s="56">
        <f>SUMIF(JournalsB!D$14:D$920,TrialBalanceB!M317,JournalsB!J$14:J$920)+SUMIF(JournalsB!E$14:E$920,TrialBalanceB!M317,JournalsB!J$14:J$920)</f>
        <v>0</v>
      </c>
      <c r="H317" s="443"/>
      <c r="I317" s="447">
        <f t="shared" si="68"/>
        <v>0</v>
      </c>
      <c r="J317" s="84"/>
      <c r="K317" s="57">
        <f t="shared" si="72"/>
        <v>0</v>
      </c>
      <c r="M317" s="197" t="str">
        <f t="shared" si="73"/>
        <v>7100/2050</v>
      </c>
      <c r="N317" s="79"/>
      <c r="P317" s="80"/>
      <c r="Q317" s="60"/>
      <c r="R317" s="34"/>
    </row>
    <row r="318" spans="1:18" x14ac:dyDescent="0.2">
      <c r="A318" s="394"/>
      <c r="B318" s="63" t="s">
        <v>186</v>
      </c>
      <c r="C318" s="398" t="s">
        <v>944</v>
      </c>
      <c r="D318" s="436"/>
      <c r="E318" s="428"/>
      <c r="F318" s="88"/>
      <c r="G318" s="56">
        <f>SUMIF(JournalsB!D$14:D$920,TrialBalanceB!M318,JournalsB!J$14:J$920)+SUMIF(JournalsB!E$14:E$920,TrialBalanceB!M318,JournalsB!J$14:J$920)</f>
        <v>0</v>
      </c>
      <c r="H318" s="443"/>
      <c r="I318" s="447">
        <f t="shared" si="68"/>
        <v>0</v>
      </c>
      <c r="J318" s="84"/>
      <c r="K318" s="57">
        <f t="shared" si="72"/>
        <v>0</v>
      </c>
      <c r="M318" s="197" t="str">
        <f t="shared" si="73"/>
        <v>7450/000CONNECTED ENTITIES LOANS</v>
      </c>
      <c r="N318" s="79"/>
      <c r="P318" s="80"/>
      <c r="Q318" s="60"/>
      <c r="R318" s="34"/>
    </row>
    <row r="319" spans="1:18" x14ac:dyDescent="0.2">
      <c r="A319" s="394"/>
      <c r="B319" s="63" t="s">
        <v>186</v>
      </c>
      <c r="C319" s="398" t="s">
        <v>788</v>
      </c>
      <c r="D319" s="436"/>
      <c r="E319" s="428"/>
      <c r="F319" s="88"/>
      <c r="G319" s="56">
        <f>SUMIF(JournalsB!D$14:D$920,TrialBalanceB!M319,JournalsB!J$14:J$920)+SUMIF(JournalsB!E$14:E$920,TrialBalanceB!M319,JournalsB!J$14:J$920)</f>
        <v>0</v>
      </c>
      <c r="H319" s="443"/>
      <c r="I319" s="447">
        <f t="shared" ref="I319" si="82">ROUND(D319-E319+G319+F319,0)</f>
        <v>0</v>
      </c>
      <c r="J319" s="84"/>
      <c r="K319" s="57">
        <f t="shared" ref="K319" si="83">ROUND(SUM(A319),0)</f>
        <v>0</v>
      </c>
      <c r="M319" s="197" t="str">
        <f t="shared" ref="M319" si="84">CONCATENATE(B319,C319)</f>
        <v>7450/000Interest bearing</v>
      </c>
      <c r="N319" s="79"/>
      <c r="P319" s="80"/>
      <c r="Q319" s="60"/>
      <c r="R319" s="34"/>
    </row>
    <row r="320" spans="1:18" x14ac:dyDescent="0.2">
      <c r="A320" s="394"/>
      <c r="B320" s="63" t="s">
        <v>187</v>
      </c>
      <c r="C320" s="430">
        <f>TrialBalance!C320</f>
        <v>0</v>
      </c>
      <c r="D320" s="438"/>
      <c r="E320" s="428"/>
      <c r="F320" s="88">
        <f t="shared" si="81"/>
        <v>0</v>
      </c>
      <c r="G320" s="56">
        <f>SUMIF(JournalsB!D$14:D$920,TrialBalanceB!M320,JournalsB!J$14:J$920)+SUMIF(JournalsB!E$14:E$920,TrialBalanceB!M320,JournalsB!J$14:J$920)</f>
        <v>0</v>
      </c>
      <c r="H320" s="443"/>
      <c r="I320" s="447">
        <f t="shared" si="68"/>
        <v>0</v>
      </c>
      <c r="J320" s="84"/>
      <c r="K320" s="57">
        <f t="shared" si="72"/>
        <v>0</v>
      </c>
      <c r="M320" s="197" t="str">
        <f t="shared" si="73"/>
        <v>7450/0010</v>
      </c>
      <c r="N320" s="79"/>
      <c r="P320" s="80"/>
      <c r="Q320" s="60"/>
      <c r="R320" s="34"/>
    </row>
    <row r="321" spans="1:18" x14ac:dyDescent="0.2">
      <c r="A321" s="394"/>
      <c r="B321" s="63" t="s">
        <v>188</v>
      </c>
      <c r="C321" s="430">
        <f>TrialBalance!C321</f>
        <v>0</v>
      </c>
      <c r="D321" s="438"/>
      <c r="E321" s="428"/>
      <c r="F321" s="88">
        <f t="shared" ref="F321:F322" si="85">K321</f>
        <v>0</v>
      </c>
      <c r="G321" s="56">
        <f>SUMIF(JournalsB!D$14:D$920,TrialBalanceB!M321,JournalsB!J$14:J$920)+SUMIF(JournalsB!E$14:E$920,TrialBalanceB!M321,JournalsB!J$14:J$920)</f>
        <v>0</v>
      </c>
      <c r="H321" s="443"/>
      <c r="I321" s="447">
        <f t="shared" ref="I321:I322" si="86">ROUND(D321-E321+G321+F321,0)</f>
        <v>0</v>
      </c>
      <c r="J321" s="84"/>
      <c r="K321" s="57">
        <f t="shared" ref="K321:K322" si="87">ROUND(SUM(A321),0)</f>
        <v>0</v>
      </c>
      <c r="M321" s="197" t="str">
        <f t="shared" ref="M321:M322" si="88">CONCATENATE(B321,C321)</f>
        <v>7450/0020</v>
      </c>
      <c r="N321" s="79"/>
      <c r="P321" s="80"/>
      <c r="Q321" s="60"/>
      <c r="R321" s="34"/>
    </row>
    <row r="322" spans="1:18" x14ac:dyDescent="0.2">
      <c r="A322" s="394"/>
      <c r="B322" s="114" t="s">
        <v>189</v>
      </c>
      <c r="C322" s="430">
        <f>TrialBalance!C322</f>
        <v>0</v>
      </c>
      <c r="D322" s="438"/>
      <c r="E322" s="428"/>
      <c r="F322" s="88">
        <f t="shared" si="85"/>
        <v>0</v>
      </c>
      <c r="G322" s="56">
        <f>SUMIF(JournalsB!D$14:D$920,TrialBalanceB!M322,JournalsB!J$14:J$920)+SUMIF(JournalsB!E$14:E$920,TrialBalanceB!M322,JournalsB!J$14:J$920)</f>
        <v>0</v>
      </c>
      <c r="H322" s="443"/>
      <c r="I322" s="447">
        <f t="shared" si="86"/>
        <v>0</v>
      </c>
      <c r="J322" s="84"/>
      <c r="K322" s="57">
        <f t="shared" si="87"/>
        <v>0</v>
      </c>
      <c r="M322" s="197" t="str">
        <f t="shared" si="88"/>
        <v>7450/0030</v>
      </c>
      <c r="N322" s="79"/>
      <c r="P322" s="80"/>
      <c r="Q322" s="60"/>
      <c r="R322" s="34"/>
    </row>
    <row r="323" spans="1:18" x14ac:dyDescent="0.2">
      <c r="A323" s="394"/>
      <c r="B323" s="114" t="s">
        <v>499</v>
      </c>
      <c r="C323" s="430">
        <f>TrialBalance!C323</f>
        <v>0</v>
      </c>
      <c r="D323" s="438"/>
      <c r="E323" s="428"/>
      <c r="F323" s="88">
        <f t="shared" ref="F323:F328" si="89">K323</f>
        <v>0</v>
      </c>
      <c r="G323" s="56">
        <f>SUMIF(JournalsB!D$14:D$920,TrialBalanceB!M323,JournalsB!J$14:J$920)+SUMIF(JournalsB!E$14:E$920,TrialBalanceB!M323,JournalsB!J$14:J$920)</f>
        <v>0</v>
      </c>
      <c r="H323" s="443"/>
      <c r="I323" s="447">
        <f t="shared" ref="I323:I328" si="90">ROUND(D323-E323+G323+F323,0)</f>
        <v>0</v>
      </c>
      <c r="J323" s="84"/>
      <c r="K323" s="57">
        <f t="shared" ref="K323:K328" si="91">ROUND(SUM(A323),0)</f>
        <v>0</v>
      </c>
      <c r="M323" s="197" t="str">
        <f t="shared" ref="M323:M328" si="92">CONCATENATE(B323,C323)</f>
        <v>7450/0040</v>
      </c>
      <c r="N323" s="79"/>
      <c r="P323" s="80"/>
      <c r="Q323" s="60"/>
      <c r="R323" s="34"/>
    </row>
    <row r="324" spans="1:18" x14ac:dyDescent="0.2">
      <c r="A324" s="394"/>
      <c r="B324" s="114" t="s">
        <v>352</v>
      </c>
      <c r="C324" s="430">
        <f>TrialBalance!C324</f>
        <v>0</v>
      </c>
      <c r="D324" s="438"/>
      <c r="E324" s="428"/>
      <c r="F324" s="88">
        <f t="shared" si="89"/>
        <v>0</v>
      </c>
      <c r="G324" s="56">
        <f>SUMIF(JournalsB!D$14:D$920,TrialBalanceB!M324,JournalsB!J$14:J$920)+SUMIF(JournalsB!E$14:E$920,TrialBalanceB!M324,JournalsB!J$14:J$920)</f>
        <v>0</v>
      </c>
      <c r="H324" s="443"/>
      <c r="I324" s="447">
        <f t="shared" si="90"/>
        <v>0</v>
      </c>
      <c r="J324" s="84"/>
      <c r="K324" s="57">
        <f t="shared" si="91"/>
        <v>0</v>
      </c>
      <c r="M324" s="197" t="str">
        <f t="shared" si="92"/>
        <v>7450/0050</v>
      </c>
      <c r="N324" s="79"/>
      <c r="P324" s="80"/>
      <c r="Q324" s="60"/>
      <c r="R324" s="34"/>
    </row>
    <row r="325" spans="1:18" x14ac:dyDescent="0.2">
      <c r="A325" s="394"/>
      <c r="B325" s="114" t="s">
        <v>986</v>
      </c>
      <c r="C325" s="430">
        <f>TrialBalance!C325</f>
        <v>0</v>
      </c>
      <c r="D325" s="438"/>
      <c r="E325" s="428"/>
      <c r="F325" s="88">
        <f t="shared" si="89"/>
        <v>0</v>
      </c>
      <c r="G325" s="56">
        <f>SUMIF(JournalsB!D$14:D$920,TrialBalanceB!M325,JournalsB!J$14:J$920)+SUMIF(JournalsB!E$14:E$920,TrialBalanceB!M325,JournalsB!J$14:J$920)</f>
        <v>0</v>
      </c>
      <c r="H325" s="443"/>
      <c r="I325" s="447">
        <f t="shared" si="90"/>
        <v>0</v>
      </c>
      <c r="J325" s="84"/>
      <c r="K325" s="57">
        <f t="shared" si="91"/>
        <v>0</v>
      </c>
      <c r="M325" s="197" t="str">
        <f t="shared" si="92"/>
        <v>7450/0060</v>
      </c>
      <c r="N325" s="79"/>
      <c r="P325" s="80"/>
      <c r="Q325" s="60"/>
      <c r="R325" s="34"/>
    </row>
    <row r="326" spans="1:18" x14ac:dyDescent="0.2">
      <c r="A326" s="394"/>
      <c r="B326" s="114" t="s">
        <v>1245</v>
      </c>
      <c r="C326" s="430">
        <f>TrialBalance!C326</f>
        <v>0</v>
      </c>
      <c r="D326" s="438"/>
      <c r="E326" s="428"/>
      <c r="F326" s="88">
        <f t="shared" si="89"/>
        <v>0</v>
      </c>
      <c r="G326" s="56">
        <f>SUMIF(JournalsB!D$14:D$920,TrialBalanceB!M326,JournalsB!J$14:J$920)+SUMIF(JournalsB!E$14:E$920,TrialBalanceB!M326,JournalsB!J$14:J$920)</f>
        <v>0</v>
      </c>
      <c r="H326" s="443"/>
      <c r="I326" s="447">
        <f t="shared" si="90"/>
        <v>0</v>
      </c>
      <c r="J326" s="84"/>
      <c r="K326" s="57">
        <f t="shared" si="91"/>
        <v>0</v>
      </c>
      <c r="M326" s="197" t="str">
        <f t="shared" si="92"/>
        <v>7450/0070</v>
      </c>
      <c r="N326" s="79"/>
      <c r="P326" s="80"/>
      <c r="Q326" s="60"/>
      <c r="R326" s="34"/>
    </row>
    <row r="327" spans="1:18" x14ac:dyDescent="0.2">
      <c r="A327" s="394"/>
      <c r="B327" s="114" t="s">
        <v>1246</v>
      </c>
      <c r="C327" s="430">
        <f>TrialBalance!C327</f>
        <v>0</v>
      </c>
      <c r="D327" s="438"/>
      <c r="E327" s="428"/>
      <c r="F327" s="88">
        <f t="shared" si="89"/>
        <v>0</v>
      </c>
      <c r="G327" s="56">
        <f>SUMIF(JournalsB!D$14:D$920,TrialBalanceB!M327,JournalsB!J$14:J$920)+SUMIF(JournalsB!E$14:E$920,TrialBalanceB!M327,JournalsB!J$14:J$920)</f>
        <v>0</v>
      </c>
      <c r="H327" s="443"/>
      <c r="I327" s="447">
        <f t="shared" si="90"/>
        <v>0</v>
      </c>
      <c r="J327" s="84"/>
      <c r="K327" s="57">
        <f t="shared" si="91"/>
        <v>0</v>
      </c>
      <c r="M327" s="197" t="str">
        <f t="shared" si="92"/>
        <v>7450/0080</v>
      </c>
      <c r="N327" s="79"/>
      <c r="P327" s="80"/>
      <c r="Q327" s="60"/>
      <c r="R327" s="34"/>
    </row>
    <row r="328" spans="1:18" x14ac:dyDescent="0.2">
      <c r="A328" s="394"/>
      <c r="B328" s="114" t="s">
        <v>1247</v>
      </c>
      <c r="C328" s="430">
        <f>TrialBalance!C328</f>
        <v>0</v>
      </c>
      <c r="D328" s="438"/>
      <c r="E328" s="428"/>
      <c r="F328" s="88">
        <f t="shared" si="89"/>
        <v>0</v>
      </c>
      <c r="G328" s="56">
        <f>SUMIF(JournalsB!D$14:D$920,TrialBalanceB!M328,JournalsB!J$14:J$920)+SUMIF(JournalsB!E$14:E$920,TrialBalanceB!M328,JournalsB!J$14:J$920)</f>
        <v>0</v>
      </c>
      <c r="H328" s="443"/>
      <c r="I328" s="447">
        <f t="shared" si="90"/>
        <v>0</v>
      </c>
      <c r="J328" s="84"/>
      <c r="K328" s="57">
        <f t="shared" si="91"/>
        <v>0</v>
      </c>
      <c r="M328" s="197" t="str">
        <f t="shared" si="92"/>
        <v>7450/0090</v>
      </c>
      <c r="N328" s="79"/>
      <c r="P328" s="80"/>
      <c r="Q328" s="60"/>
      <c r="R328" s="34"/>
    </row>
    <row r="329" spans="1:18" x14ac:dyDescent="0.2">
      <c r="A329" s="394"/>
      <c r="B329" s="114" t="s">
        <v>1248</v>
      </c>
      <c r="C329" s="430">
        <f>TrialBalance!C329</f>
        <v>0</v>
      </c>
      <c r="D329" s="436"/>
      <c r="E329" s="428"/>
      <c r="F329" s="88">
        <f t="shared" si="81"/>
        <v>0</v>
      </c>
      <c r="G329" s="56">
        <f>SUMIF(JournalsB!D$14:D$920,TrialBalanceB!M329,JournalsB!J$14:J$920)+SUMIF(JournalsB!E$14:E$920,TrialBalanceB!M329,JournalsB!J$14:J$920)</f>
        <v>0</v>
      </c>
      <c r="H329" s="443"/>
      <c r="I329" s="447">
        <f t="shared" si="68"/>
        <v>0</v>
      </c>
      <c r="J329" s="84"/>
      <c r="K329" s="57">
        <f t="shared" si="72"/>
        <v>0</v>
      </c>
      <c r="M329" s="197" t="str">
        <f t="shared" si="73"/>
        <v>7450/0100</v>
      </c>
      <c r="N329" s="79"/>
      <c r="P329" s="80"/>
      <c r="Q329" s="60"/>
      <c r="R329" s="34"/>
    </row>
    <row r="330" spans="1:18" x14ac:dyDescent="0.2">
      <c r="A330" s="394"/>
      <c r="B330" s="114" t="s">
        <v>1249</v>
      </c>
      <c r="C330" s="398" t="s">
        <v>787</v>
      </c>
      <c r="D330" s="436"/>
      <c r="E330" s="428"/>
      <c r="F330" s="88"/>
      <c r="G330" s="56">
        <f>SUMIF(JournalsB!D$14:D$920,TrialBalanceB!M330,JournalsB!J$14:J$920)+SUMIF(JournalsB!E$14:E$920,TrialBalanceB!M330,JournalsB!J$14:J$920)</f>
        <v>0</v>
      </c>
      <c r="H330" s="443"/>
      <c r="I330" s="447">
        <f t="shared" ref="I330" si="93">ROUND(D330-E330+G330+F330,0)</f>
        <v>0</v>
      </c>
      <c r="J330" s="84"/>
      <c r="K330" s="57">
        <f t="shared" ref="K330" si="94">ROUND(SUM(A330),0)</f>
        <v>0</v>
      </c>
      <c r="M330" s="197" t="str">
        <f t="shared" ref="M330" si="95">CONCATENATE(B330,C330)</f>
        <v>7455/000Interest free</v>
      </c>
      <c r="N330" s="79"/>
      <c r="P330" s="80"/>
      <c r="Q330" s="60"/>
      <c r="R330" s="34"/>
    </row>
    <row r="331" spans="1:18" x14ac:dyDescent="0.2">
      <c r="A331" s="394"/>
      <c r="B331" s="114" t="s">
        <v>1250</v>
      </c>
      <c r="C331" s="430">
        <f>TrialBalance!C331</f>
        <v>0</v>
      </c>
      <c r="D331" s="436"/>
      <c r="E331" s="428"/>
      <c r="F331" s="88">
        <f t="shared" si="81"/>
        <v>0</v>
      </c>
      <c r="G331" s="56">
        <f>SUMIF(JournalsB!D$14:D$920,TrialBalanceB!M331,JournalsB!J$14:J$920)+SUMIF(JournalsB!E$14:E$920,TrialBalanceB!M331,JournalsB!J$14:J$920)</f>
        <v>0</v>
      </c>
      <c r="H331" s="443"/>
      <c r="I331" s="447">
        <f t="shared" si="68"/>
        <v>0</v>
      </c>
      <c r="J331" s="84"/>
      <c r="K331" s="57">
        <f t="shared" si="72"/>
        <v>0</v>
      </c>
      <c r="M331" s="197" t="str">
        <f t="shared" si="73"/>
        <v>7455/0010</v>
      </c>
      <c r="N331" s="79"/>
      <c r="P331" s="80"/>
      <c r="Q331" s="60"/>
      <c r="R331" s="34"/>
    </row>
    <row r="332" spans="1:18" x14ac:dyDescent="0.2">
      <c r="A332" s="394"/>
      <c r="B332" s="114" t="s">
        <v>1251</v>
      </c>
      <c r="C332" s="430">
        <f>TrialBalance!C332</f>
        <v>0</v>
      </c>
      <c r="D332" s="436"/>
      <c r="E332" s="428"/>
      <c r="F332" s="88">
        <f t="shared" ref="F332" si="96">K332</f>
        <v>0</v>
      </c>
      <c r="G332" s="56">
        <f>SUMIF(JournalsB!D$14:D$920,TrialBalanceB!M332,JournalsB!J$14:J$920)+SUMIF(JournalsB!E$14:E$920,TrialBalanceB!M332,JournalsB!J$14:J$920)</f>
        <v>0</v>
      </c>
      <c r="H332" s="443"/>
      <c r="I332" s="447">
        <f t="shared" ref="I332" si="97">ROUND(D332-E332+G332+F332,0)</f>
        <v>0</v>
      </c>
      <c r="J332" s="84"/>
      <c r="K332" s="57">
        <f t="shared" ref="K332" si="98">ROUND(SUM(A332),0)</f>
        <v>0</v>
      </c>
      <c r="M332" s="197" t="str">
        <f t="shared" ref="M332" si="99">CONCATENATE(B332,C332)</f>
        <v>7455/0020</v>
      </c>
      <c r="N332" s="79"/>
      <c r="P332" s="80"/>
      <c r="Q332" s="60"/>
      <c r="R332" s="34"/>
    </row>
    <row r="333" spans="1:18" x14ac:dyDescent="0.2">
      <c r="A333" s="394"/>
      <c r="B333" s="114" t="s">
        <v>1252</v>
      </c>
      <c r="C333" s="430">
        <f>TrialBalance!C333</f>
        <v>0</v>
      </c>
      <c r="D333" s="436"/>
      <c r="E333" s="428"/>
      <c r="F333" s="88">
        <f t="shared" si="81"/>
        <v>0</v>
      </c>
      <c r="G333" s="56">
        <f>SUMIF(JournalsB!D$14:D$920,TrialBalanceB!M333,JournalsB!J$14:J$920)+SUMIF(JournalsB!E$14:E$920,TrialBalanceB!M333,JournalsB!J$14:J$920)</f>
        <v>0</v>
      </c>
      <c r="H333" s="443"/>
      <c r="I333" s="447">
        <f t="shared" si="68"/>
        <v>0</v>
      </c>
      <c r="J333" s="84"/>
      <c r="K333" s="57">
        <f t="shared" si="72"/>
        <v>0</v>
      </c>
      <c r="M333" s="197" t="str">
        <f t="shared" si="73"/>
        <v>7455/0030</v>
      </c>
      <c r="N333" s="79"/>
      <c r="P333" s="80"/>
      <c r="Q333" s="60"/>
      <c r="R333" s="34"/>
    </row>
    <row r="334" spans="1:18" x14ac:dyDescent="0.2">
      <c r="A334" s="394"/>
      <c r="B334" s="114" t="s">
        <v>1253</v>
      </c>
      <c r="C334" s="430">
        <f>TrialBalance!C334</f>
        <v>0</v>
      </c>
      <c r="D334" s="436"/>
      <c r="E334" s="428"/>
      <c r="F334" s="88">
        <f t="shared" ref="F334:F339" si="100">K334</f>
        <v>0</v>
      </c>
      <c r="G334" s="56">
        <f>SUMIF(JournalsB!D$14:D$920,TrialBalanceB!M334,JournalsB!J$14:J$920)+SUMIF(JournalsB!E$14:E$920,TrialBalanceB!M334,JournalsB!J$14:J$920)</f>
        <v>0</v>
      </c>
      <c r="H334" s="443"/>
      <c r="I334" s="447">
        <f t="shared" ref="I334:I339" si="101">ROUND(D334-E334+G334+F334,0)</f>
        <v>0</v>
      </c>
      <c r="J334" s="84"/>
      <c r="K334" s="57">
        <f t="shared" ref="K334:K339" si="102">ROUND(SUM(A334),0)</f>
        <v>0</v>
      </c>
      <c r="M334" s="197" t="str">
        <f t="shared" ref="M334:M339" si="103">CONCATENATE(B334,C334)</f>
        <v>7455/0040</v>
      </c>
      <c r="N334" s="79"/>
      <c r="P334" s="80"/>
      <c r="Q334" s="60"/>
      <c r="R334" s="34"/>
    </row>
    <row r="335" spans="1:18" x14ac:dyDescent="0.2">
      <c r="A335" s="394"/>
      <c r="B335" s="114" t="s">
        <v>1254</v>
      </c>
      <c r="C335" s="430">
        <f>TrialBalance!C335</f>
        <v>0</v>
      </c>
      <c r="D335" s="436"/>
      <c r="E335" s="428"/>
      <c r="F335" s="88">
        <f t="shared" si="100"/>
        <v>0</v>
      </c>
      <c r="G335" s="56">
        <f>SUMIF(JournalsB!D$14:D$920,TrialBalanceB!M335,JournalsB!J$14:J$920)+SUMIF(JournalsB!E$14:E$920,TrialBalanceB!M335,JournalsB!J$14:J$920)</f>
        <v>0</v>
      </c>
      <c r="H335" s="443"/>
      <c r="I335" s="447">
        <f t="shared" si="101"/>
        <v>0</v>
      </c>
      <c r="J335" s="84"/>
      <c r="K335" s="57">
        <f t="shared" si="102"/>
        <v>0</v>
      </c>
      <c r="M335" s="197" t="str">
        <f t="shared" si="103"/>
        <v>7455/0050</v>
      </c>
      <c r="N335" s="79"/>
      <c r="P335" s="80"/>
      <c r="Q335" s="60"/>
      <c r="R335" s="34"/>
    </row>
    <row r="336" spans="1:18" x14ac:dyDescent="0.2">
      <c r="A336" s="394"/>
      <c r="B336" s="114" t="s">
        <v>1255</v>
      </c>
      <c r="C336" s="430">
        <f>TrialBalance!C336</f>
        <v>0</v>
      </c>
      <c r="D336" s="436"/>
      <c r="E336" s="428"/>
      <c r="F336" s="88">
        <f t="shared" si="100"/>
        <v>0</v>
      </c>
      <c r="G336" s="56">
        <f>SUMIF(JournalsB!D$14:D$920,TrialBalanceB!M336,JournalsB!J$14:J$920)+SUMIF(JournalsB!E$14:E$920,TrialBalanceB!M336,JournalsB!J$14:J$920)</f>
        <v>0</v>
      </c>
      <c r="H336" s="443"/>
      <c r="I336" s="447">
        <f t="shared" si="101"/>
        <v>0</v>
      </c>
      <c r="J336" s="84"/>
      <c r="K336" s="57">
        <f t="shared" si="102"/>
        <v>0</v>
      </c>
      <c r="M336" s="197" t="str">
        <f t="shared" si="103"/>
        <v>7455/0060</v>
      </c>
      <c r="N336" s="79"/>
      <c r="P336" s="80"/>
      <c r="Q336" s="60"/>
      <c r="R336" s="34"/>
    </row>
    <row r="337" spans="1:18" x14ac:dyDescent="0.2">
      <c r="A337" s="394"/>
      <c r="B337" s="114" t="s">
        <v>1256</v>
      </c>
      <c r="C337" s="430">
        <f>TrialBalance!C337</f>
        <v>0</v>
      </c>
      <c r="D337" s="436"/>
      <c r="E337" s="428"/>
      <c r="F337" s="88">
        <f t="shared" si="100"/>
        <v>0</v>
      </c>
      <c r="G337" s="56">
        <f>SUMIF(JournalsB!D$14:D$920,TrialBalanceB!M337,JournalsB!J$14:J$920)+SUMIF(JournalsB!E$14:E$920,TrialBalanceB!M337,JournalsB!J$14:J$920)</f>
        <v>0</v>
      </c>
      <c r="H337" s="443"/>
      <c r="I337" s="447">
        <f t="shared" si="101"/>
        <v>0</v>
      </c>
      <c r="J337" s="84"/>
      <c r="K337" s="57">
        <f t="shared" si="102"/>
        <v>0</v>
      </c>
      <c r="M337" s="197" t="str">
        <f t="shared" si="103"/>
        <v>7455/0070</v>
      </c>
      <c r="N337" s="79"/>
      <c r="P337" s="80"/>
      <c r="Q337" s="60"/>
      <c r="R337" s="34"/>
    </row>
    <row r="338" spans="1:18" x14ac:dyDescent="0.2">
      <c r="A338" s="394"/>
      <c r="B338" s="114" t="s">
        <v>1257</v>
      </c>
      <c r="C338" s="430">
        <f>TrialBalance!C338</f>
        <v>0</v>
      </c>
      <c r="D338" s="436"/>
      <c r="E338" s="428"/>
      <c r="F338" s="88">
        <f t="shared" si="100"/>
        <v>0</v>
      </c>
      <c r="G338" s="56">
        <f>SUMIF(JournalsB!D$14:D$920,TrialBalanceB!M338,JournalsB!J$14:J$920)+SUMIF(JournalsB!E$14:E$920,TrialBalanceB!M338,JournalsB!J$14:J$920)</f>
        <v>0</v>
      </c>
      <c r="H338" s="443"/>
      <c r="I338" s="447">
        <f t="shared" si="101"/>
        <v>0</v>
      </c>
      <c r="J338" s="84"/>
      <c r="K338" s="57">
        <f t="shared" si="102"/>
        <v>0</v>
      </c>
      <c r="M338" s="197" t="str">
        <f t="shared" si="103"/>
        <v>7455/0080</v>
      </c>
      <c r="N338" s="79"/>
      <c r="P338" s="80"/>
      <c r="Q338" s="60"/>
      <c r="R338" s="34"/>
    </row>
    <row r="339" spans="1:18" x14ac:dyDescent="0.2">
      <c r="A339" s="394"/>
      <c r="B339" s="114" t="s">
        <v>1258</v>
      </c>
      <c r="C339" s="430">
        <f>TrialBalance!C339</f>
        <v>0</v>
      </c>
      <c r="D339" s="436"/>
      <c r="E339" s="428"/>
      <c r="F339" s="88">
        <f t="shared" si="100"/>
        <v>0</v>
      </c>
      <c r="G339" s="56">
        <f>SUMIF(JournalsB!D$14:D$920,TrialBalanceB!M339,JournalsB!J$14:J$920)+SUMIF(JournalsB!E$14:E$920,TrialBalanceB!M339,JournalsB!J$14:J$920)</f>
        <v>0</v>
      </c>
      <c r="H339" s="443"/>
      <c r="I339" s="447">
        <f t="shared" si="101"/>
        <v>0</v>
      </c>
      <c r="J339" s="84"/>
      <c r="K339" s="57">
        <f t="shared" si="102"/>
        <v>0</v>
      </c>
      <c r="M339" s="197" t="str">
        <f t="shared" si="103"/>
        <v>7455/0090</v>
      </c>
      <c r="N339" s="79"/>
      <c r="P339" s="80"/>
      <c r="Q339" s="60"/>
      <c r="R339" s="34"/>
    </row>
    <row r="340" spans="1:18" x14ac:dyDescent="0.2">
      <c r="A340" s="394"/>
      <c r="B340" s="114" t="s">
        <v>1259</v>
      </c>
      <c r="C340" s="430">
        <f>TrialBalance!C340</f>
        <v>0</v>
      </c>
      <c r="D340" s="436"/>
      <c r="E340" s="428"/>
      <c r="F340" s="88">
        <f t="shared" si="81"/>
        <v>0</v>
      </c>
      <c r="G340" s="56">
        <f>SUMIF(JournalsB!D$14:D$920,TrialBalanceB!M340,JournalsB!J$14:J$920)+SUMIF(JournalsB!E$14:E$920,TrialBalanceB!M340,JournalsB!J$14:J$920)</f>
        <v>0</v>
      </c>
      <c r="H340" s="443"/>
      <c r="I340" s="447">
        <f t="shared" si="68"/>
        <v>0</v>
      </c>
      <c r="J340" s="84"/>
      <c r="K340" s="57">
        <f t="shared" si="72"/>
        <v>0</v>
      </c>
      <c r="M340" s="197" t="str">
        <f t="shared" si="73"/>
        <v>7455/0100</v>
      </c>
      <c r="N340" s="79"/>
      <c r="P340" s="80"/>
      <c r="Q340" s="60"/>
      <c r="R340" s="34"/>
    </row>
    <row r="341" spans="1:18" x14ac:dyDescent="0.2">
      <c r="A341" s="394"/>
      <c r="B341" s="63" t="s">
        <v>353</v>
      </c>
      <c r="C341" s="396" t="s">
        <v>929</v>
      </c>
      <c r="D341" s="428"/>
      <c r="E341" s="428"/>
      <c r="F341" s="88"/>
      <c r="G341" s="56">
        <f>SUMIF(JournalsB!D$14:D$920,TrialBalanceB!M341,JournalsB!J$14:J$920)+SUMIF(JournalsB!E$14:E$920,TrialBalanceB!M341,JournalsB!J$14:J$920)</f>
        <v>0</v>
      </c>
      <c r="H341" s="443"/>
      <c r="I341" s="447">
        <f t="shared" si="68"/>
        <v>0</v>
      </c>
      <c r="J341" s="84"/>
      <c r="K341" s="57">
        <f t="shared" si="72"/>
        <v>0</v>
      </c>
      <c r="M341" s="197" t="str">
        <f t="shared" si="73"/>
        <v>7460/000OTHER NON - CURRENT RECEIVABLES</v>
      </c>
      <c r="N341" s="79"/>
      <c r="P341" s="80"/>
      <c r="Q341" s="60"/>
      <c r="R341" s="34"/>
    </row>
    <row r="342" spans="1:18" x14ac:dyDescent="0.2">
      <c r="A342" s="394"/>
      <c r="B342" s="63" t="s">
        <v>353</v>
      </c>
      <c r="C342" s="396" t="s">
        <v>788</v>
      </c>
      <c r="D342" s="428"/>
      <c r="E342" s="428"/>
      <c r="F342" s="88"/>
      <c r="G342" s="56">
        <f>SUMIF(JournalsB!D$14:D$920,TrialBalanceB!M342,JournalsB!J$14:J$920)+SUMIF(JournalsB!E$14:E$920,TrialBalanceB!M342,JournalsB!J$14:J$920)</f>
        <v>0</v>
      </c>
      <c r="H342" s="443"/>
      <c r="I342" s="447">
        <f t="shared" ref="I342" si="104">ROUND(D342-E342+G342+F342,0)</f>
        <v>0</v>
      </c>
      <c r="J342" s="84"/>
      <c r="K342" s="57">
        <f t="shared" ref="K342" si="105">ROUND(SUM(A342),0)</f>
        <v>0</v>
      </c>
      <c r="M342" s="197" t="str">
        <f t="shared" ref="M342" si="106">CONCATENATE(B342,C342)</f>
        <v>7460/000Interest bearing</v>
      </c>
      <c r="N342" s="79"/>
      <c r="P342" s="80"/>
      <c r="Q342" s="60"/>
      <c r="R342" s="34"/>
    </row>
    <row r="343" spans="1:18" x14ac:dyDescent="0.2">
      <c r="A343" s="394"/>
      <c r="B343" s="63" t="s">
        <v>355</v>
      </c>
      <c r="C343" s="430">
        <f>TrialBalance!C343</f>
        <v>0</v>
      </c>
      <c r="D343" s="435"/>
      <c r="E343" s="428"/>
      <c r="F343" s="88">
        <f t="shared" si="81"/>
        <v>0</v>
      </c>
      <c r="G343" s="56">
        <f>SUMIF(JournalsB!D$14:D$920,TrialBalanceB!M343,JournalsB!J$14:J$920)+SUMIF(JournalsB!E$14:E$920,TrialBalanceB!M343,JournalsB!J$14:J$920)</f>
        <v>0</v>
      </c>
      <c r="H343" s="443"/>
      <c r="I343" s="447">
        <f t="shared" si="68"/>
        <v>0</v>
      </c>
      <c r="J343" s="84"/>
      <c r="K343" s="57">
        <f t="shared" si="72"/>
        <v>0</v>
      </c>
      <c r="M343" s="197" t="str">
        <f t="shared" si="73"/>
        <v>7460/0010</v>
      </c>
      <c r="N343" s="79"/>
      <c r="P343" s="80"/>
      <c r="Q343" s="60"/>
      <c r="R343" s="34"/>
    </row>
    <row r="344" spans="1:18" x14ac:dyDescent="0.2">
      <c r="A344" s="394"/>
      <c r="B344" s="63" t="s">
        <v>356</v>
      </c>
      <c r="C344" s="430">
        <f>TrialBalance!C344</f>
        <v>0</v>
      </c>
      <c r="D344" s="435"/>
      <c r="E344" s="428"/>
      <c r="F344" s="88">
        <f t="shared" ref="F344" si="107">K344</f>
        <v>0</v>
      </c>
      <c r="G344" s="56">
        <f>SUMIF(JournalsB!D$14:D$920,TrialBalanceB!M344,JournalsB!J$14:J$920)+SUMIF(JournalsB!E$14:E$920,TrialBalanceB!M344,JournalsB!J$14:J$920)</f>
        <v>0</v>
      </c>
      <c r="H344" s="443"/>
      <c r="I344" s="447">
        <f t="shared" ref="I344" si="108">ROUND(D344-E344+G344+F344,0)</f>
        <v>0</v>
      </c>
      <c r="J344" s="84"/>
      <c r="K344" s="57">
        <f t="shared" ref="K344" si="109">ROUND(SUM(A344),0)</f>
        <v>0</v>
      </c>
      <c r="M344" s="197" t="str">
        <f t="shared" ref="M344" si="110">CONCATENATE(B344,C344)</f>
        <v>7460/0020</v>
      </c>
      <c r="N344" s="79"/>
      <c r="P344" s="80"/>
      <c r="Q344" s="60"/>
      <c r="R344" s="34"/>
    </row>
    <row r="345" spans="1:18" x14ac:dyDescent="0.2">
      <c r="A345" s="394"/>
      <c r="B345" s="63" t="s">
        <v>357</v>
      </c>
      <c r="C345" s="430">
        <f>TrialBalance!C345</f>
        <v>0</v>
      </c>
      <c r="D345" s="436"/>
      <c r="E345" s="428"/>
      <c r="F345" s="88">
        <f t="shared" si="81"/>
        <v>0</v>
      </c>
      <c r="G345" s="56">
        <f>SUMIF(JournalsB!D$14:D$920,TrialBalanceB!M345,JournalsB!J$14:J$920)+SUMIF(JournalsB!E$14:E$920,TrialBalanceB!M345,JournalsB!J$14:J$920)</f>
        <v>0</v>
      </c>
      <c r="H345" s="443"/>
      <c r="I345" s="447">
        <f t="shared" si="68"/>
        <v>0</v>
      </c>
      <c r="J345" s="84"/>
      <c r="K345" s="57">
        <f t="shared" si="72"/>
        <v>0</v>
      </c>
      <c r="M345" s="197" t="str">
        <f t="shared" si="73"/>
        <v>7460/0030</v>
      </c>
      <c r="N345" s="79"/>
      <c r="P345" s="80"/>
      <c r="Q345" s="60"/>
      <c r="R345" s="34"/>
    </row>
    <row r="346" spans="1:18" x14ac:dyDescent="0.2">
      <c r="A346" s="394"/>
      <c r="B346" s="114" t="s">
        <v>747</v>
      </c>
      <c r="C346" s="430">
        <f>TrialBalance!C346</f>
        <v>0</v>
      </c>
      <c r="D346" s="436"/>
      <c r="E346" s="428"/>
      <c r="F346" s="88">
        <f t="shared" si="81"/>
        <v>0</v>
      </c>
      <c r="G346" s="56">
        <f>SUMIF(JournalsB!D$14:D$920,TrialBalanceB!M346,JournalsB!J$14:J$920)+SUMIF(JournalsB!E$14:E$920,TrialBalanceB!M346,JournalsB!J$14:J$920)</f>
        <v>0</v>
      </c>
      <c r="H346" s="443"/>
      <c r="I346" s="447">
        <f t="shared" si="68"/>
        <v>0</v>
      </c>
      <c r="J346" s="84"/>
      <c r="K346" s="57">
        <f t="shared" si="72"/>
        <v>0</v>
      </c>
      <c r="M346" s="197" t="str">
        <f t="shared" si="73"/>
        <v>7460/0040</v>
      </c>
      <c r="N346" s="79"/>
      <c r="P346" s="80"/>
      <c r="Q346" s="60"/>
      <c r="R346" s="34"/>
    </row>
    <row r="347" spans="1:18" x14ac:dyDescent="0.2">
      <c r="A347" s="394"/>
      <c r="B347" s="63" t="s">
        <v>353</v>
      </c>
      <c r="C347" s="398" t="s">
        <v>787</v>
      </c>
      <c r="D347" s="436"/>
      <c r="E347" s="428"/>
      <c r="F347" s="88"/>
      <c r="G347" s="56">
        <f>SUMIF(JournalsB!D$14:D$920,TrialBalanceB!M347,JournalsB!J$14:J$920)+SUMIF(JournalsB!E$14:E$920,TrialBalanceB!M347,JournalsB!J$14:J$920)</f>
        <v>0</v>
      </c>
      <c r="H347" s="443"/>
      <c r="I347" s="447">
        <f t="shared" ref="I347" si="111">ROUND(D347-E347+G347+F347,0)</f>
        <v>0</v>
      </c>
      <c r="J347" s="84"/>
      <c r="K347" s="57">
        <f t="shared" ref="K347" si="112">ROUND(SUM(A347),0)</f>
        <v>0</v>
      </c>
      <c r="M347" s="197" t="str">
        <f t="shared" ref="M347" si="113">CONCATENATE(B347,C347)</f>
        <v>7460/000Interest free</v>
      </c>
      <c r="N347" s="79"/>
      <c r="P347" s="80"/>
      <c r="Q347" s="60"/>
      <c r="R347" s="34"/>
    </row>
    <row r="348" spans="1:18" x14ac:dyDescent="0.2">
      <c r="A348" s="394"/>
      <c r="B348" s="114" t="s">
        <v>747</v>
      </c>
      <c r="C348" s="430">
        <f>TrialBalance!C348</f>
        <v>0</v>
      </c>
      <c r="D348" s="436"/>
      <c r="E348" s="428"/>
      <c r="F348" s="88">
        <f t="shared" si="81"/>
        <v>0</v>
      </c>
      <c r="G348" s="56">
        <f>SUMIF(JournalsB!D$14:D$920,TrialBalanceB!M348,JournalsB!J$14:J$920)+SUMIF(JournalsB!E$14:E$920,TrialBalanceB!M348,JournalsB!J$14:J$920)</f>
        <v>0</v>
      </c>
      <c r="H348" s="443"/>
      <c r="I348" s="447">
        <f t="shared" si="68"/>
        <v>0</v>
      </c>
      <c r="J348" s="84"/>
      <c r="K348" s="57">
        <f t="shared" si="72"/>
        <v>0</v>
      </c>
      <c r="M348" s="197" t="str">
        <f t="shared" si="73"/>
        <v>7460/0040</v>
      </c>
      <c r="N348" s="79"/>
      <c r="P348" s="80"/>
      <c r="Q348" s="60"/>
      <c r="R348" s="34"/>
    </row>
    <row r="349" spans="1:18" x14ac:dyDescent="0.2">
      <c r="A349" s="394"/>
      <c r="B349" s="114" t="s">
        <v>748</v>
      </c>
      <c r="C349" s="430">
        <f>TrialBalance!C349</f>
        <v>0</v>
      </c>
      <c r="D349" s="436"/>
      <c r="E349" s="428"/>
      <c r="F349" s="88">
        <f t="shared" si="81"/>
        <v>0</v>
      </c>
      <c r="G349" s="56">
        <f>SUMIF(JournalsB!D$14:D$920,TrialBalanceB!M349,JournalsB!J$14:J$920)+SUMIF(JournalsB!E$14:E$920,TrialBalanceB!M349,JournalsB!J$14:J$920)</f>
        <v>0</v>
      </c>
      <c r="H349" s="443"/>
      <c r="I349" s="447">
        <f t="shared" si="68"/>
        <v>0</v>
      </c>
      <c r="J349" s="84"/>
      <c r="K349" s="57">
        <f t="shared" si="72"/>
        <v>0</v>
      </c>
      <c r="M349" s="197" t="str">
        <f t="shared" si="73"/>
        <v>7460/0050</v>
      </c>
      <c r="N349" s="79"/>
      <c r="P349" s="80"/>
      <c r="Q349" s="60"/>
      <c r="R349" s="34"/>
    </row>
    <row r="350" spans="1:18" x14ac:dyDescent="0.2">
      <c r="A350" s="394"/>
      <c r="B350" s="114" t="s">
        <v>358</v>
      </c>
      <c r="C350" s="430">
        <f>TrialBalance!C350</f>
        <v>0</v>
      </c>
      <c r="D350" s="436"/>
      <c r="E350" s="428"/>
      <c r="F350" s="88">
        <f>K350</f>
        <v>0</v>
      </c>
      <c r="G350" s="56">
        <f>SUMIF(JournalsB!D$14:D$920,TrialBalanceB!M350,JournalsB!J$14:J$920)+SUMIF(JournalsB!E$14:E$920,TrialBalanceB!M350,JournalsB!J$14:J$920)</f>
        <v>0</v>
      </c>
      <c r="H350" s="443"/>
      <c r="I350" s="447">
        <f t="shared" si="68"/>
        <v>0</v>
      </c>
      <c r="J350" s="84"/>
      <c r="K350" s="57">
        <f t="shared" si="72"/>
        <v>0</v>
      </c>
      <c r="M350" s="197" t="str">
        <f t="shared" si="73"/>
        <v>7460/0060</v>
      </c>
      <c r="N350" s="79"/>
      <c r="P350" s="80"/>
      <c r="Q350" s="60"/>
      <c r="R350" s="34"/>
    </row>
    <row r="351" spans="1:18" x14ac:dyDescent="0.2">
      <c r="A351" s="394"/>
      <c r="B351" s="114" t="s">
        <v>359</v>
      </c>
      <c r="C351" s="430">
        <f>TrialBalance!C351</f>
        <v>0</v>
      </c>
      <c r="D351" s="436"/>
      <c r="E351" s="428"/>
      <c r="F351" s="88">
        <f>K351</f>
        <v>0</v>
      </c>
      <c r="G351" s="56">
        <f>SUMIF(JournalsB!D$14:D$920,TrialBalanceB!M351,JournalsB!J$14:J$920)+SUMIF(JournalsB!E$14:E$920,TrialBalanceB!M351,JournalsB!J$14:J$920)</f>
        <v>0</v>
      </c>
      <c r="H351" s="443"/>
      <c r="I351" s="447">
        <f t="shared" si="68"/>
        <v>0</v>
      </c>
      <c r="J351" s="84"/>
      <c r="K351" s="57">
        <f t="shared" si="72"/>
        <v>0</v>
      </c>
      <c r="M351" s="197" t="str">
        <f t="shared" si="73"/>
        <v>7460/0070</v>
      </c>
      <c r="N351" s="79"/>
      <c r="P351" s="80"/>
      <c r="Q351" s="60"/>
      <c r="R351" s="34"/>
    </row>
    <row r="352" spans="1:18" x14ac:dyDescent="0.2">
      <c r="A352" s="394"/>
      <c r="B352" s="114" t="s">
        <v>591</v>
      </c>
      <c r="C352" s="430">
        <f>TrialBalance!C352</f>
        <v>0</v>
      </c>
      <c r="D352" s="436"/>
      <c r="E352" s="428"/>
      <c r="F352" s="88">
        <f>K352</f>
        <v>0</v>
      </c>
      <c r="G352" s="56">
        <f>SUMIF(JournalsB!D$14:D$920,TrialBalanceB!M352,JournalsB!J$14:J$920)+SUMIF(JournalsB!E$14:E$920,TrialBalanceB!M352,JournalsB!J$14:J$920)</f>
        <v>0</v>
      </c>
      <c r="H352" s="443"/>
      <c r="I352" s="447">
        <f t="shared" si="68"/>
        <v>0</v>
      </c>
      <c r="J352" s="84"/>
      <c r="K352" s="57">
        <f t="shared" si="72"/>
        <v>0</v>
      </c>
      <c r="M352" s="197" t="str">
        <f t="shared" si="73"/>
        <v>7460/0080</v>
      </c>
      <c r="N352" s="79"/>
      <c r="P352" s="80"/>
      <c r="Q352" s="60"/>
      <c r="R352" s="34"/>
    </row>
    <row r="353" spans="1:18" x14ac:dyDescent="0.2">
      <c r="A353" s="394"/>
      <c r="B353" s="63" t="s">
        <v>492</v>
      </c>
      <c r="C353" s="397" t="s">
        <v>58</v>
      </c>
      <c r="D353" s="437"/>
      <c r="E353" s="428"/>
      <c r="F353" s="88"/>
      <c r="G353" s="56">
        <f>SUMIF(JournalsB!D$14:D$920,TrialBalanceB!M353,JournalsB!J$14:J$920)+SUMIF(JournalsB!E$14:E$920,TrialBalanceB!M353,JournalsB!J$14:J$920)</f>
        <v>0</v>
      </c>
      <c r="H353" s="443"/>
      <c r="I353" s="447">
        <f t="shared" si="68"/>
        <v>0</v>
      </c>
      <c r="J353" s="84"/>
      <c r="K353" s="57">
        <f t="shared" si="72"/>
        <v>0</v>
      </c>
      <c r="M353" s="197" t="str">
        <f t="shared" si="73"/>
        <v>7500/000INVENTORY</v>
      </c>
      <c r="N353" s="79"/>
      <c r="P353" s="80"/>
      <c r="Q353" s="60"/>
      <c r="R353" s="34"/>
    </row>
    <row r="354" spans="1:18" x14ac:dyDescent="0.2">
      <c r="A354" s="394"/>
      <c r="B354" s="63" t="s">
        <v>493</v>
      </c>
      <c r="C354" s="395" t="s">
        <v>494</v>
      </c>
      <c r="D354" s="436"/>
      <c r="E354" s="428"/>
      <c r="F354" s="88">
        <f t="shared" si="81"/>
        <v>0</v>
      </c>
      <c r="G354" s="56">
        <f>SUMIF(JournalsB!D$14:D$920,TrialBalanceB!M354,JournalsB!J$14:J$920)+SUMIF(JournalsB!E$14:E$920,TrialBalanceB!M354,JournalsB!J$14:J$920)</f>
        <v>0</v>
      </c>
      <c r="H354" s="443"/>
      <c r="I354" s="447">
        <f t="shared" si="68"/>
        <v>0</v>
      </c>
      <c r="J354" s="84"/>
      <c r="K354" s="57">
        <f t="shared" si="72"/>
        <v>0</v>
      </c>
      <c r="M354" s="197" t="str">
        <f t="shared" si="73"/>
        <v>7500/001Raw materials</v>
      </c>
      <c r="N354" s="79"/>
      <c r="P354" s="80"/>
      <c r="Q354" s="60"/>
      <c r="R354" s="34"/>
    </row>
    <row r="355" spans="1:18" x14ac:dyDescent="0.2">
      <c r="A355" s="394"/>
      <c r="B355" s="63" t="s">
        <v>23</v>
      </c>
      <c r="C355" s="395" t="s">
        <v>24</v>
      </c>
      <c r="D355" s="436"/>
      <c r="E355" s="428"/>
      <c r="F355" s="88">
        <f t="shared" si="81"/>
        <v>0</v>
      </c>
      <c r="G355" s="56">
        <f>SUMIF(JournalsB!D$14:D$920,TrialBalanceB!M355,JournalsB!J$14:J$920)+SUMIF(JournalsB!E$14:E$920,TrialBalanceB!M355,JournalsB!J$14:J$920)</f>
        <v>0</v>
      </c>
      <c r="H355" s="443"/>
      <c r="I355" s="447">
        <f t="shared" ref="I355:I400" si="114">ROUND(D355-E355+G355+F355,0)</f>
        <v>0</v>
      </c>
      <c r="J355" s="84"/>
      <c r="K355" s="57">
        <f t="shared" si="72"/>
        <v>0</v>
      </c>
      <c r="M355" s="197" t="str">
        <f t="shared" si="73"/>
        <v>7500/002Work in progress</v>
      </c>
      <c r="N355" s="79"/>
      <c r="P355" s="80"/>
      <c r="Q355" s="60"/>
      <c r="R355" s="34"/>
    </row>
    <row r="356" spans="1:18" x14ac:dyDescent="0.2">
      <c r="A356" s="394"/>
      <c r="B356" s="63" t="s">
        <v>25</v>
      </c>
      <c r="C356" s="395" t="s">
        <v>26</v>
      </c>
      <c r="D356" s="436"/>
      <c r="E356" s="428"/>
      <c r="F356" s="88">
        <f t="shared" si="81"/>
        <v>0</v>
      </c>
      <c r="G356" s="56">
        <f>SUMIF(JournalsB!D$14:D$920,TrialBalanceB!M356,JournalsB!J$14:J$920)+SUMIF(JournalsB!E$14:E$920,TrialBalanceB!M356,JournalsB!J$14:J$920)</f>
        <v>0</v>
      </c>
      <c r="H356" s="443"/>
      <c r="I356" s="447">
        <f t="shared" si="114"/>
        <v>0</v>
      </c>
      <c r="J356" s="84"/>
      <c r="K356" s="57">
        <f t="shared" si="72"/>
        <v>0</v>
      </c>
      <c r="M356" s="197" t="str">
        <f t="shared" si="73"/>
        <v>7500/003Finished goods</v>
      </c>
      <c r="N356" s="79"/>
      <c r="P356" s="80"/>
      <c r="Q356" s="60"/>
      <c r="R356" s="34"/>
    </row>
    <row r="357" spans="1:18" x14ac:dyDescent="0.2">
      <c r="A357" s="394"/>
      <c r="B357" s="63" t="s">
        <v>29</v>
      </c>
      <c r="C357" s="395" t="s">
        <v>30</v>
      </c>
      <c r="D357" s="436"/>
      <c r="E357" s="428"/>
      <c r="F357" s="88">
        <f t="shared" si="81"/>
        <v>0</v>
      </c>
      <c r="G357" s="56">
        <f>SUMIF(JournalsB!D$14:D$920,TrialBalanceB!M357,JournalsB!J$14:J$920)+SUMIF(JournalsB!E$14:E$920,TrialBalanceB!M357,JournalsB!J$14:J$920)</f>
        <v>0</v>
      </c>
      <c r="H357" s="443"/>
      <c r="I357" s="447">
        <f t="shared" si="114"/>
        <v>0</v>
      </c>
      <c r="J357" s="84"/>
      <c r="K357" s="57">
        <f t="shared" si="72"/>
        <v>0</v>
      </c>
      <c r="M357" s="197" t="str">
        <f t="shared" si="73"/>
        <v>7500/004Trading stock</v>
      </c>
      <c r="N357" s="79"/>
      <c r="P357" s="80"/>
      <c r="Q357" s="60"/>
      <c r="R357" s="34"/>
    </row>
    <row r="358" spans="1:18" x14ac:dyDescent="0.2">
      <c r="A358" s="394"/>
      <c r="B358" s="63" t="s">
        <v>32</v>
      </c>
      <c r="C358" s="397" t="s">
        <v>33</v>
      </c>
      <c r="D358" s="437"/>
      <c r="E358" s="428"/>
      <c r="F358" s="88"/>
      <c r="G358" s="56">
        <f>SUMIF(JournalsB!D$14:D$920,TrialBalanceB!M358,JournalsB!J$14:J$920)+SUMIF(JournalsB!E$14:E$920,TrialBalanceB!M358,JournalsB!J$14:J$920)</f>
        <v>0</v>
      </c>
      <c r="H358" s="443"/>
      <c r="I358" s="447">
        <f t="shared" si="114"/>
        <v>0</v>
      </c>
      <c r="J358" s="84"/>
      <c r="K358" s="57">
        <f t="shared" si="72"/>
        <v>0</v>
      </c>
      <c r="M358" s="197" t="str">
        <f t="shared" si="73"/>
        <v>8000/000DEBTORS</v>
      </c>
      <c r="N358" s="79"/>
      <c r="P358" s="80"/>
      <c r="Q358" s="60"/>
      <c r="R358" s="34"/>
    </row>
    <row r="359" spans="1:18" x14ac:dyDescent="0.2">
      <c r="A359" s="394"/>
      <c r="B359" s="63" t="s">
        <v>34</v>
      </c>
      <c r="C359" s="395" t="s">
        <v>35</v>
      </c>
      <c r="D359" s="436"/>
      <c r="E359" s="428"/>
      <c r="F359" s="88">
        <f t="shared" si="81"/>
        <v>0</v>
      </c>
      <c r="G359" s="56">
        <f>SUMIF(JournalsB!D$14:D$920,TrialBalanceB!M359,JournalsB!J$14:J$920)+SUMIF(JournalsB!E$14:E$920,TrialBalanceB!M359,JournalsB!J$14:J$920)</f>
        <v>0</v>
      </c>
      <c r="H359" s="443"/>
      <c r="I359" s="447">
        <f t="shared" si="114"/>
        <v>0</v>
      </c>
      <c r="J359" s="84"/>
      <c r="K359" s="57">
        <f t="shared" si="72"/>
        <v>0</v>
      </c>
      <c r="M359" s="197" t="str">
        <f t="shared" si="73"/>
        <v>8010/000Trade debtors</v>
      </c>
      <c r="N359" s="79"/>
      <c r="P359" s="80"/>
      <c r="Q359" s="60"/>
      <c r="R359" s="34"/>
    </row>
    <row r="360" spans="1:18" x14ac:dyDescent="0.2">
      <c r="A360" s="394"/>
      <c r="B360" s="114" t="s">
        <v>36</v>
      </c>
      <c r="C360" s="398" t="s">
        <v>689</v>
      </c>
      <c r="D360" s="436"/>
      <c r="E360" s="428"/>
      <c r="F360" s="88">
        <f t="shared" si="81"/>
        <v>0</v>
      </c>
      <c r="G360" s="56">
        <f>SUMIF(JournalsB!D$14:D$920,TrialBalanceB!M360,JournalsB!J$14:J$920)+SUMIF(JournalsB!E$14:E$920,TrialBalanceB!M360,JournalsB!J$14:J$920)</f>
        <v>0</v>
      </c>
      <c r="H360" s="443"/>
      <c r="I360" s="447">
        <f t="shared" si="114"/>
        <v>0</v>
      </c>
      <c r="J360" s="84"/>
      <c r="K360" s="57">
        <f t="shared" si="72"/>
        <v>0</v>
      </c>
      <c r="M360" s="197" t="str">
        <f t="shared" si="73"/>
        <v>8020/000Less: Provision for doubtful debts</v>
      </c>
      <c r="N360" s="79"/>
      <c r="P360" s="80"/>
      <c r="Q360" s="60"/>
      <c r="R360" s="34"/>
    </row>
    <row r="361" spans="1:18" x14ac:dyDescent="0.2">
      <c r="A361" s="394"/>
      <c r="B361" s="114" t="s">
        <v>691</v>
      </c>
      <c r="C361" s="395" t="s">
        <v>394</v>
      </c>
      <c r="D361" s="436"/>
      <c r="E361" s="428"/>
      <c r="F361" s="88">
        <f t="shared" si="81"/>
        <v>0</v>
      </c>
      <c r="G361" s="56">
        <f>SUMIF(JournalsB!D$14:D$920,TrialBalanceB!M361,JournalsB!J$14:J$920)+SUMIF(JournalsB!E$14:E$920,TrialBalanceB!M361,JournalsB!J$14:J$920)</f>
        <v>0</v>
      </c>
      <c r="H361" s="443"/>
      <c r="I361" s="447">
        <f t="shared" si="114"/>
        <v>0</v>
      </c>
      <c r="J361" s="84"/>
      <c r="K361" s="57">
        <f t="shared" si="72"/>
        <v>0</v>
      </c>
      <c r="M361" s="197" t="str">
        <f t="shared" si="73"/>
        <v>8030/000Service deposits</v>
      </c>
      <c r="N361" s="79"/>
      <c r="P361" s="80"/>
      <c r="Q361" s="60"/>
      <c r="R361" s="34"/>
    </row>
    <row r="362" spans="1:18" x14ac:dyDescent="0.2">
      <c r="A362" s="394"/>
      <c r="B362" s="63" t="s">
        <v>554</v>
      </c>
      <c r="C362" s="398" t="s">
        <v>1034</v>
      </c>
      <c r="D362" s="436"/>
      <c r="E362" s="428"/>
      <c r="F362" s="88">
        <f t="shared" si="81"/>
        <v>0</v>
      </c>
      <c r="G362" s="56">
        <f>SUMIF(JournalsB!D$14:D$920,TrialBalanceB!M362,JournalsB!J$14:J$920)+SUMIF(JournalsB!E$14:E$920,TrialBalanceB!M362,JournalsB!J$14:J$920)</f>
        <v>0</v>
      </c>
      <c r="H362" s="443"/>
      <c r="I362" s="447">
        <f t="shared" si="114"/>
        <v>0</v>
      </c>
      <c r="J362" s="84"/>
      <c r="K362" s="57">
        <f t="shared" si="72"/>
        <v>0</v>
      </c>
      <c r="M362" s="197" t="str">
        <f t="shared" si="73"/>
        <v>8200/000Sundry customers</v>
      </c>
      <c r="N362" s="79"/>
      <c r="P362" s="80"/>
      <c r="Q362" s="60"/>
      <c r="R362" s="34"/>
    </row>
    <row r="363" spans="1:18" x14ac:dyDescent="0.2">
      <c r="A363" s="394"/>
      <c r="B363" s="63" t="s">
        <v>555</v>
      </c>
      <c r="C363" s="395" t="s">
        <v>450</v>
      </c>
      <c r="D363" s="436"/>
      <c r="E363" s="428"/>
      <c r="F363" s="88">
        <f t="shared" si="81"/>
        <v>0</v>
      </c>
      <c r="G363" s="56">
        <f>SUMIF(JournalsB!D$14:D$920,TrialBalanceB!M363,JournalsB!J$14:J$920)+SUMIF(JournalsB!E$14:E$920,TrialBalanceB!M363,JournalsB!J$14:J$920)</f>
        <v>0</v>
      </c>
      <c r="H363" s="443"/>
      <c r="I363" s="447">
        <f t="shared" si="114"/>
        <v>0</v>
      </c>
      <c r="J363" s="84"/>
      <c r="K363" s="57">
        <f t="shared" si="72"/>
        <v>0</v>
      </c>
      <c r="M363" s="197" t="str">
        <f t="shared" si="73"/>
        <v>8200/010Prepayments</v>
      </c>
      <c r="N363" s="79"/>
      <c r="P363" s="80"/>
      <c r="Q363" s="60"/>
      <c r="R363" s="34"/>
    </row>
    <row r="364" spans="1:18" x14ac:dyDescent="0.2">
      <c r="A364" s="394"/>
      <c r="B364" s="63" t="s">
        <v>293</v>
      </c>
      <c r="C364" s="396" t="s">
        <v>657</v>
      </c>
      <c r="D364" s="428"/>
      <c r="E364" s="428"/>
      <c r="F364" s="88">
        <f t="shared" si="81"/>
        <v>0</v>
      </c>
      <c r="G364" s="56">
        <f>SUMIF(JournalsB!D$14:D$920,TrialBalanceB!M364,JournalsB!J$14:J$920)+SUMIF(JournalsB!E$14:E$920,TrialBalanceB!M364,JournalsB!J$14:J$920)</f>
        <v>0</v>
      </c>
      <c r="H364" s="443"/>
      <c r="I364" s="447">
        <f t="shared" si="114"/>
        <v>0</v>
      </c>
      <c r="J364" s="84"/>
      <c r="K364" s="57">
        <f t="shared" si="72"/>
        <v>0</v>
      </c>
      <c r="M364" s="197" t="str">
        <f t="shared" si="73"/>
        <v>8200/020Staff loans</v>
      </c>
      <c r="N364" s="79"/>
      <c r="P364" s="80"/>
      <c r="Q364" s="60"/>
      <c r="R364" s="34"/>
    </row>
    <row r="365" spans="1:18" x14ac:dyDescent="0.2">
      <c r="A365" s="394"/>
      <c r="B365" s="63" t="s">
        <v>294</v>
      </c>
      <c r="C365" s="400" t="s">
        <v>154</v>
      </c>
      <c r="D365" s="426"/>
      <c r="E365" s="428"/>
      <c r="F365" s="88"/>
      <c r="G365" s="56">
        <f>SUMIF(JournalsB!D$14:D$920,TrialBalanceB!M365,JournalsB!J$14:J$920)+SUMIF(JournalsB!E$14:E$920,TrialBalanceB!M365,JournalsB!J$14:J$920)</f>
        <v>0</v>
      </c>
      <c r="H365" s="443"/>
      <c r="I365" s="447">
        <f t="shared" si="114"/>
        <v>0</v>
      </c>
      <c r="J365" s="84"/>
      <c r="K365" s="57">
        <f t="shared" si="72"/>
        <v>0</v>
      </c>
      <c r="M365" s="197" t="str">
        <f t="shared" si="73"/>
        <v>8400/000BANK ACCOUNTS</v>
      </c>
      <c r="N365" s="79"/>
      <c r="P365" s="80"/>
      <c r="Q365" s="60"/>
      <c r="R365" s="34"/>
    </row>
    <row r="366" spans="1:18" x14ac:dyDescent="0.2">
      <c r="A366" s="394"/>
      <c r="B366" s="63" t="s">
        <v>295</v>
      </c>
      <c r="C366" s="430">
        <f>TrialBalance!C366</f>
        <v>0</v>
      </c>
      <c r="D366" s="435"/>
      <c r="E366" s="428"/>
      <c r="F366" s="88">
        <f t="shared" si="81"/>
        <v>0</v>
      </c>
      <c r="G366" s="56">
        <f>SUMIF(JournalsB!D$14:D$920,TrialBalanceB!M366,JournalsB!J$14:J$920)+SUMIF(JournalsB!E$14:E$920,TrialBalanceB!M366,JournalsB!J$14:J$920)</f>
        <v>0</v>
      </c>
      <c r="H366" s="443"/>
      <c r="I366" s="447">
        <f t="shared" si="114"/>
        <v>0</v>
      </c>
      <c r="J366" s="84"/>
      <c r="K366" s="57">
        <f t="shared" si="72"/>
        <v>0</v>
      </c>
      <c r="M366" s="197" t="str">
        <f t="shared" si="73"/>
        <v>8410/0000</v>
      </c>
      <c r="N366" s="79"/>
      <c r="P366" s="80"/>
      <c r="Q366" s="60"/>
      <c r="R366" s="34"/>
    </row>
    <row r="367" spans="1:18" x14ac:dyDescent="0.2">
      <c r="A367" s="394"/>
      <c r="B367" s="63" t="s">
        <v>296</v>
      </c>
      <c r="C367" s="430">
        <f>TrialBalance!C367</f>
        <v>0</v>
      </c>
      <c r="D367" s="435"/>
      <c r="E367" s="428"/>
      <c r="F367" s="88">
        <f t="shared" si="81"/>
        <v>0</v>
      </c>
      <c r="G367" s="56">
        <f>SUMIF(JournalsB!D$14:D$920,TrialBalanceB!M367,JournalsB!J$14:J$920)+SUMIF(JournalsB!E$14:E$920,TrialBalanceB!M367,JournalsB!J$14:J$920)</f>
        <v>0</v>
      </c>
      <c r="H367" s="443"/>
      <c r="I367" s="447">
        <f t="shared" si="114"/>
        <v>0</v>
      </c>
      <c r="J367" s="84"/>
      <c r="K367" s="57">
        <f t="shared" si="72"/>
        <v>0</v>
      </c>
      <c r="M367" s="197" t="str">
        <f t="shared" si="73"/>
        <v>8420/0000</v>
      </c>
      <c r="N367" s="79"/>
      <c r="P367" s="80"/>
      <c r="Q367" s="60"/>
      <c r="R367" s="34"/>
    </row>
    <row r="368" spans="1:18" x14ac:dyDescent="0.2">
      <c r="A368" s="394"/>
      <c r="B368" s="63" t="s">
        <v>297</v>
      </c>
      <c r="C368" s="430">
        <f>TrialBalance!C368</f>
        <v>0</v>
      </c>
      <c r="D368" s="428"/>
      <c r="E368" s="428"/>
      <c r="F368" s="88">
        <f t="shared" si="81"/>
        <v>0</v>
      </c>
      <c r="G368" s="56">
        <f>SUMIF(JournalsB!D$14:D$920,TrialBalanceB!M368,JournalsB!J$14:J$920)+SUMIF(JournalsB!E$14:E$920,TrialBalanceB!M368,JournalsB!J$14:J$920)</f>
        <v>0</v>
      </c>
      <c r="H368" s="443"/>
      <c r="I368" s="447">
        <f t="shared" si="114"/>
        <v>0</v>
      </c>
      <c r="J368" s="84"/>
      <c r="K368" s="57">
        <f t="shared" si="72"/>
        <v>0</v>
      </c>
      <c r="M368" s="197" t="str">
        <f t="shared" si="73"/>
        <v>8430/0000</v>
      </c>
      <c r="N368" s="79"/>
      <c r="P368" s="80"/>
      <c r="Q368" s="60"/>
      <c r="R368" s="34"/>
    </row>
    <row r="369" spans="1:18" x14ac:dyDescent="0.2">
      <c r="A369" s="394"/>
      <c r="B369" s="63" t="s">
        <v>298</v>
      </c>
      <c r="C369" s="430">
        <f>TrialBalance!C369</f>
        <v>0</v>
      </c>
      <c r="D369" s="436"/>
      <c r="E369" s="428"/>
      <c r="F369" s="88">
        <f t="shared" si="81"/>
        <v>0</v>
      </c>
      <c r="G369" s="56">
        <f>SUMIF(JournalsB!D$14:D$920,TrialBalanceB!M369,JournalsB!J$14:J$920)+SUMIF(JournalsB!E$14:E$920,TrialBalanceB!M369,JournalsB!J$14:J$920)</f>
        <v>0</v>
      </c>
      <c r="H369" s="443"/>
      <c r="I369" s="447">
        <f t="shared" si="114"/>
        <v>0</v>
      </c>
      <c r="J369" s="84"/>
      <c r="K369" s="57">
        <f t="shared" si="72"/>
        <v>0</v>
      </c>
      <c r="M369" s="197" t="str">
        <f t="shared" si="73"/>
        <v>8440/0000</v>
      </c>
      <c r="N369" s="79"/>
      <c r="P369" s="80"/>
      <c r="Q369" s="60"/>
      <c r="R369" s="34"/>
    </row>
    <row r="370" spans="1:18" x14ac:dyDescent="0.2">
      <c r="A370" s="394"/>
      <c r="B370" s="63" t="s">
        <v>299</v>
      </c>
      <c r="C370" s="430">
        <f>TrialBalance!C370</f>
        <v>0</v>
      </c>
      <c r="D370" s="436"/>
      <c r="E370" s="428"/>
      <c r="F370" s="88">
        <f t="shared" si="81"/>
        <v>0</v>
      </c>
      <c r="G370" s="56">
        <f>SUMIF(JournalsB!D$14:D$920,TrialBalanceB!M370,JournalsB!J$14:J$920)+SUMIF(JournalsB!E$14:E$920,TrialBalanceB!M370,JournalsB!J$14:J$920)</f>
        <v>0</v>
      </c>
      <c r="H370" s="443"/>
      <c r="I370" s="447">
        <f t="shared" si="114"/>
        <v>0</v>
      </c>
      <c r="J370" s="84"/>
      <c r="K370" s="57">
        <f t="shared" si="72"/>
        <v>0</v>
      </c>
      <c r="M370" s="197" t="str">
        <f t="shared" si="73"/>
        <v>8450/0000</v>
      </c>
      <c r="N370" s="79"/>
      <c r="P370" s="80"/>
      <c r="Q370" s="60"/>
      <c r="R370" s="34"/>
    </row>
    <row r="371" spans="1:18" x14ac:dyDescent="0.2">
      <c r="A371" s="394"/>
      <c r="B371" s="63" t="s">
        <v>155</v>
      </c>
      <c r="C371" s="430">
        <f>TrialBalance!C371</f>
        <v>0</v>
      </c>
      <c r="D371" s="436"/>
      <c r="E371" s="428"/>
      <c r="F371" s="88">
        <f t="shared" si="81"/>
        <v>0</v>
      </c>
      <c r="G371" s="56">
        <f>SUMIF(JournalsB!D$14:D$920,TrialBalanceB!M371,JournalsB!J$14:J$920)+SUMIF(JournalsB!E$14:E$920,TrialBalanceB!M371,JournalsB!J$14:J$920)</f>
        <v>0</v>
      </c>
      <c r="H371" s="443"/>
      <c r="I371" s="447">
        <f t="shared" si="114"/>
        <v>0</v>
      </c>
      <c r="J371" s="84"/>
      <c r="K371" s="57">
        <f t="shared" si="72"/>
        <v>0</v>
      </c>
      <c r="M371" s="197" t="str">
        <f t="shared" si="73"/>
        <v>8460/0000</v>
      </c>
      <c r="N371" s="79"/>
      <c r="P371" s="80"/>
      <c r="Q371" s="60"/>
      <c r="R371" s="34"/>
    </row>
    <row r="372" spans="1:18" x14ac:dyDescent="0.2">
      <c r="A372" s="394"/>
      <c r="B372" s="63" t="s">
        <v>501</v>
      </c>
      <c r="C372" s="402" t="s">
        <v>502</v>
      </c>
      <c r="D372" s="428"/>
      <c r="E372" s="428"/>
      <c r="F372" s="88">
        <f t="shared" si="81"/>
        <v>0</v>
      </c>
      <c r="G372" s="56">
        <f>SUMIF(JournalsB!D$14:D$920,TrialBalanceB!M372,JournalsB!J$14:J$920)+SUMIF(JournalsB!E$14:E$920,TrialBalanceB!M372,JournalsB!J$14:J$920)</f>
        <v>0</v>
      </c>
      <c r="H372" s="443"/>
      <c r="I372" s="447">
        <f t="shared" si="114"/>
        <v>0</v>
      </c>
      <c r="J372" s="84"/>
      <c r="K372" s="57">
        <f t="shared" si="72"/>
        <v>0</v>
      </c>
      <c r="M372" s="197" t="str">
        <f t="shared" si="73"/>
        <v>8500/000Cash on hand</v>
      </c>
      <c r="N372" s="79"/>
      <c r="P372" s="80"/>
      <c r="Q372" s="60"/>
      <c r="R372" s="34"/>
    </row>
    <row r="373" spans="1:18" x14ac:dyDescent="0.2">
      <c r="A373" s="394"/>
      <c r="B373" s="63" t="s">
        <v>503</v>
      </c>
      <c r="C373" s="400" t="s">
        <v>347</v>
      </c>
      <c r="D373" s="426"/>
      <c r="E373" s="428"/>
      <c r="F373" s="88"/>
      <c r="G373" s="56">
        <f>SUMIF(JournalsB!D$14:D$920,TrialBalanceB!M373,JournalsB!J$14:J$920)+SUMIF(JournalsB!E$14:E$920,TrialBalanceB!M373,JournalsB!J$14:J$920)</f>
        <v>0</v>
      </c>
      <c r="H373" s="443"/>
      <c r="I373" s="447">
        <f t="shared" si="114"/>
        <v>0</v>
      </c>
      <c r="J373" s="84"/>
      <c r="K373" s="57">
        <f t="shared" si="72"/>
        <v>0</v>
      </c>
      <c r="M373" s="197" t="str">
        <f t="shared" si="73"/>
        <v>8900/000SHORT TERM LOANS</v>
      </c>
      <c r="N373" s="79"/>
      <c r="P373" s="80"/>
      <c r="Q373" s="60"/>
      <c r="R373" s="34"/>
    </row>
    <row r="374" spans="1:18" x14ac:dyDescent="0.2">
      <c r="A374" s="394"/>
      <c r="B374" s="63" t="s">
        <v>504</v>
      </c>
      <c r="C374" s="430">
        <f>TrialBalance!C374</f>
        <v>0</v>
      </c>
      <c r="D374" s="428"/>
      <c r="E374" s="428"/>
      <c r="F374" s="88">
        <f t="shared" si="81"/>
        <v>0</v>
      </c>
      <c r="G374" s="56">
        <f>SUMIF(JournalsB!D$14:D$920,TrialBalanceB!M374,JournalsB!J$14:J$920)+SUMIF(JournalsB!E$14:E$920,TrialBalanceB!M374,JournalsB!J$14:J$920)</f>
        <v>0</v>
      </c>
      <c r="H374" s="443"/>
      <c r="I374" s="447">
        <f t="shared" si="114"/>
        <v>0</v>
      </c>
      <c r="J374" s="84"/>
      <c r="K374" s="57">
        <f t="shared" si="72"/>
        <v>0</v>
      </c>
      <c r="M374" s="197" t="str">
        <f t="shared" si="73"/>
        <v>8900/0010</v>
      </c>
      <c r="N374" s="79"/>
      <c r="P374" s="80"/>
      <c r="Q374" s="60"/>
      <c r="R374" s="34"/>
    </row>
    <row r="375" spans="1:18" x14ac:dyDescent="0.2">
      <c r="A375" s="394"/>
      <c r="B375" s="63" t="s">
        <v>505</v>
      </c>
      <c r="C375" s="430">
        <f>TrialBalance!C375</f>
        <v>0</v>
      </c>
      <c r="D375" s="436"/>
      <c r="E375" s="428"/>
      <c r="F375" s="88">
        <f t="shared" si="81"/>
        <v>0</v>
      </c>
      <c r="G375" s="56">
        <f>SUMIF(JournalsB!D$14:D$920,TrialBalanceB!M375,JournalsB!J$14:J$920)+SUMIF(JournalsB!E$14:E$920,TrialBalanceB!M375,JournalsB!J$14:J$920)</f>
        <v>0</v>
      </c>
      <c r="H375" s="443"/>
      <c r="I375" s="447">
        <f t="shared" si="114"/>
        <v>0</v>
      </c>
      <c r="J375" s="84"/>
      <c r="K375" s="57">
        <f t="shared" si="72"/>
        <v>0</v>
      </c>
      <c r="M375" s="197" t="str">
        <f t="shared" si="73"/>
        <v>8900/0020</v>
      </c>
      <c r="N375" s="79"/>
      <c r="P375" s="80"/>
      <c r="Q375" s="60"/>
      <c r="R375" s="34"/>
    </row>
    <row r="376" spans="1:18" x14ac:dyDescent="0.2">
      <c r="A376" s="394"/>
      <c r="B376" s="63" t="s">
        <v>506</v>
      </c>
      <c r="C376" s="430">
        <f>TrialBalance!C376</f>
        <v>0</v>
      </c>
      <c r="D376" s="436"/>
      <c r="E376" s="428"/>
      <c r="F376" s="88">
        <f t="shared" si="81"/>
        <v>0</v>
      </c>
      <c r="G376" s="56">
        <f>SUMIF(JournalsB!D$14:D$920,TrialBalanceB!M376,JournalsB!J$14:J$920)+SUMIF(JournalsB!E$14:E$920,TrialBalanceB!M376,JournalsB!J$14:J$920)</f>
        <v>0</v>
      </c>
      <c r="H376" s="443"/>
      <c r="I376" s="447">
        <f t="shared" si="114"/>
        <v>0</v>
      </c>
      <c r="J376" s="84"/>
      <c r="K376" s="57">
        <f t="shared" si="72"/>
        <v>0</v>
      </c>
      <c r="M376" s="197" t="str">
        <f t="shared" si="73"/>
        <v>8900/0030</v>
      </c>
      <c r="N376" s="79"/>
      <c r="P376" s="80"/>
      <c r="Q376" s="60"/>
      <c r="R376" s="34"/>
    </row>
    <row r="377" spans="1:18" x14ac:dyDescent="0.2">
      <c r="A377" s="394"/>
      <c r="B377" s="63" t="s">
        <v>507</v>
      </c>
      <c r="C377" s="397" t="s">
        <v>311</v>
      </c>
      <c r="D377" s="437"/>
      <c r="E377" s="428"/>
      <c r="F377" s="88"/>
      <c r="G377" s="56">
        <f>SUMIF(JournalsB!D$14:D$920,TrialBalanceB!M377,JournalsB!J$14:J$920)+SUMIF(JournalsB!E$14:E$920,TrialBalanceB!M377,JournalsB!J$14:J$920)</f>
        <v>0</v>
      </c>
      <c r="H377" s="443"/>
      <c r="I377" s="447">
        <f t="shared" si="114"/>
        <v>0</v>
      </c>
      <c r="J377" s="84"/>
      <c r="K377" s="57">
        <f t="shared" si="72"/>
        <v>0</v>
      </c>
      <c r="M377" s="197" t="str">
        <f t="shared" si="73"/>
        <v>8900/004Short term portion of long term loans</v>
      </c>
      <c r="N377" s="79"/>
      <c r="P377" s="80"/>
      <c r="Q377" s="60"/>
      <c r="R377" s="34"/>
    </row>
    <row r="378" spans="1:18" x14ac:dyDescent="0.2">
      <c r="A378" s="394"/>
      <c r="B378" s="63" t="s">
        <v>508</v>
      </c>
      <c r="C378" s="397" t="s">
        <v>509</v>
      </c>
      <c r="D378" s="437"/>
      <c r="E378" s="428"/>
      <c r="F378" s="88"/>
      <c r="G378" s="56">
        <f>SUMIF(JournalsB!D$14:D$920,TrialBalanceB!M378,JournalsB!J$14:J$920)+SUMIF(JournalsB!E$14:E$920,TrialBalanceB!M378,JournalsB!J$14:J$920)</f>
        <v>0</v>
      </c>
      <c r="H378" s="443"/>
      <c r="I378" s="447">
        <f t="shared" si="114"/>
        <v>0</v>
      </c>
      <c r="J378" s="84"/>
      <c r="K378" s="57">
        <f t="shared" si="72"/>
        <v>0</v>
      </c>
      <c r="M378" s="197" t="str">
        <f t="shared" si="73"/>
        <v>9000/000CREDITORS</v>
      </c>
      <c r="N378" s="79"/>
      <c r="P378" s="80"/>
      <c r="Q378" s="60"/>
      <c r="R378" s="34"/>
    </row>
    <row r="379" spans="1:18" x14ac:dyDescent="0.2">
      <c r="A379" s="394"/>
      <c r="B379" s="63" t="s">
        <v>510</v>
      </c>
      <c r="C379" s="395" t="s">
        <v>511</v>
      </c>
      <c r="D379" s="436"/>
      <c r="E379" s="428"/>
      <c r="F379" s="88">
        <f>K379</f>
        <v>0</v>
      </c>
      <c r="G379" s="56">
        <f>SUMIF(JournalsB!D$14:D$920,TrialBalanceB!M379,JournalsB!J$14:J$920)+SUMIF(JournalsB!E$14:E$920,TrialBalanceB!M379,JournalsB!J$14:J$920)</f>
        <v>0</v>
      </c>
      <c r="H379" s="443"/>
      <c r="I379" s="447">
        <f t="shared" si="114"/>
        <v>0</v>
      </c>
      <c r="J379" s="84"/>
      <c r="K379" s="57">
        <f t="shared" si="72"/>
        <v>0</v>
      </c>
      <c r="M379" s="197" t="str">
        <f t="shared" si="73"/>
        <v>9010/000Trade creditors</v>
      </c>
      <c r="N379" s="79"/>
      <c r="P379" s="80"/>
      <c r="Q379" s="60"/>
      <c r="R379" s="34"/>
    </row>
    <row r="380" spans="1:18" x14ac:dyDescent="0.2">
      <c r="A380" s="394"/>
      <c r="B380" s="63" t="s">
        <v>512</v>
      </c>
      <c r="C380" s="398" t="s">
        <v>676</v>
      </c>
      <c r="D380" s="436"/>
      <c r="E380" s="428"/>
      <c r="F380" s="88">
        <f>K380</f>
        <v>0</v>
      </c>
      <c r="G380" s="56">
        <f>SUMIF(JournalsB!D$14:D$920,TrialBalanceB!M380,JournalsB!J$14:J$920)+SUMIF(JournalsB!E$14:E$920,TrialBalanceB!M380,JournalsB!J$14:J$920)</f>
        <v>0</v>
      </c>
      <c r="H380" s="443"/>
      <c r="I380" s="447">
        <f t="shared" si="114"/>
        <v>0</v>
      </c>
      <c r="J380" s="84"/>
      <c r="K380" s="57">
        <f t="shared" si="72"/>
        <v>0</v>
      </c>
      <c r="M380" s="197" t="str">
        <f t="shared" si="73"/>
        <v>9200/000Sundry suppliers</v>
      </c>
      <c r="N380" s="79"/>
      <c r="P380" s="80"/>
      <c r="Q380" s="60"/>
      <c r="R380" s="34"/>
    </row>
    <row r="381" spans="1:18" x14ac:dyDescent="0.2">
      <c r="A381" s="394"/>
      <c r="B381" s="63" t="s">
        <v>513</v>
      </c>
      <c r="C381" s="398" t="s">
        <v>984</v>
      </c>
      <c r="D381" s="438"/>
      <c r="E381" s="428"/>
      <c r="F381" s="88">
        <f>K381</f>
        <v>0</v>
      </c>
      <c r="G381" s="56">
        <f>SUMIF(JournalsB!D$14:D$920,TrialBalanceB!M381,JournalsB!J$14:J$920)+SUMIF(JournalsB!E$14:E$920,TrialBalanceB!M381,JournalsB!J$14:J$920)</f>
        <v>0</v>
      </c>
      <c r="H381" s="443"/>
      <c r="I381" s="447">
        <f t="shared" si="114"/>
        <v>0</v>
      </c>
      <c r="J381" s="84"/>
      <c r="K381" s="57">
        <f t="shared" si="72"/>
        <v>0</v>
      </c>
      <c r="M381" s="197" t="str">
        <f t="shared" si="73"/>
        <v>9200/010Audit and accounting fee accrual</v>
      </c>
      <c r="N381" s="79"/>
      <c r="P381" s="80"/>
      <c r="Q381" s="60"/>
      <c r="R381" s="34"/>
    </row>
    <row r="382" spans="1:18" x14ac:dyDescent="0.2">
      <c r="A382" s="394"/>
      <c r="B382" s="63" t="s">
        <v>514</v>
      </c>
      <c r="C382" s="398" t="s">
        <v>677</v>
      </c>
      <c r="D382" s="436"/>
      <c r="E382" s="428"/>
      <c r="F382" s="88">
        <f>K382</f>
        <v>0</v>
      </c>
      <c r="G382" s="56">
        <f>SUMIF(JournalsB!D$14:D$920,TrialBalanceB!M382,JournalsB!J$14:J$920)+SUMIF(JournalsB!E$14:E$920,TrialBalanceB!M382,JournalsB!J$14:J$920)</f>
        <v>0</v>
      </c>
      <c r="H382" s="443"/>
      <c r="I382" s="447">
        <f t="shared" si="114"/>
        <v>0</v>
      </c>
      <c r="J382" s="84"/>
      <c r="K382" s="57">
        <f t="shared" si="72"/>
        <v>0</v>
      </c>
      <c r="M382" s="197" t="str">
        <f t="shared" si="73"/>
        <v>9200/020Other accruals</v>
      </c>
      <c r="N382" s="79"/>
      <c r="P382" s="80"/>
      <c r="Q382" s="60"/>
      <c r="R382" s="34"/>
    </row>
    <row r="383" spans="1:18" x14ac:dyDescent="0.2">
      <c r="A383" s="394"/>
      <c r="B383" s="63" t="s">
        <v>515</v>
      </c>
      <c r="C383" s="398" t="s">
        <v>963</v>
      </c>
      <c r="D383" s="436"/>
      <c r="E383" s="428"/>
      <c r="F383" s="88">
        <f>K383</f>
        <v>0</v>
      </c>
      <c r="G383" s="56">
        <f>SUMIF(JournalsB!D$14:D$920,TrialBalanceB!M383,JournalsB!J$14:J$920)+SUMIF(JournalsB!E$14:E$920,TrialBalanceB!M383,JournalsB!J$14:J$920)</f>
        <v>0</v>
      </c>
      <c r="H383" s="443"/>
      <c r="I383" s="447">
        <f t="shared" si="114"/>
        <v>0</v>
      </c>
      <c r="J383" s="84"/>
      <c r="K383" s="57">
        <f t="shared" si="72"/>
        <v>0</v>
      </c>
      <c r="M383" s="197" t="str">
        <f t="shared" si="73"/>
        <v>9250/000Salary and wages control</v>
      </c>
      <c r="N383" s="79"/>
      <c r="P383" s="80"/>
      <c r="Q383" s="60"/>
      <c r="R383" s="34"/>
    </row>
    <row r="384" spans="1:18" x14ac:dyDescent="0.2">
      <c r="A384" s="394"/>
      <c r="B384" s="63" t="s">
        <v>403</v>
      </c>
      <c r="C384" s="397" t="s">
        <v>141</v>
      </c>
      <c r="D384" s="437"/>
      <c r="E384" s="428"/>
      <c r="F384" s="88"/>
      <c r="G384" s="56">
        <f>SUMIF(JournalsB!D$14:D$920,TrialBalanceB!M384,JournalsB!J$14:J$920)+SUMIF(JournalsB!E$14:E$920,TrialBalanceB!M384,JournalsB!J$14:J$920)</f>
        <v>0</v>
      </c>
      <c r="H384" s="443"/>
      <c r="I384" s="447">
        <f t="shared" si="114"/>
        <v>0</v>
      </c>
      <c r="J384" s="84"/>
      <c r="K384" s="57">
        <f t="shared" si="72"/>
        <v>0</v>
      </c>
      <c r="M384" s="197" t="str">
        <f t="shared" si="73"/>
        <v>9300/000TAXATION</v>
      </c>
      <c r="N384" s="79"/>
      <c r="P384" s="80"/>
      <c r="Q384" s="60"/>
      <c r="R384" s="34"/>
    </row>
    <row r="385" spans="1:18" x14ac:dyDescent="0.2">
      <c r="A385" s="394"/>
      <c r="B385" s="63" t="s">
        <v>526</v>
      </c>
      <c r="C385" s="395" t="s">
        <v>103</v>
      </c>
      <c r="D385" s="436"/>
      <c r="E385" s="428"/>
      <c r="F385" s="88">
        <f>SUM(K385:K392)</f>
        <v>0</v>
      </c>
      <c r="G385" s="56">
        <f>SUMIF(JournalsB!D$14:D$920,TrialBalanceB!M385,JournalsB!J$14:J$920)+SUMIF(JournalsB!E$14:E$920,TrialBalanceB!M385,JournalsB!J$14:J$920)</f>
        <v>0</v>
      </c>
      <c r="H385" s="443"/>
      <c r="I385" s="447">
        <f t="shared" si="114"/>
        <v>0</v>
      </c>
      <c r="J385" s="84"/>
      <c r="K385" s="57">
        <f t="shared" si="72"/>
        <v>0</v>
      </c>
      <c r="M385" s="197" t="str">
        <f t="shared" si="73"/>
        <v>9300/010Balance b/fwd</v>
      </c>
      <c r="N385" s="79"/>
      <c r="P385" s="80"/>
      <c r="Q385" s="60"/>
      <c r="R385" s="34"/>
    </row>
    <row r="386" spans="1:18" x14ac:dyDescent="0.2">
      <c r="A386" s="394"/>
      <c r="B386" s="63" t="s">
        <v>527</v>
      </c>
      <c r="C386" s="402" t="s">
        <v>152</v>
      </c>
      <c r="D386" s="428"/>
      <c r="E386" s="428"/>
      <c r="F386" s="88"/>
      <c r="G386" s="56">
        <f>SUMIF(JournalsB!D$14:D$920,TrialBalanceB!M386,JournalsB!J$14:J$920)+SUMIF(JournalsB!E$14:E$920,TrialBalanceB!M386,JournalsB!J$14:J$920)</f>
        <v>0</v>
      </c>
      <c r="H386" s="443"/>
      <c r="I386" s="447">
        <f t="shared" si="114"/>
        <v>0</v>
      </c>
      <c r="J386" s="84"/>
      <c r="K386" s="57">
        <f t="shared" si="72"/>
        <v>0</v>
      </c>
      <c r="M386" s="197" t="str">
        <f t="shared" si="73"/>
        <v>9300/020Tax provision this year</v>
      </c>
      <c r="N386" s="79"/>
      <c r="P386" s="80"/>
      <c r="Q386" s="60"/>
      <c r="R386" s="34"/>
    </row>
    <row r="387" spans="1:18" x14ac:dyDescent="0.2">
      <c r="A387" s="394"/>
      <c r="B387" s="63" t="s">
        <v>528</v>
      </c>
      <c r="C387" s="398" t="s">
        <v>1165</v>
      </c>
      <c r="D387" s="436"/>
      <c r="E387" s="428"/>
      <c r="F387" s="88"/>
      <c r="G387" s="56">
        <f>SUMIF(JournalsB!D$14:D$920,TrialBalanceB!M387,JournalsB!J$14:J$920)+SUMIF(JournalsB!E$14:E$920,TrialBalanceB!M387,JournalsB!J$14:J$920)</f>
        <v>0</v>
      </c>
      <c r="H387" s="443"/>
      <c r="I387" s="447">
        <f t="shared" si="114"/>
        <v>0</v>
      </c>
      <c r="J387" s="84"/>
      <c r="K387" s="57">
        <f t="shared" si="72"/>
        <v>0</v>
      </c>
      <c r="M387" s="197" t="str">
        <f t="shared" si="73"/>
        <v>9300/030Over-/(Under) provision previous year</v>
      </c>
      <c r="N387" s="79"/>
      <c r="P387" s="80"/>
      <c r="Q387" s="60"/>
      <c r="R387" s="34"/>
    </row>
    <row r="388" spans="1:18" x14ac:dyDescent="0.2">
      <c r="A388" s="394"/>
      <c r="B388" s="63" t="s">
        <v>529</v>
      </c>
      <c r="C388" s="398" t="s">
        <v>1166</v>
      </c>
      <c r="D388" s="436"/>
      <c r="E388" s="428"/>
      <c r="F388" s="88"/>
      <c r="G388" s="56">
        <f>SUMIF(JournalsB!D$14:D$920,TrialBalanceB!M388,JournalsB!J$14:J$920)+SUMIF(JournalsB!E$14:E$920,TrialBalanceB!M388,JournalsB!J$14:J$920)</f>
        <v>0</v>
      </c>
      <c r="H388" s="443"/>
      <c r="I388" s="447">
        <f t="shared" si="114"/>
        <v>0</v>
      </c>
      <c r="J388" s="84"/>
      <c r="K388" s="57">
        <f t="shared" si="72"/>
        <v>0</v>
      </c>
      <c r="M388" s="197" t="str">
        <f t="shared" si="73"/>
        <v>9300/040Tax paid/(refund) for previous year provisions</v>
      </c>
      <c r="N388" s="79"/>
      <c r="P388" s="80"/>
      <c r="Q388" s="60"/>
      <c r="R388" s="34"/>
    </row>
    <row r="389" spans="1:18" x14ac:dyDescent="0.2">
      <c r="A389" s="394"/>
      <c r="B389" s="63" t="s">
        <v>530</v>
      </c>
      <c r="C389" s="398" t="s">
        <v>1035</v>
      </c>
      <c r="D389" s="436"/>
      <c r="E389" s="428"/>
      <c r="F389" s="88"/>
      <c r="G389" s="56">
        <f>SUMIF(JournalsB!D$14:D$920,TrialBalanceB!M389,JournalsB!J$14:J$920)+SUMIF(JournalsB!E$14:E$920,TrialBalanceB!M389,JournalsB!J$14:J$920)</f>
        <v>0</v>
      </c>
      <c r="H389" s="443"/>
      <c r="I389" s="447">
        <f t="shared" si="114"/>
        <v>0</v>
      </c>
      <c r="J389" s="84"/>
      <c r="K389" s="57">
        <f t="shared" ref="K389:K400" si="115">ROUND(SUM(A389),0)</f>
        <v>0</v>
      </c>
      <c r="M389" s="197" t="str">
        <f t="shared" ref="M389:M400" si="116">CONCATENATE(B389,C389)</f>
        <v>9300/0501st Provisional paid</v>
      </c>
      <c r="N389" s="79"/>
      <c r="P389" s="80"/>
      <c r="Q389" s="60"/>
      <c r="R389" s="34"/>
    </row>
    <row r="390" spans="1:18" x14ac:dyDescent="0.2">
      <c r="A390" s="394"/>
      <c r="B390" s="63" t="s">
        <v>531</v>
      </c>
      <c r="C390" s="398" t="s">
        <v>1036</v>
      </c>
      <c r="D390" s="436"/>
      <c r="E390" s="428"/>
      <c r="F390" s="88"/>
      <c r="G390" s="56">
        <f>SUMIF(JournalsB!D$14:D$920,TrialBalanceB!M390,JournalsB!J$14:J$920)+SUMIF(JournalsB!E$14:E$920,TrialBalanceB!M390,JournalsB!J$14:J$920)</f>
        <v>0</v>
      </c>
      <c r="H390" s="443"/>
      <c r="I390" s="447">
        <f t="shared" si="114"/>
        <v>0</v>
      </c>
      <c r="J390" s="84"/>
      <c r="K390" s="57">
        <f t="shared" si="115"/>
        <v>0</v>
      </c>
      <c r="M390" s="197" t="str">
        <f t="shared" si="116"/>
        <v>9300/0602nd Provisional paid</v>
      </c>
      <c r="N390" s="79"/>
      <c r="P390" s="80"/>
      <c r="Q390" s="60"/>
      <c r="R390" s="34"/>
    </row>
    <row r="391" spans="1:18" x14ac:dyDescent="0.2">
      <c r="A391" s="394"/>
      <c r="B391" s="63" t="s">
        <v>532</v>
      </c>
      <c r="C391" s="395" t="s">
        <v>153</v>
      </c>
      <c r="D391" s="436"/>
      <c r="E391" s="428"/>
      <c r="F391" s="88"/>
      <c r="G391" s="56">
        <f>SUMIF(JournalsB!D$14:D$920,TrialBalanceB!M391,JournalsB!J$14:J$920)+SUMIF(JournalsB!E$14:E$920,TrialBalanceB!M391,JournalsB!J$14:J$920)</f>
        <v>0</v>
      </c>
      <c r="H391" s="443"/>
      <c r="I391" s="447">
        <f t="shared" si="114"/>
        <v>0</v>
      </c>
      <c r="J391" s="84"/>
      <c r="K391" s="57">
        <f t="shared" si="115"/>
        <v>0</v>
      </c>
      <c r="M391" s="197" t="str">
        <f t="shared" si="116"/>
        <v>9300/0703rd Provisional paid</v>
      </c>
      <c r="N391" s="79"/>
      <c r="P391" s="80"/>
      <c r="Q391" s="60"/>
      <c r="R391" s="34"/>
    </row>
    <row r="392" spans="1:18" x14ac:dyDescent="0.2">
      <c r="A392" s="394"/>
      <c r="B392" s="63" t="s">
        <v>533</v>
      </c>
      <c r="C392" s="398" t="s">
        <v>1168</v>
      </c>
      <c r="D392" s="436"/>
      <c r="E392" s="428"/>
      <c r="F392" s="88"/>
      <c r="G392" s="56">
        <f>SUMIF(JournalsB!D$14:D$920,TrialBalanceB!M392,JournalsB!J$14:J$920)+SUMIF(JournalsB!E$14:E$920,TrialBalanceB!M392,JournalsB!J$14:J$920)</f>
        <v>0</v>
      </c>
      <c r="H392" s="443"/>
      <c r="I392" s="447">
        <f t="shared" si="114"/>
        <v>0</v>
      </c>
      <c r="J392" s="84"/>
      <c r="K392" s="57">
        <f t="shared" si="115"/>
        <v>0</v>
      </c>
      <c r="M392" s="197" t="str">
        <f t="shared" si="116"/>
        <v>9300/090Dividends tax provision</v>
      </c>
      <c r="N392" s="79"/>
      <c r="P392" s="80"/>
      <c r="Q392" s="60"/>
      <c r="R392" s="34"/>
    </row>
    <row r="393" spans="1:18" x14ac:dyDescent="0.2">
      <c r="A393" s="394"/>
      <c r="B393" s="63" t="s">
        <v>404</v>
      </c>
      <c r="C393" s="398" t="s">
        <v>659</v>
      </c>
      <c r="D393" s="436"/>
      <c r="E393" s="428"/>
      <c r="F393" s="88">
        <f>K393</f>
        <v>0</v>
      </c>
      <c r="G393" s="56">
        <f>SUMIF(JournalsB!D$14:D$920,TrialBalanceB!M393,JournalsB!J$14:J$920)+SUMIF(JournalsB!E$14:E$920,TrialBalanceB!M393,JournalsB!J$14:J$920)</f>
        <v>0</v>
      </c>
      <c r="H393" s="443"/>
      <c r="I393" s="447">
        <f t="shared" si="114"/>
        <v>0</v>
      </c>
      <c r="J393" s="84"/>
      <c r="K393" s="57">
        <f t="shared" si="115"/>
        <v>0</v>
      </c>
      <c r="M393" s="197" t="str">
        <f t="shared" si="116"/>
        <v>9350/000Dividends payable</v>
      </c>
      <c r="N393" s="79"/>
      <c r="P393" s="80"/>
      <c r="Q393" s="60"/>
      <c r="R393" s="34"/>
    </row>
    <row r="394" spans="1:18" x14ac:dyDescent="0.2">
      <c r="A394" s="394"/>
      <c r="B394" s="63" t="s">
        <v>405</v>
      </c>
      <c r="C394" s="398" t="s">
        <v>660</v>
      </c>
      <c r="D394" s="436"/>
      <c r="E394" s="428"/>
      <c r="F394" s="88">
        <f>K394</f>
        <v>0</v>
      </c>
      <c r="G394" s="56">
        <f>SUMIF(JournalsB!D$14:D$920,TrialBalanceB!M394,JournalsB!J$14:J$920)+SUMIF(JournalsB!E$14:E$920,TrialBalanceB!M394,JournalsB!J$14:J$920)</f>
        <v>0</v>
      </c>
      <c r="H394" s="443"/>
      <c r="I394" s="447">
        <f t="shared" si="114"/>
        <v>0</v>
      </c>
      <c r="J394" s="84"/>
      <c r="K394" s="57">
        <f t="shared" si="115"/>
        <v>0</v>
      </c>
      <c r="M394" s="197" t="str">
        <f t="shared" si="116"/>
        <v>9400/000Provision for future expenses</v>
      </c>
      <c r="N394" s="79"/>
      <c r="P394" s="80"/>
      <c r="Q394" s="60"/>
      <c r="R394" s="34"/>
    </row>
    <row r="395" spans="1:18" x14ac:dyDescent="0.2">
      <c r="A395" s="394"/>
      <c r="B395" s="63" t="s">
        <v>406</v>
      </c>
      <c r="C395" s="398" t="s">
        <v>661</v>
      </c>
      <c r="D395" s="436"/>
      <c r="E395" s="428"/>
      <c r="F395" s="88">
        <f>K395</f>
        <v>0</v>
      </c>
      <c r="G395" s="56">
        <f>SUMIF(JournalsB!D$14:D$920,TrialBalanceB!M395,JournalsB!J$14:J$920)+SUMIF(JournalsB!E$14:E$920,TrialBalanceB!M395,JournalsB!J$14:J$920)</f>
        <v>0</v>
      </c>
      <c r="H395" s="443"/>
      <c r="I395" s="447">
        <f t="shared" si="114"/>
        <v>0</v>
      </c>
      <c r="J395" s="84"/>
      <c r="K395" s="57">
        <f t="shared" si="115"/>
        <v>0</v>
      </c>
      <c r="M395" s="197" t="str">
        <f t="shared" si="116"/>
        <v>9400/010Provision for insurance</v>
      </c>
      <c r="N395" s="79"/>
      <c r="P395" s="80"/>
      <c r="Q395" s="60"/>
      <c r="R395" s="34"/>
    </row>
    <row r="396" spans="1:18" x14ac:dyDescent="0.2">
      <c r="A396" s="394"/>
      <c r="B396" s="63" t="s">
        <v>407</v>
      </c>
      <c r="C396" s="398" t="s">
        <v>662</v>
      </c>
      <c r="D396" s="436"/>
      <c r="E396" s="428"/>
      <c r="F396" s="88">
        <f>K396</f>
        <v>0</v>
      </c>
      <c r="G396" s="56">
        <f>SUMIF(JournalsB!D$14:D$920,TrialBalanceB!M396,JournalsB!J$14:J$920)+SUMIF(JournalsB!E$14:E$920,TrialBalanceB!M396,JournalsB!J$14:J$920)</f>
        <v>0</v>
      </c>
      <c r="H396" s="443"/>
      <c r="I396" s="447">
        <f t="shared" si="114"/>
        <v>0</v>
      </c>
      <c r="J396" s="84"/>
      <c r="K396" s="57">
        <f t="shared" si="115"/>
        <v>0</v>
      </c>
      <c r="M396" s="197" t="str">
        <f t="shared" si="116"/>
        <v>9400/020Provision for salary bonus</v>
      </c>
      <c r="N396" s="79"/>
      <c r="P396" s="80"/>
      <c r="Q396" s="60"/>
      <c r="R396" s="34"/>
    </row>
    <row r="397" spans="1:18" x14ac:dyDescent="0.2">
      <c r="A397" s="394"/>
      <c r="B397" s="63" t="s">
        <v>408</v>
      </c>
      <c r="C397" s="397" t="s">
        <v>409</v>
      </c>
      <c r="D397" s="437"/>
      <c r="E397" s="428"/>
      <c r="F397" s="88"/>
      <c r="G397" s="56">
        <f>SUMIF(JournalsB!D$14:D$920,TrialBalanceB!M397,JournalsB!J$14:J$920)+SUMIF(JournalsB!E$14:E$920,TrialBalanceB!M397,JournalsB!J$14:J$920)</f>
        <v>0</v>
      </c>
      <c r="H397" s="443"/>
      <c r="I397" s="447">
        <f t="shared" si="114"/>
        <v>0</v>
      </c>
      <c r="J397" s="84"/>
      <c r="K397" s="57">
        <f t="shared" si="115"/>
        <v>0</v>
      </c>
      <c r="M397" s="197" t="str">
        <f t="shared" si="116"/>
        <v>9500/000VALUE ADDED TAX</v>
      </c>
      <c r="N397" s="79"/>
      <c r="P397" s="80"/>
      <c r="Q397" s="60"/>
      <c r="R397" s="34"/>
    </row>
    <row r="398" spans="1:18" x14ac:dyDescent="0.2">
      <c r="A398" s="394"/>
      <c r="B398" s="63" t="s">
        <v>410</v>
      </c>
      <c r="C398" s="395" t="s">
        <v>411</v>
      </c>
      <c r="D398" s="436"/>
      <c r="E398" s="428"/>
      <c r="F398" s="88">
        <f>K398</f>
        <v>0</v>
      </c>
      <c r="G398" s="56">
        <f>SUMIF(JournalsB!D$14:D$920,TrialBalanceB!M398,JournalsB!J$14:J$920)+SUMIF(JournalsB!E$14:E$920,TrialBalanceB!M398,JournalsB!J$14:J$920)</f>
        <v>0</v>
      </c>
      <c r="H398" s="443"/>
      <c r="I398" s="447">
        <f t="shared" si="114"/>
        <v>0</v>
      </c>
      <c r="J398" s="84"/>
      <c r="K398" s="57">
        <f t="shared" si="115"/>
        <v>0</v>
      </c>
      <c r="M398" s="197" t="str">
        <f t="shared" si="116"/>
        <v>9501/000VAT account</v>
      </c>
      <c r="N398" s="79"/>
      <c r="P398" s="80"/>
      <c r="Q398" s="60"/>
      <c r="R398" s="34"/>
    </row>
    <row r="399" spans="1:18" x14ac:dyDescent="0.2">
      <c r="A399" s="394"/>
      <c r="B399" s="63" t="s">
        <v>412</v>
      </c>
      <c r="C399" s="395" t="s">
        <v>31</v>
      </c>
      <c r="D399" s="436"/>
      <c r="E399" s="428"/>
      <c r="F399" s="88"/>
      <c r="G399" s="56">
        <f>SUMIF(JournalsB!D$14:D$920,TrialBalanceB!M399,JournalsB!J$14:J$920)+SUMIF(JournalsB!E$14:E$920,TrialBalanceB!M399,JournalsB!J$14:J$920)</f>
        <v>0</v>
      </c>
      <c r="H399" s="443"/>
      <c r="I399" s="447">
        <f t="shared" si="114"/>
        <v>0</v>
      </c>
      <c r="J399" s="84"/>
      <c r="K399" s="57">
        <f t="shared" si="115"/>
        <v>0</v>
      </c>
      <c r="M399" s="197" t="str">
        <f t="shared" si="116"/>
        <v>9510/000----------------------------------------</v>
      </c>
      <c r="N399" s="79"/>
      <c r="P399" s="80"/>
      <c r="Q399" s="60"/>
      <c r="R399" s="34"/>
    </row>
    <row r="400" spans="1:18" x14ac:dyDescent="0.2">
      <c r="A400" s="394"/>
      <c r="B400" s="63" t="s">
        <v>413</v>
      </c>
      <c r="C400" s="397" t="s">
        <v>1037</v>
      </c>
      <c r="D400" s="437"/>
      <c r="E400" s="428"/>
      <c r="F400" s="88">
        <f>K400</f>
        <v>0</v>
      </c>
      <c r="G400" s="56">
        <f>SUMIF(JournalsB!D$14:D$920,TrialBalanceB!M400,JournalsB!J$14:J$920)+SUMIF(JournalsB!E$14:E$920,TrialBalanceB!M400,JournalsB!J$14:J$920)</f>
        <v>0</v>
      </c>
      <c r="H400" s="443"/>
      <c r="I400" s="447">
        <f t="shared" si="114"/>
        <v>0</v>
      </c>
      <c r="J400" s="84"/>
      <c r="K400" s="57">
        <f t="shared" si="115"/>
        <v>0</v>
      </c>
      <c r="M400" s="197" t="str">
        <f t="shared" si="116"/>
        <v>9990/000Suspense account</v>
      </c>
      <c r="N400" s="79"/>
      <c r="P400" s="80"/>
      <c r="Q400" s="60"/>
      <c r="R400" s="34"/>
    </row>
    <row r="401" spans="1:18" x14ac:dyDescent="0.2">
      <c r="A401" s="394"/>
      <c r="B401" s="63"/>
      <c r="C401" s="63"/>
      <c r="D401" s="436"/>
      <c r="E401" s="428"/>
      <c r="F401" s="88"/>
      <c r="G401" s="56"/>
      <c r="H401" s="443"/>
      <c r="I401" s="447"/>
      <c r="J401" s="84"/>
      <c r="K401" s="57"/>
      <c r="M401" s="197"/>
      <c r="N401" s="79"/>
      <c r="P401" s="80"/>
      <c r="Q401" s="60"/>
      <c r="R401" s="34"/>
    </row>
    <row r="402" spans="1:18" x14ac:dyDescent="0.2">
      <c r="A402" s="394"/>
      <c r="B402" s="63" t="s">
        <v>284</v>
      </c>
      <c r="C402" s="64" t="s">
        <v>284</v>
      </c>
      <c r="D402" s="419"/>
      <c r="E402" s="419"/>
      <c r="F402" s="91"/>
      <c r="G402" s="56"/>
      <c r="H402" s="443"/>
      <c r="I402" s="447"/>
      <c r="J402" s="84"/>
      <c r="K402" s="57"/>
      <c r="M402" s="197">
        <v>0</v>
      </c>
      <c r="N402" s="79"/>
      <c r="P402" s="82"/>
      <c r="Q402" s="82"/>
      <c r="R402" s="34"/>
    </row>
    <row r="403" spans="1:18" ht="13.5" thickBot="1" x14ac:dyDescent="0.25">
      <c r="A403" s="50">
        <f>SUM(A5:A402)</f>
        <v>0</v>
      </c>
      <c r="B403" s="63" t="s">
        <v>284</v>
      </c>
      <c r="C403" s="64" t="s">
        <v>284</v>
      </c>
      <c r="D403" s="50">
        <f>SUM(D5:D402)</f>
        <v>0</v>
      </c>
      <c r="E403" s="50">
        <f>SUM(E5:E402)</f>
        <v>0</v>
      </c>
      <c r="F403" s="50">
        <f>SUM(F5:F402)</f>
        <v>0</v>
      </c>
      <c r="G403" s="50">
        <f>SUM(G5:G402)</f>
        <v>0</v>
      </c>
      <c r="H403" s="50"/>
      <c r="I403" s="167">
        <f>SUM(I5:I402)</f>
        <v>0</v>
      </c>
      <c r="J403" s="50"/>
      <c r="K403" s="50">
        <f>SUM(K5:K402)</f>
        <v>0</v>
      </c>
      <c r="M403" s="197">
        <v>0</v>
      </c>
      <c r="N403" s="83"/>
      <c r="O403" s="83"/>
      <c r="P403" s="83"/>
      <c r="Q403" s="83"/>
      <c r="R403" s="83"/>
    </row>
    <row r="404" spans="1:18" ht="13.5" thickTop="1" x14ac:dyDescent="0.2">
      <c r="A404" s="47"/>
      <c r="B404" s="51"/>
      <c r="C404" s="54"/>
      <c r="D404" s="48"/>
      <c r="E404" s="48"/>
      <c r="F404" s="48"/>
      <c r="G404" s="48"/>
      <c r="H404" s="48"/>
      <c r="I404" s="60"/>
      <c r="J404" s="68"/>
      <c r="K404" s="47"/>
      <c r="P404" s="48"/>
      <c r="Q404" s="48"/>
    </row>
    <row r="405" spans="1:18" x14ac:dyDescent="0.2">
      <c r="A405" s="47"/>
      <c r="B405" s="51"/>
      <c r="C405" s="54"/>
      <c r="D405" s="48"/>
      <c r="E405" s="48"/>
      <c r="F405" s="48"/>
      <c r="G405" s="48"/>
      <c r="H405" s="48"/>
      <c r="K405" s="51"/>
      <c r="P405" s="48"/>
      <c r="Q405" s="48"/>
    </row>
    <row r="406" spans="1:18" x14ac:dyDescent="0.2">
      <c r="A406" s="47"/>
      <c r="B406" s="51"/>
      <c r="C406" s="54"/>
      <c r="D406" s="48"/>
      <c r="E406" s="48"/>
      <c r="F406" s="48"/>
      <c r="G406" s="48"/>
      <c r="H406" s="48"/>
      <c r="K406" s="51"/>
      <c r="P406" s="48"/>
      <c r="Q406" s="48"/>
    </row>
    <row r="407" spans="1:18" x14ac:dyDescent="0.2">
      <c r="A407" s="47"/>
      <c r="B407" s="51"/>
      <c r="C407" s="54"/>
      <c r="D407" s="48"/>
      <c r="E407" s="48"/>
      <c r="F407" s="48"/>
      <c r="G407" s="48"/>
      <c r="H407" s="48"/>
      <c r="K407" s="51"/>
      <c r="P407" s="48"/>
      <c r="Q407" s="48"/>
    </row>
    <row r="408" spans="1:18" x14ac:dyDescent="0.2">
      <c r="A408" s="47"/>
      <c r="B408" s="51"/>
      <c r="C408" s="54"/>
      <c r="D408" s="48"/>
      <c r="E408" s="48"/>
      <c r="F408" s="48"/>
      <c r="G408" s="48"/>
      <c r="H408" s="48"/>
      <c r="K408" s="51"/>
      <c r="P408" s="48"/>
      <c r="Q408" s="48"/>
    </row>
    <row r="409" spans="1:18" x14ac:dyDescent="0.2">
      <c r="A409" s="47"/>
      <c r="B409" s="51"/>
      <c r="C409" s="54"/>
      <c r="D409" s="48"/>
      <c r="E409" s="48"/>
      <c r="F409" s="48"/>
      <c r="G409" s="48"/>
      <c r="H409" s="48"/>
      <c r="K409" s="51"/>
      <c r="P409" s="48"/>
      <c r="Q409" s="48"/>
    </row>
    <row r="410" spans="1:18" x14ac:dyDescent="0.2">
      <c r="A410" s="47"/>
      <c r="B410" s="51"/>
      <c r="C410" s="54"/>
      <c r="D410" s="48"/>
      <c r="E410" s="48"/>
      <c r="F410" s="48"/>
      <c r="G410" s="48"/>
      <c r="H410" s="48"/>
      <c r="K410" s="51"/>
      <c r="P410" s="48"/>
      <c r="Q410" s="48"/>
    </row>
    <row r="411" spans="1:18" x14ac:dyDescent="0.2">
      <c r="A411" s="47"/>
      <c r="B411" s="51"/>
      <c r="C411" s="54"/>
      <c r="D411" s="48"/>
      <c r="E411" s="48"/>
      <c r="F411" s="48"/>
      <c r="G411" s="48"/>
      <c r="H411" s="48"/>
      <c r="K411" s="51"/>
      <c r="P411" s="48" t="s">
        <v>120</v>
      </c>
      <c r="Q411" s="48" t="s">
        <v>120</v>
      </c>
    </row>
    <row r="412" spans="1:18" x14ac:dyDescent="0.2">
      <c r="A412" s="47"/>
      <c r="B412" s="51"/>
      <c r="C412" s="54"/>
      <c r="D412" s="48"/>
      <c r="E412" s="48"/>
      <c r="F412" s="48"/>
      <c r="G412" s="48"/>
      <c r="H412" s="48"/>
      <c r="K412" s="51"/>
      <c r="P412" s="48" t="s">
        <v>120</v>
      </c>
      <c r="Q412" s="48" t="s">
        <v>120</v>
      </c>
    </row>
    <row r="413" spans="1:18" x14ac:dyDescent="0.2">
      <c r="A413" s="47"/>
      <c r="B413" s="51"/>
      <c r="C413" s="54"/>
      <c r="D413" s="48"/>
      <c r="E413" s="48"/>
      <c r="F413" s="48"/>
      <c r="G413" s="48"/>
      <c r="H413" s="48"/>
      <c r="K413" s="51"/>
      <c r="P413" s="48" t="s">
        <v>120</v>
      </c>
      <c r="Q413" s="48" t="s">
        <v>120</v>
      </c>
    </row>
    <row r="414" spans="1:18" x14ac:dyDescent="0.2">
      <c r="A414" s="47"/>
      <c r="B414" s="51"/>
      <c r="C414" s="54"/>
      <c r="D414" s="48"/>
      <c r="E414" s="48"/>
      <c r="F414" s="48"/>
      <c r="G414" s="48"/>
      <c r="H414" s="48"/>
      <c r="K414" s="51"/>
      <c r="P414" s="48" t="s">
        <v>120</v>
      </c>
      <c r="Q414" s="48" t="s">
        <v>120</v>
      </c>
    </row>
    <row r="415" spans="1:18" x14ac:dyDescent="0.2">
      <c r="A415" s="47"/>
      <c r="B415" s="51"/>
      <c r="C415" s="54"/>
      <c r="D415" s="48"/>
      <c r="E415" s="48"/>
      <c r="F415" s="48"/>
      <c r="G415" s="48"/>
      <c r="H415" s="48"/>
      <c r="K415" s="51"/>
      <c r="P415" s="48" t="s">
        <v>120</v>
      </c>
      <c r="Q415" s="48" t="s">
        <v>120</v>
      </c>
    </row>
    <row r="416" spans="1:18" x14ac:dyDescent="0.2">
      <c r="A416" s="47"/>
      <c r="B416" s="51"/>
      <c r="C416" s="54"/>
      <c r="D416" s="48"/>
      <c r="E416" s="48"/>
      <c r="F416" s="48"/>
      <c r="G416" s="48"/>
      <c r="H416" s="48"/>
      <c r="K416" s="51"/>
      <c r="P416" s="48"/>
      <c r="Q416" s="48"/>
    </row>
    <row r="417" spans="1:17" x14ac:dyDescent="0.2">
      <c r="A417" s="47"/>
      <c r="B417" s="51"/>
      <c r="C417" s="54"/>
      <c r="D417" s="48"/>
      <c r="E417" s="48"/>
      <c r="F417" s="48"/>
      <c r="G417" s="48"/>
      <c r="H417" s="48"/>
      <c r="K417" s="51"/>
      <c r="P417" s="48"/>
      <c r="Q417" s="48"/>
    </row>
    <row r="418" spans="1:17" x14ac:dyDescent="0.2">
      <c r="A418" s="47"/>
      <c r="B418" s="51"/>
      <c r="C418" s="54"/>
      <c r="D418" s="48"/>
      <c r="E418" s="48"/>
      <c r="F418" s="48"/>
      <c r="G418" s="48"/>
      <c r="H418" s="48"/>
      <c r="K418" s="51"/>
      <c r="P418" s="48"/>
      <c r="Q418" s="48"/>
    </row>
    <row r="419" spans="1:17" x14ac:dyDescent="0.2">
      <c r="A419" s="47"/>
      <c r="B419" s="51"/>
      <c r="C419" s="54"/>
      <c r="D419" s="48"/>
      <c r="E419" s="48"/>
      <c r="F419" s="48"/>
      <c r="G419" s="48"/>
      <c r="H419" s="48"/>
      <c r="K419" s="51"/>
      <c r="P419" s="48"/>
      <c r="Q419" s="48"/>
    </row>
    <row r="420" spans="1:17" x14ac:dyDescent="0.2">
      <c r="A420" s="47"/>
      <c r="B420" s="51"/>
      <c r="C420" s="54"/>
      <c r="D420" s="48"/>
      <c r="E420" s="48"/>
      <c r="F420" s="48"/>
      <c r="G420" s="48"/>
      <c r="H420" s="48"/>
      <c r="K420" s="51"/>
      <c r="P420" s="48"/>
      <c r="Q420" s="48"/>
    </row>
    <row r="421" spans="1:17" x14ac:dyDescent="0.2">
      <c r="A421" s="47"/>
      <c r="B421" s="51"/>
      <c r="C421" s="54"/>
      <c r="D421" s="48"/>
      <c r="E421" s="48"/>
      <c r="F421" s="48"/>
      <c r="G421" s="48"/>
      <c r="H421" s="48"/>
      <c r="K421" s="51"/>
      <c r="P421" s="48"/>
      <c r="Q421" s="48"/>
    </row>
    <row r="422" spans="1:17" x14ac:dyDescent="0.2">
      <c r="A422" s="47"/>
      <c r="B422" s="51"/>
      <c r="C422" s="54"/>
      <c r="D422" s="48"/>
      <c r="E422" s="48"/>
      <c r="F422" s="48"/>
      <c r="G422" s="48"/>
      <c r="H422" s="48"/>
      <c r="K422" s="51"/>
      <c r="P422" s="48"/>
      <c r="Q422" s="48"/>
    </row>
    <row r="423" spans="1:17" x14ac:dyDescent="0.2">
      <c r="A423" s="47"/>
      <c r="B423" s="51"/>
      <c r="C423" s="54"/>
      <c r="D423" s="48"/>
      <c r="E423" s="48"/>
      <c r="F423" s="48"/>
      <c r="G423" s="48"/>
      <c r="H423" s="48"/>
      <c r="K423" s="51"/>
      <c r="P423" s="48"/>
      <c r="Q423" s="48"/>
    </row>
    <row r="424" spans="1:17" x14ac:dyDescent="0.2">
      <c r="A424" s="47"/>
      <c r="B424" s="51"/>
      <c r="C424" s="54"/>
      <c r="D424" s="48"/>
      <c r="E424" s="48"/>
      <c r="F424" s="48"/>
      <c r="G424" s="48"/>
      <c r="H424" s="48"/>
      <c r="K424" s="51"/>
      <c r="P424" s="48"/>
      <c r="Q424" s="48"/>
    </row>
    <row r="425" spans="1:17" x14ac:dyDescent="0.2">
      <c r="A425" s="47"/>
      <c r="B425" s="51"/>
      <c r="C425" s="54"/>
      <c r="D425" s="48"/>
      <c r="E425" s="48"/>
      <c r="F425" s="48"/>
      <c r="G425" s="48"/>
      <c r="H425" s="48"/>
      <c r="K425" s="51"/>
      <c r="P425" s="48"/>
      <c r="Q425" s="48"/>
    </row>
    <row r="426" spans="1:17" x14ac:dyDescent="0.2">
      <c r="A426" s="47"/>
      <c r="B426" s="51"/>
      <c r="C426" s="54"/>
      <c r="D426" s="48"/>
      <c r="E426" s="48"/>
      <c r="F426" s="48"/>
      <c r="G426" s="48"/>
      <c r="H426" s="48"/>
      <c r="K426" s="51"/>
      <c r="P426" s="48"/>
      <c r="Q426" s="48"/>
    </row>
    <row r="427" spans="1:17" x14ac:dyDescent="0.2">
      <c r="A427" s="47"/>
      <c r="B427" s="51"/>
      <c r="C427" s="54"/>
      <c r="D427" s="48"/>
      <c r="E427" s="48"/>
      <c r="F427" s="48"/>
      <c r="G427" s="48"/>
      <c r="H427" s="48"/>
      <c r="K427" s="51"/>
      <c r="P427" s="48"/>
      <c r="Q427" s="48"/>
    </row>
    <row r="428" spans="1:17" x14ac:dyDescent="0.2">
      <c r="A428" s="47"/>
      <c r="B428" s="51"/>
      <c r="C428" s="54"/>
      <c r="D428" s="48"/>
      <c r="E428" s="48"/>
      <c r="F428" s="48"/>
      <c r="G428" s="48"/>
      <c r="H428" s="48"/>
      <c r="K428" s="51"/>
      <c r="P428" s="48"/>
      <c r="Q428" s="48"/>
    </row>
    <row r="429" spans="1:17" x14ac:dyDescent="0.2">
      <c r="A429" s="47"/>
      <c r="B429" s="51"/>
      <c r="C429" s="54"/>
      <c r="D429" s="48"/>
      <c r="E429" s="48"/>
      <c r="F429" s="48"/>
      <c r="G429" s="48"/>
      <c r="H429" s="48"/>
      <c r="K429" s="51"/>
      <c r="P429" s="48"/>
      <c r="Q429" s="48"/>
    </row>
    <row r="430" spans="1:17" x14ac:dyDescent="0.2">
      <c r="A430" s="47"/>
      <c r="B430" s="51"/>
      <c r="C430" s="54"/>
      <c r="G430" s="48"/>
      <c r="H430" s="48"/>
      <c r="K430" s="51"/>
      <c r="P430" s="48"/>
      <c r="Q430" s="48"/>
    </row>
    <row r="431" spans="1:17" x14ac:dyDescent="0.2">
      <c r="P431" s="16"/>
      <c r="Q431" s="16"/>
    </row>
  </sheetData>
  <sheetProtection algorithmName="SHA-512" hashValue="ou7ju3QjV+KO/Ua02ofDR75v4qezYmXYLzkFSQUeH1aJ9MPBE7YmtHNgArOY/xxpYegMmyShrh4XqfAl9sNLKA==" saltValue="aHBjmXm14psJM0DXD/9yj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B25F0E52-5D87-4985-A14E-3E666AEE5279}"/>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4"/>
      <c r="I1" s="44"/>
    </row>
    <row r="2" spans="1:13" x14ac:dyDescent="0.25">
      <c r="C2" s="3" t="str">
        <f>Criteria!E9</f>
        <v>ABC COMPANY (PROPRIETARY) LIMITED</v>
      </c>
    </row>
    <row r="3" spans="1:13" x14ac:dyDescent="0.25">
      <c r="H3" s="86" t="s">
        <v>101</v>
      </c>
      <c r="I3" s="86"/>
    </row>
    <row r="4" spans="1:13" x14ac:dyDescent="0.25">
      <c r="C4" s="3" t="s">
        <v>100</v>
      </c>
      <c r="D4" s="44" t="str">
        <f>Criteria!E20</f>
        <v>29 FEBRUARY 2024</v>
      </c>
    </row>
    <row r="5" spans="1:13" x14ac:dyDescent="0.25">
      <c r="H5" s="86" t="s">
        <v>102</v>
      </c>
      <c r="I5" s="86"/>
    </row>
    <row r="6" spans="1:13" x14ac:dyDescent="0.25">
      <c r="C6" s="3" t="s">
        <v>204</v>
      </c>
      <c r="H6" s="44"/>
      <c r="I6" s="44"/>
    </row>
    <row r="7" spans="1:13" x14ac:dyDescent="0.25">
      <c r="C7" s="7"/>
      <c r="D7" s="7"/>
      <c r="E7" s="7"/>
      <c r="F7" s="87"/>
      <c r="G7" s="87"/>
      <c r="H7" s="87"/>
      <c r="I7" s="87"/>
    </row>
    <row r="8" spans="1:13" x14ac:dyDescent="0.25">
      <c r="D8" s="9" t="str">
        <f>IF(F8=0," ","OUT OF BALANCE")</f>
        <v xml:space="preserve"> </v>
      </c>
      <c r="E8" s="9"/>
      <c r="F8" s="4">
        <f>ROUND(F484-G484+H484-I484,2)</f>
        <v>0</v>
      </c>
    </row>
    <row r="9" spans="1:13" x14ac:dyDescent="0.25">
      <c r="D9" s="9" t="s">
        <v>354</v>
      </c>
      <c r="E9" s="9"/>
      <c r="F9" s="4">
        <f>F486</f>
        <v>0</v>
      </c>
    </row>
    <row r="10" spans="1:13" x14ac:dyDescent="0.25">
      <c r="D10" s="9"/>
      <c r="E10" s="9"/>
    </row>
    <row r="11" spans="1:13" x14ac:dyDescent="0.25">
      <c r="A11" s="43" t="s">
        <v>328</v>
      </c>
      <c r="F11" s="708"/>
      <c r="G11" s="708"/>
      <c r="H11" s="708"/>
      <c r="I11" s="708"/>
    </row>
    <row r="12" spans="1:13" x14ac:dyDescent="0.25">
      <c r="A12" s="43" t="s">
        <v>772</v>
      </c>
      <c r="F12" s="708" t="s">
        <v>417</v>
      </c>
      <c r="G12" s="708"/>
      <c r="H12" s="708" t="s">
        <v>116</v>
      </c>
      <c r="I12" s="708"/>
    </row>
    <row r="13" spans="1:13" x14ac:dyDescent="0.25">
      <c r="A13" s="43" t="s">
        <v>329</v>
      </c>
      <c r="B13" s="35" t="s">
        <v>882</v>
      </c>
      <c r="C13" s="35" t="s">
        <v>282</v>
      </c>
      <c r="D13" s="35" t="s">
        <v>301</v>
      </c>
      <c r="E13" s="35" t="s">
        <v>490</v>
      </c>
      <c r="F13" s="25" t="s">
        <v>285</v>
      </c>
      <c r="G13" s="25" t="s">
        <v>286</v>
      </c>
      <c r="H13" s="25" t="s">
        <v>285</v>
      </c>
      <c r="I13" s="25" t="s">
        <v>286</v>
      </c>
    </row>
    <row r="14" spans="1:13" x14ac:dyDescent="0.25">
      <c r="A14" s="43"/>
    </row>
    <row r="15" spans="1:13" x14ac:dyDescent="0.25">
      <c r="A15" s="43" t="str">
        <f t="shared" ref="A15:A78" si="0">IF(COUNTIF(K15:M15,"ERROR")&gt;0,"ERROR"," ")</f>
        <v xml:space="preserve"> </v>
      </c>
      <c r="B15" s="5">
        <v>1</v>
      </c>
      <c r="D15" s="42"/>
      <c r="E15" s="42"/>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43" t="str">
        <f t="shared" si="0"/>
        <v xml:space="preserve"> </v>
      </c>
      <c r="B16" s="28"/>
      <c r="D16" s="42"/>
      <c r="E16" s="42"/>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3" t="str">
        <f t="shared" si="0"/>
        <v xml:space="preserve"> </v>
      </c>
      <c r="D17" s="42"/>
      <c r="E17" s="42"/>
      <c r="J17" s="17">
        <f t="shared" si="3"/>
        <v>0</v>
      </c>
      <c r="K17" s="2" t="str">
        <f t="shared" si="4"/>
        <v xml:space="preserve"> </v>
      </c>
      <c r="L17" s="2" t="str">
        <f t="shared" si="1"/>
        <v xml:space="preserve"> </v>
      </c>
      <c r="M17" s="2" t="str">
        <f t="shared" si="2"/>
        <v xml:space="preserve"> </v>
      </c>
    </row>
    <row r="18" spans="1:13" x14ac:dyDescent="0.25">
      <c r="A18" s="43" t="str">
        <f t="shared" si="0"/>
        <v xml:space="preserve"> </v>
      </c>
      <c r="D18" s="42"/>
      <c r="E18" s="42"/>
      <c r="J18" s="17">
        <f t="shared" si="3"/>
        <v>0</v>
      </c>
      <c r="K18" s="2" t="str">
        <f t="shared" si="4"/>
        <v xml:space="preserve"> </v>
      </c>
      <c r="L18" s="2" t="str">
        <f t="shared" si="1"/>
        <v xml:space="preserve"> </v>
      </c>
      <c r="M18" s="2" t="str">
        <f t="shared" si="2"/>
        <v xml:space="preserve"> </v>
      </c>
    </row>
    <row r="19" spans="1:13" x14ac:dyDescent="0.25">
      <c r="A19" s="43" t="str">
        <f t="shared" si="0"/>
        <v xml:space="preserve"> </v>
      </c>
      <c r="D19" s="42"/>
      <c r="E19" s="42"/>
      <c r="J19" s="17">
        <f t="shared" si="3"/>
        <v>0</v>
      </c>
      <c r="K19" s="2" t="str">
        <f t="shared" si="4"/>
        <v xml:space="preserve"> </v>
      </c>
      <c r="L19" s="2" t="str">
        <f t="shared" si="1"/>
        <v xml:space="preserve"> </v>
      </c>
      <c r="M19" s="2" t="str">
        <f t="shared" si="2"/>
        <v xml:space="preserve"> </v>
      </c>
    </row>
    <row r="20" spans="1:13" x14ac:dyDescent="0.25">
      <c r="A20" s="43" t="str">
        <f t="shared" si="0"/>
        <v xml:space="preserve"> </v>
      </c>
      <c r="D20" s="42"/>
      <c r="E20" s="42"/>
      <c r="J20" s="17">
        <f t="shared" si="3"/>
        <v>0</v>
      </c>
      <c r="K20" s="2" t="str">
        <f t="shared" si="4"/>
        <v xml:space="preserve"> </v>
      </c>
      <c r="L20" s="2" t="str">
        <f t="shared" si="1"/>
        <v xml:space="preserve"> </v>
      </c>
      <c r="M20" s="2" t="str">
        <f t="shared" si="2"/>
        <v xml:space="preserve"> </v>
      </c>
    </row>
    <row r="21" spans="1:13" x14ac:dyDescent="0.25">
      <c r="A21" s="43" t="str">
        <f t="shared" si="0"/>
        <v xml:space="preserve"> </v>
      </c>
      <c r="D21" s="42"/>
      <c r="E21" s="42"/>
      <c r="J21" s="17">
        <f t="shared" si="3"/>
        <v>0</v>
      </c>
      <c r="K21" s="2" t="str">
        <f t="shared" si="4"/>
        <v xml:space="preserve"> </v>
      </c>
      <c r="L21" s="2" t="str">
        <f t="shared" si="1"/>
        <v xml:space="preserve"> </v>
      </c>
      <c r="M21" s="2" t="str">
        <f t="shared" si="2"/>
        <v xml:space="preserve"> </v>
      </c>
    </row>
    <row r="22" spans="1:13" x14ac:dyDescent="0.25">
      <c r="A22" s="43" t="str">
        <f t="shared" si="0"/>
        <v xml:space="preserve"> </v>
      </c>
      <c r="D22" s="42"/>
      <c r="E22" s="42"/>
      <c r="J22" s="17">
        <f t="shared" si="3"/>
        <v>0</v>
      </c>
      <c r="K22" s="2" t="str">
        <f t="shared" si="4"/>
        <v xml:space="preserve"> </v>
      </c>
      <c r="L22" s="2" t="str">
        <f t="shared" si="1"/>
        <v xml:space="preserve"> </v>
      </c>
      <c r="M22" s="2" t="str">
        <f t="shared" si="2"/>
        <v xml:space="preserve"> </v>
      </c>
    </row>
    <row r="23" spans="1:13" x14ac:dyDescent="0.25">
      <c r="A23" s="43" t="str">
        <f t="shared" si="0"/>
        <v xml:space="preserve"> </v>
      </c>
      <c r="D23" s="42"/>
      <c r="E23" s="42"/>
      <c r="J23" s="17">
        <f t="shared" si="3"/>
        <v>0</v>
      </c>
      <c r="K23" s="2" t="str">
        <f t="shared" si="4"/>
        <v xml:space="preserve"> </v>
      </c>
      <c r="L23" s="2" t="str">
        <f t="shared" si="1"/>
        <v xml:space="preserve"> </v>
      </c>
      <c r="M23" s="2" t="str">
        <f t="shared" si="2"/>
        <v xml:space="preserve"> </v>
      </c>
    </row>
    <row r="24" spans="1:13" x14ac:dyDescent="0.25">
      <c r="A24" s="43" t="str">
        <f t="shared" si="0"/>
        <v xml:space="preserve"> </v>
      </c>
      <c r="D24" s="42"/>
      <c r="E24" s="42"/>
      <c r="J24" s="17">
        <f t="shared" si="3"/>
        <v>0</v>
      </c>
      <c r="K24" s="2" t="str">
        <f t="shared" si="4"/>
        <v xml:space="preserve"> </v>
      </c>
      <c r="L24" s="2" t="str">
        <f t="shared" si="1"/>
        <v xml:space="preserve"> </v>
      </c>
      <c r="M24" s="2" t="str">
        <f t="shared" si="2"/>
        <v xml:space="preserve"> </v>
      </c>
    </row>
    <row r="25" spans="1:13" x14ac:dyDescent="0.25">
      <c r="A25" s="43" t="str">
        <f t="shared" si="0"/>
        <v xml:space="preserve"> </v>
      </c>
      <c r="C25" s="61"/>
      <c r="D25" s="42"/>
      <c r="E25" s="42"/>
      <c r="J25" s="17">
        <f t="shared" si="3"/>
        <v>0</v>
      </c>
      <c r="K25" s="2" t="str">
        <f t="shared" si="4"/>
        <v xml:space="preserve"> </v>
      </c>
      <c r="L25" s="2" t="str">
        <f t="shared" si="1"/>
        <v xml:space="preserve"> </v>
      </c>
      <c r="M25" s="2" t="str">
        <f t="shared" si="2"/>
        <v xml:space="preserve"> </v>
      </c>
    </row>
    <row r="26" spans="1:13" x14ac:dyDescent="0.25">
      <c r="A26" s="43" t="str">
        <f t="shared" si="0"/>
        <v xml:space="preserve"> </v>
      </c>
      <c r="D26" s="42"/>
      <c r="E26" s="42"/>
      <c r="J26" s="17">
        <f t="shared" si="3"/>
        <v>0</v>
      </c>
      <c r="K26" s="2" t="str">
        <f t="shared" si="4"/>
        <v xml:space="preserve"> </v>
      </c>
      <c r="L26" s="2" t="str">
        <f t="shared" si="1"/>
        <v xml:space="preserve"> </v>
      </c>
      <c r="M26" s="2" t="str">
        <f t="shared" si="2"/>
        <v xml:space="preserve"> </v>
      </c>
    </row>
    <row r="27" spans="1:13" x14ac:dyDescent="0.25">
      <c r="A27" s="43" t="str">
        <f t="shared" si="0"/>
        <v xml:space="preserve"> </v>
      </c>
      <c r="D27" s="42"/>
      <c r="E27" s="42"/>
      <c r="J27" s="17">
        <f t="shared" si="3"/>
        <v>0</v>
      </c>
      <c r="K27" s="2" t="str">
        <f t="shared" si="4"/>
        <v xml:space="preserve"> </v>
      </c>
      <c r="L27" s="2" t="str">
        <f t="shared" si="1"/>
        <v xml:space="preserve"> </v>
      </c>
      <c r="M27" s="2" t="str">
        <f t="shared" si="2"/>
        <v xml:space="preserve"> </v>
      </c>
    </row>
    <row r="28" spans="1:13" x14ac:dyDescent="0.25">
      <c r="A28" s="43" t="str">
        <f t="shared" si="0"/>
        <v xml:space="preserve"> </v>
      </c>
      <c r="D28" s="42"/>
      <c r="E28" s="42"/>
      <c r="J28" s="17">
        <f t="shared" si="3"/>
        <v>0</v>
      </c>
      <c r="K28" s="2" t="str">
        <f t="shared" si="4"/>
        <v xml:space="preserve"> </v>
      </c>
      <c r="L28" s="2" t="str">
        <f t="shared" si="1"/>
        <v xml:space="preserve"> </v>
      </c>
      <c r="M28" s="2" t="str">
        <f t="shared" si="2"/>
        <v xml:space="preserve"> </v>
      </c>
    </row>
    <row r="29" spans="1:13" x14ac:dyDescent="0.25">
      <c r="A29" s="43" t="str">
        <f t="shared" si="0"/>
        <v xml:space="preserve"> </v>
      </c>
      <c r="D29" s="42"/>
      <c r="E29" s="42"/>
      <c r="J29" s="17">
        <f t="shared" si="3"/>
        <v>0</v>
      </c>
      <c r="K29" s="2" t="str">
        <f t="shared" si="4"/>
        <v xml:space="preserve"> </v>
      </c>
      <c r="L29" s="2" t="str">
        <f t="shared" si="1"/>
        <v xml:space="preserve"> </v>
      </c>
      <c r="M29" s="2" t="str">
        <f t="shared" si="2"/>
        <v xml:space="preserve"> </v>
      </c>
    </row>
    <row r="30" spans="1:13" x14ac:dyDescent="0.25">
      <c r="A30" s="43" t="str">
        <f t="shared" si="0"/>
        <v xml:space="preserve"> </v>
      </c>
      <c r="D30" s="42"/>
      <c r="E30" s="42"/>
      <c r="J30" s="17">
        <f t="shared" si="3"/>
        <v>0</v>
      </c>
      <c r="K30" s="2" t="str">
        <f t="shared" si="4"/>
        <v xml:space="preserve"> </v>
      </c>
      <c r="L30" s="2" t="str">
        <f t="shared" si="1"/>
        <v xml:space="preserve"> </v>
      </c>
      <c r="M30" s="2" t="str">
        <f t="shared" si="2"/>
        <v xml:space="preserve"> </v>
      </c>
    </row>
    <row r="31" spans="1:13" x14ac:dyDescent="0.25">
      <c r="A31" s="43" t="str">
        <f t="shared" si="0"/>
        <v xml:space="preserve"> </v>
      </c>
      <c r="D31" s="42"/>
      <c r="E31" s="42"/>
      <c r="J31" s="17">
        <f t="shared" si="3"/>
        <v>0</v>
      </c>
      <c r="K31" s="2" t="str">
        <f t="shared" si="4"/>
        <v xml:space="preserve"> </v>
      </c>
      <c r="L31" s="2" t="str">
        <f t="shared" si="1"/>
        <v xml:space="preserve"> </v>
      </c>
      <c r="M31" s="2" t="str">
        <f t="shared" si="2"/>
        <v xml:space="preserve"> </v>
      </c>
    </row>
    <row r="32" spans="1:13" x14ac:dyDescent="0.25">
      <c r="A32" s="43" t="str">
        <f t="shared" si="0"/>
        <v xml:space="preserve"> </v>
      </c>
      <c r="D32" s="42"/>
      <c r="E32" s="42"/>
      <c r="J32" s="17">
        <f t="shared" si="3"/>
        <v>0</v>
      </c>
      <c r="K32" s="2" t="str">
        <f t="shared" si="4"/>
        <v xml:space="preserve"> </v>
      </c>
      <c r="L32" s="2" t="str">
        <f t="shared" si="1"/>
        <v xml:space="preserve"> </v>
      </c>
      <c r="M32" s="2" t="str">
        <f t="shared" si="2"/>
        <v xml:space="preserve"> </v>
      </c>
    </row>
    <row r="33" spans="1:13" x14ac:dyDescent="0.25">
      <c r="A33" s="43" t="str">
        <f t="shared" si="0"/>
        <v xml:space="preserve"> </v>
      </c>
      <c r="D33" s="42"/>
      <c r="E33" s="42"/>
      <c r="J33" s="17">
        <f t="shared" si="3"/>
        <v>0</v>
      </c>
      <c r="K33" s="2" t="str">
        <f t="shared" si="4"/>
        <v xml:space="preserve"> </v>
      </c>
      <c r="L33" s="2" t="str">
        <f t="shared" si="1"/>
        <v xml:space="preserve"> </v>
      </c>
      <c r="M33" s="2" t="str">
        <f t="shared" si="2"/>
        <v xml:space="preserve"> </v>
      </c>
    </row>
    <row r="34" spans="1:13" x14ac:dyDescent="0.25">
      <c r="A34" s="43" t="str">
        <f t="shared" si="0"/>
        <v xml:space="preserve"> </v>
      </c>
      <c r="D34" s="42"/>
      <c r="E34" s="42"/>
      <c r="J34" s="17">
        <f t="shared" si="3"/>
        <v>0</v>
      </c>
      <c r="K34" s="2" t="str">
        <f t="shared" si="4"/>
        <v xml:space="preserve"> </v>
      </c>
      <c r="L34" s="2" t="str">
        <f t="shared" si="1"/>
        <v xml:space="preserve"> </v>
      </c>
      <c r="M34" s="2" t="str">
        <f t="shared" si="2"/>
        <v xml:space="preserve"> </v>
      </c>
    </row>
    <row r="35" spans="1:13" x14ac:dyDescent="0.25">
      <c r="A35" s="43" t="str">
        <f t="shared" si="0"/>
        <v xml:space="preserve"> </v>
      </c>
      <c r="D35" s="42"/>
      <c r="E35" s="42"/>
      <c r="J35" s="17">
        <f t="shared" si="3"/>
        <v>0</v>
      </c>
      <c r="K35" s="2" t="str">
        <f t="shared" si="4"/>
        <v xml:space="preserve"> </v>
      </c>
      <c r="L35" s="2" t="str">
        <f t="shared" si="1"/>
        <v xml:space="preserve"> </v>
      </c>
      <c r="M35" s="2" t="str">
        <f t="shared" si="2"/>
        <v xml:space="preserve"> </v>
      </c>
    </row>
    <row r="36" spans="1:13" x14ac:dyDescent="0.25">
      <c r="A36" s="43" t="str">
        <f t="shared" si="0"/>
        <v xml:space="preserve"> </v>
      </c>
      <c r="D36" s="42"/>
      <c r="E36" s="42"/>
      <c r="J36" s="17">
        <f t="shared" si="3"/>
        <v>0</v>
      </c>
      <c r="K36" s="2" t="str">
        <f t="shared" si="4"/>
        <v xml:space="preserve"> </v>
      </c>
      <c r="L36" s="2" t="str">
        <f t="shared" si="1"/>
        <v xml:space="preserve"> </v>
      </c>
      <c r="M36" s="2" t="str">
        <f t="shared" si="2"/>
        <v xml:space="preserve"> </v>
      </c>
    </row>
    <row r="37" spans="1:13" x14ac:dyDescent="0.25">
      <c r="A37" s="43" t="str">
        <f t="shared" si="0"/>
        <v xml:space="preserve"> </v>
      </c>
      <c r="D37" s="42"/>
      <c r="E37" s="42"/>
      <c r="J37" s="17">
        <f t="shared" si="3"/>
        <v>0</v>
      </c>
      <c r="K37" s="2" t="str">
        <f t="shared" si="4"/>
        <v xml:space="preserve"> </v>
      </c>
      <c r="L37" s="2" t="str">
        <f t="shared" si="1"/>
        <v xml:space="preserve"> </v>
      </c>
      <c r="M37" s="2" t="str">
        <f t="shared" si="2"/>
        <v xml:space="preserve"> </v>
      </c>
    </row>
    <row r="38" spans="1:13" x14ac:dyDescent="0.25">
      <c r="A38" s="43" t="str">
        <f t="shared" si="0"/>
        <v xml:space="preserve"> </v>
      </c>
      <c r="D38" s="42"/>
      <c r="E38" s="42"/>
      <c r="J38" s="17">
        <f t="shared" si="3"/>
        <v>0</v>
      </c>
      <c r="K38" s="2" t="str">
        <f t="shared" si="4"/>
        <v xml:space="preserve"> </v>
      </c>
      <c r="L38" s="2" t="str">
        <f t="shared" si="1"/>
        <v xml:space="preserve"> </v>
      </c>
      <c r="M38" s="2" t="str">
        <f t="shared" si="2"/>
        <v xml:space="preserve"> </v>
      </c>
    </row>
    <row r="39" spans="1:13" x14ac:dyDescent="0.25">
      <c r="A39" s="43" t="str">
        <f t="shared" si="0"/>
        <v xml:space="preserve"> </v>
      </c>
      <c r="D39" s="42"/>
      <c r="E39" s="42"/>
      <c r="J39" s="17">
        <f t="shared" si="3"/>
        <v>0</v>
      </c>
      <c r="K39" s="2" t="str">
        <f t="shared" si="4"/>
        <v xml:space="preserve"> </v>
      </c>
      <c r="L39" s="2" t="str">
        <f t="shared" si="1"/>
        <v xml:space="preserve"> </v>
      </c>
      <c r="M39" s="2" t="str">
        <f t="shared" si="2"/>
        <v xml:space="preserve"> </v>
      </c>
    </row>
    <row r="40" spans="1:13" x14ac:dyDescent="0.25">
      <c r="A40" s="43" t="str">
        <f t="shared" si="0"/>
        <v xml:space="preserve"> </v>
      </c>
      <c r="D40" s="42"/>
      <c r="E40" s="42"/>
      <c r="J40" s="17">
        <f t="shared" si="3"/>
        <v>0</v>
      </c>
      <c r="K40" s="2" t="str">
        <f t="shared" si="4"/>
        <v xml:space="preserve"> </v>
      </c>
      <c r="L40" s="2" t="str">
        <f t="shared" si="1"/>
        <v xml:space="preserve"> </v>
      </c>
      <c r="M40" s="2" t="str">
        <f t="shared" si="2"/>
        <v xml:space="preserve"> </v>
      </c>
    </row>
    <row r="41" spans="1:13" x14ac:dyDescent="0.25">
      <c r="A41" s="43" t="str">
        <f t="shared" si="0"/>
        <v xml:space="preserve"> </v>
      </c>
      <c r="D41" s="42"/>
      <c r="E41" s="42"/>
      <c r="J41" s="17">
        <f t="shared" si="3"/>
        <v>0</v>
      </c>
      <c r="K41" s="2" t="str">
        <f t="shared" si="4"/>
        <v xml:space="preserve"> </v>
      </c>
      <c r="L41" s="2" t="str">
        <f t="shared" si="1"/>
        <v xml:space="preserve"> </v>
      </c>
      <c r="M41" s="2" t="str">
        <f t="shared" si="2"/>
        <v xml:space="preserve"> </v>
      </c>
    </row>
    <row r="42" spans="1:13" x14ac:dyDescent="0.25">
      <c r="A42" s="43" t="str">
        <f t="shared" si="0"/>
        <v xml:space="preserve"> </v>
      </c>
      <c r="D42" s="42"/>
      <c r="E42" s="42"/>
      <c r="J42" s="17">
        <f t="shared" si="3"/>
        <v>0</v>
      </c>
      <c r="K42" s="2" t="str">
        <f t="shared" si="4"/>
        <v xml:space="preserve"> </v>
      </c>
      <c r="L42" s="2" t="str">
        <f t="shared" si="1"/>
        <v xml:space="preserve"> </v>
      </c>
      <c r="M42" s="2" t="str">
        <f t="shared" si="2"/>
        <v xml:space="preserve"> </v>
      </c>
    </row>
    <row r="43" spans="1:13" x14ac:dyDescent="0.25">
      <c r="A43" s="43" t="str">
        <f t="shared" si="0"/>
        <v xml:space="preserve"> </v>
      </c>
      <c r="D43" s="42"/>
      <c r="E43" s="42"/>
      <c r="J43" s="17">
        <f t="shared" si="3"/>
        <v>0</v>
      </c>
      <c r="K43" s="2" t="str">
        <f t="shared" si="4"/>
        <v xml:space="preserve"> </v>
      </c>
      <c r="L43" s="2" t="str">
        <f t="shared" si="1"/>
        <v xml:space="preserve"> </v>
      </c>
      <c r="M43" s="2" t="str">
        <f t="shared" si="2"/>
        <v xml:space="preserve"> </v>
      </c>
    </row>
    <row r="44" spans="1:13" x14ac:dyDescent="0.25">
      <c r="A44" s="43" t="str">
        <f t="shared" si="0"/>
        <v xml:space="preserve"> </v>
      </c>
      <c r="D44" s="42"/>
      <c r="E44" s="42"/>
      <c r="J44" s="17">
        <f t="shared" si="3"/>
        <v>0</v>
      </c>
      <c r="K44" s="2" t="str">
        <f t="shared" si="4"/>
        <v xml:space="preserve"> </v>
      </c>
      <c r="L44" s="2" t="str">
        <f t="shared" si="1"/>
        <v xml:space="preserve"> </v>
      </c>
      <c r="M44" s="2" t="str">
        <f t="shared" si="2"/>
        <v xml:space="preserve"> </v>
      </c>
    </row>
    <row r="45" spans="1:13" x14ac:dyDescent="0.25">
      <c r="A45" s="43" t="str">
        <f t="shared" si="0"/>
        <v xml:space="preserve"> </v>
      </c>
      <c r="D45" s="42"/>
      <c r="E45" s="42"/>
      <c r="J45" s="17">
        <f t="shared" si="3"/>
        <v>0</v>
      </c>
      <c r="K45" s="2" t="str">
        <f t="shared" si="4"/>
        <v xml:space="preserve"> </v>
      </c>
      <c r="L45" s="2" t="str">
        <f t="shared" si="1"/>
        <v xml:space="preserve"> </v>
      </c>
      <c r="M45" s="2" t="str">
        <f t="shared" si="2"/>
        <v xml:space="preserve"> </v>
      </c>
    </row>
    <row r="46" spans="1:13" x14ac:dyDescent="0.25">
      <c r="A46" s="43" t="str">
        <f t="shared" si="0"/>
        <v xml:space="preserve"> </v>
      </c>
      <c r="D46" s="42"/>
      <c r="E46" s="42"/>
      <c r="J46" s="17">
        <f t="shared" si="3"/>
        <v>0</v>
      </c>
      <c r="K46" s="2" t="str">
        <f t="shared" si="4"/>
        <v xml:space="preserve"> </v>
      </c>
      <c r="L46" s="2" t="str">
        <f t="shared" si="1"/>
        <v xml:space="preserve"> </v>
      </c>
      <c r="M46" s="2" t="str">
        <f t="shared" si="2"/>
        <v xml:space="preserve"> </v>
      </c>
    </row>
    <row r="47" spans="1:13" x14ac:dyDescent="0.25">
      <c r="A47" s="43" t="str">
        <f t="shared" si="0"/>
        <v xml:space="preserve"> </v>
      </c>
      <c r="D47" s="42"/>
      <c r="E47" s="42"/>
      <c r="J47" s="17">
        <f t="shared" si="3"/>
        <v>0</v>
      </c>
      <c r="K47" s="2" t="str">
        <f t="shared" si="4"/>
        <v xml:space="preserve"> </v>
      </c>
      <c r="L47" s="2" t="str">
        <f t="shared" si="1"/>
        <v xml:space="preserve"> </v>
      </c>
      <c r="M47" s="2" t="str">
        <f t="shared" si="2"/>
        <v xml:space="preserve"> </v>
      </c>
    </row>
    <row r="48" spans="1:13" x14ac:dyDescent="0.25">
      <c r="A48" s="43" t="str">
        <f t="shared" si="0"/>
        <v xml:space="preserve"> </v>
      </c>
      <c r="D48" s="42"/>
      <c r="E48" s="42"/>
      <c r="J48" s="17">
        <f t="shared" si="3"/>
        <v>0</v>
      </c>
      <c r="K48" s="2" t="str">
        <f t="shared" si="4"/>
        <v xml:space="preserve"> </v>
      </c>
      <c r="L48" s="2" t="str">
        <f t="shared" si="1"/>
        <v xml:space="preserve"> </v>
      </c>
      <c r="M48" s="2" t="str">
        <f t="shared" si="2"/>
        <v xml:space="preserve"> </v>
      </c>
    </row>
    <row r="49" spans="1:13" x14ac:dyDescent="0.25">
      <c r="A49" s="43" t="str">
        <f t="shared" si="0"/>
        <v xml:space="preserve"> </v>
      </c>
      <c r="D49" s="42"/>
      <c r="E49" s="42"/>
      <c r="J49" s="17">
        <f t="shared" si="3"/>
        <v>0</v>
      </c>
      <c r="K49" s="2" t="str">
        <f t="shared" si="4"/>
        <v xml:space="preserve"> </v>
      </c>
      <c r="L49" s="2" t="str">
        <f t="shared" si="1"/>
        <v xml:space="preserve"> </v>
      </c>
      <c r="M49" s="2" t="str">
        <f t="shared" si="2"/>
        <v xml:space="preserve"> </v>
      </c>
    </row>
    <row r="50" spans="1:13" x14ac:dyDescent="0.25">
      <c r="A50" s="43" t="str">
        <f t="shared" si="0"/>
        <v xml:space="preserve"> </v>
      </c>
      <c r="D50" s="42"/>
      <c r="E50" s="42"/>
      <c r="J50" s="17">
        <f t="shared" si="3"/>
        <v>0</v>
      </c>
      <c r="K50" s="2" t="str">
        <f t="shared" si="4"/>
        <v xml:space="preserve"> </v>
      </c>
      <c r="L50" s="2" t="str">
        <f t="shared" si="1"/>
        <v xml:space="preserve"> </v>
      </c>
      <c r="M50" s="2" t="str">
        <f t="shared" si="2"/>
        <v xml:space="preserve"> </v>
      </c>
    </row>
    <row r="51" spans="1:13" x14ac:dyDescent="0.25">
      <c r="A51" s="43" t="str">
        <f t="shared" si="0"/>
        <v xml:space="preserve"> </v>
      </c>
      <c r="D51" s="42"/>
      <c r="E51" s="42"/>
      <c r="J51" s="17">
        <f t="shared" si="3"/>
        <v>0</v>
      </c>
      <c r="K51" s="2" t="str">
        <f t="shared" si="4"/>
        <v xml:space="preserve"> </v>
      </c>
      <c r="L51" s="2" t="str">
        <f t="shared" si="1"/>
        <v xml:space="preserve"> </v>
      </c>
      <c r="M51" s="2" t="str">
        <f t="shared" si="2"/>
        <v xml:space="preserve"> </v>
      </c>
    </row>
    <row r="52" spans="1:13" x14ac:dyDescent="0.25">
      <c r="A52" s="43" t="str">
        <f t="shared" si="0"/>
        <v xml:space="preserve"> </v>
      </c>
      <c r="D52" s="42"/>
      <c r="E52" s="42"/>
      <c r="J52" s="17">
        <f t="shared" si="3"/>
        <v>0</v>
      </c>
      <c r="K52" s="2" t="str">
        <f t="shared" si="4"/>
        <v xml:space="preserve"> </v>
      </c>
      <c r="L52" s="2" t="str">
        <f t="shared" si="1"/>
        <v xml:space="preserve"> </v>
      </c>
      <c r="M52" s="2" t="str">
        <f t="shared" si="2"/>
        <v xml:space="preserve"> </v>
      </c>
    </row>
    <row r="53" spans="1:13" x14ac:dyDescent="0.25">
      <c r="A53" s="43" t="str">
        <f t="shared" si="0"/>
        <v xml:space="preserve"> </v>
      </c>
      <c r="D53" s="42"/>
      <c r="E53" s="42"/>
      <c r="J53" s="17">
        <f t="shared" si="3"/>
        <v>0</v>
      </c>
      <c r="K53" s="2" t="str">
        <f t="shared" si="4"/>
        <v xml:space="preserve"> </v>
      </c>
      <c r="L53" s="2" t="str">
        <f t="shared" si="1"/>
        <v xml:space="preserve"> </v>
      </c>
      <c r="M53" s="2" t="str">
        <f t="shared" si="2"/>
        <v xml:space="preserve"> </v>
      </c>
    </row>
    <row r="54" spans="1:13" x14ac:dyDescent="0.25">
      <c r="A54" s="43" t="str">
        <f t="shared" si="0"/>
        <v xml:space="preserve"> </v>
      </c>
      <c r="D54" s="42"/>
      <c r="E54" s="42"/>
      <c r="J54" s="17">
        <f t="shared" si="3"/>
        <v>0</v>
      </c>
      <c r="K54" s="2" t="str">
        <f t="shared" si="4"/>
        <v xml:space="preserve"> </v>
      </c>
      <c r="L54" s="2" t="str">
        <f t="shared" si="1"/>
        <v xml:space="preserve"> </v>
      </c>
      <c r="M54" s="2" t="str">
        <f t="shared" si="2"/>
        <v xml:space="preserve"> </v>
      </c>
    </row>
    <row r="55" spans="1:13" x14ac:dyDescent="0.25">
      <c r="A55" s="43" t="str">
        <f t="shared" si="0"/>
        <v xml:space="preserve"> </v>
      </c>
      <c r="D55" s="42"/>
      <c r="E55" s="42"/>
      <c r="J55" s="17">
        <f t="shared" si="3"/>
        <v>0</v>
      </c>
      <c r="K55" s="2" t="str">
        <f t="shared" si="4"/>
        <v xml:space="preserve"> </v>
      </c>
      <c r="L55" s="2" t="str">
        <f t="shared" si="1"/>
        <v xml:space="preserve"> </v>
      </c>
      <c r="M55" s="2" t="str">
        <f t="shared" si="2"/>
        <v xml:space="preserve"> </v>
      </c>
    </row>
    <row r="56" spans="1:13" x14ac:dyDescent="0.25">
      <c r="A56" s="43" t="str">
        <f t="shared" si="0"/>
        <v xml:space="preserve"> </v>
      </c>
      <c r="D56" s="42"/>
      <c r="E56" s="42"/>
      <c r="J56" s="17">
        <f t="shared" si="3"/>
        <v>0</v>
      </c>
      <c r="K56" s="2" t="str">
        <f t="shared" si="4"/>
        <v xml:space="preserve"> </v>
      </c>
      <c r="L56" s="2" t="str">
        <f t="shared" si="1"/>
        <v xml:space="preserve"> </v>
      </c>
      <c r="M56" s="2" t="str">
        <f t="shared" si="2"/>
        <v xml:space="preserve"> </v>
      </c>
    </row>
    <row r="57" spans="1:13" x14ac:dyDescent="0.25">
      <c r="A57" s="43" t="str">
        <f t="shared" si="0"/>
        <v xml:space="preserve"> </v>
      </c>
      <c r="D57" s="42"/>
      <c r="E57" s="42"/>
      <c r="J57" s="17">
        <f t="shared" si="3"/>
        <v>0</v>
      </c>
      <c r="K57" s="2" t="str">
        <f t="shared" si="4"/>
        <v xml:space="preserve"> </v>
      </c>
      <c r="L57" s="2" t="str">
        <f t="shared" si="1"/>
        <v xml:space="preserve"> </v>
      </c>
      <c r="M57" s="2" t="str">
        <f t="shared" si="2"/>
        <v xml:space="preserve"> </v>
      </c>
    </row>
    <row r="58" spans="1:13" x14ac:dyDescent="0.25">
      <c r="A58" s="43" t="str">
        <f t="shared" si="0"/>
        <v xml:space="preserve"> </v>
      </c>
      <c r="D58" s="42"/>
      <c r="E58" s="42"/>
      <c r="J58" s="17">
        <f t="shared" si="3"/>
        <v>0</v>
      </c>
      <c r="K58" s="2" t="str">
        <f t="shared" si="4"/>
        <v xml:space="preserve"> </v>
      </c>
      <c r="L58" s="2" t="str">
        <f t="shared" si="1"/>
        <v xml:space="preserve"> </v>
      </c>
      <c r="M58" s="2" t="str">
        <f t="shared" si="2"/>
        <v xml:space="preserve"> </v>
      </c>
    </row>
    <row r="59" spans="1:13" x14ac:dyDescent="0.25">
      <c r="A59" s="43" t="str">
        <f t="shared" si="0"/>
        <v xml:space="preserve"> </v>
      </c>
      <c r="D59" s="42"/>
      <c r="E59" s="42"/>
      <c r="J59" s="17">
        <f t="shared" si="3"/>
        <v>0</v>
      </c>
      <c r="K59" s="2" t="str">
        <f t="shared" si="4"/>
        <v xml:space="preserve"> </v>
      </c>
      <c r="L59" s="2" t="str">
        <f t="shared" si="1"/>
        <v xml:space="preserve"> </v>
      </c>
      <c r="M59" s="2" t="str">
        <f t="shared" si="2"/>
        <v xml:space="preserve"> </v>
      </c>
    </row>
    <row r="60" spans="1:13" x14ac:dyDescent="0.25">
      <c r="A60" s="43" t="str">
        <f t="shared" si="0"/>
        <v xml:space="preserve"> </v>
      </c>
      <c r="D60" s="42"/>
      <c r="E60" s="42"/>
      <c r="J60" s="17">
        <f t="shared" si="3"/>
        <v>0</v>
      </c>
      <c r="K60" s="2" t="str">
        <f t="shared" si="4"/>
        <v xml:space="preserve"> </v>
      </c>
      <c r="L60" s="2" t="str">
        <f t="shared" si="1"/>
        <v xml:space="preserve"> </v>
      </c>
      <c r="M60" s="2" t="str">
        <f t="shared" si="2"/>
        <v xml:space="preserve"> </v>
      </c>
    </row>
    <row r="61" spans="1:13" x14ac:dyDescent="0.25">
      <c r="A61" s="43" t="str">
        <f t="shared" si="0"/>
        <v xml:space="preserve"> </v>
      </c>
      <c r="D61" s="42"/>
      <c r="E61" s="42"/>
      <c r="J61" s="17">
        <f t="shared" si="3"/>
        <v>0</v>
      </c>
      <c r="K61" s="2" t="str">
        <f t="shared" si="4"/>
        <v xml:space="preserve"> </v>
      </c>
      <c r="L61" s="2" t="str">
        <f t="shared" si="1"/>
        <v xml:space="preserve"> </v>
      </c>
      <c r="M61" s="2" t="str">
        <f t="shared" si="2"/>
        <v xml:space="preserve"> </v>
      </c>
    </row>
    <row r="62" spans="1:13" x14ac:dyDescent="0.25">
      <c r="A62" s="43" t="str">
        <f t="shared" si="0"/>
        <v xml:space="preserve"> </v>
      </c>
      <c r="D62" s="42"/>
      <c r="E62" s="42"/>
      <c r="J62" s="17">
        <f t="shared" si="3"/>
        <v>0</v>
      </c>
      <c r="K62" s="2" t="str">
        <f t="shared" si="4"/>
        <v xml:space="preserve"> </v>
      </c>
      <c r="L62" s="2" t="str">
        <f t="shared" si="1"/>
        <v xml:space="preserve"> </v>
      </c>
      <c r="M62" s="2" t="str">
        <f t="shared" si="2"/>
        <v xml:space="preserve"> </v>
      </c>
    </row>
    <row r="63" spans="1:13" x14ac:dyDescent="0.25">
      <c r="A63" s="43" t="str">
        <f t="shared" si="0"/>
        <v xml:space="preserve"> </v>
      </c>
      <c r="D63" s="42"/>
      <c r="E63" s="42"/>
      <c r="J63" s="17">
        <f t="shared" si="3"/>
        <v>0</v>
      </c>
      <c r="K63" s="2" t="str">
        <f t="shared" si="4"/>
        <v xml:space="preserve"> </v>
      </c>
      <c r="L63" s="2" t="str">
        <f t="shared" si="1"/>
        <v xml:space="preserve"> </v>
      </c>
      <c r="M63" s="2" t="str">
        <f t="shared" si="2"/>
        <v xml:space="preserve"> </v>
      </c>
    </row>
    <row r="64" spans="1:13" x14ac:dyDescent="0.25">
      <c r="A64" s="43" t="str">
        <f t="shared" si="0"/>
        <v xml:space="preserve"> </v>
      </c>
      <c r="D64" s="42"/>
      <c r="E64" s="42"/>
      <c r="J64" s="17">
        <f t="shared" si="3"/>
        <v>0</v>
      </c>
      <c r="K64" s="2" t="str">
        <f t="shared" si="4"/>
        <v xml:space="preserve"> </v>
      </c>
      <c r="L64" s="2" t="str">
        <f t="shared" si="1"/>
        <v xml:space="preserve"> </v>
      </c>
      <c r="M64" s="2" t="str">
        <f t="shared" si="2"/>
        <v xml:space="preserve"> </v>
      </c>
    </row>
    <row r="65" spans="1:13" x14ac:dyDescent="0.25">
      <c r="A65" s="43" t="str">
        <f t="shared" si="0"/>
        <v xml:space="preserve"> </v>
      </c>
      <c r="D65" s="42"/>
      <c r="E65" s="42"/>
      <c r="J65" s="17">
        <f t="shared" si="3"/>
        <v>0</v>
      </c>
      <c r="K65" s="2" t="str">
        <f t="shared" si="4"/>
        <v xml:space="preserve"> </v>
      </c>
      <c r="L65" s="2" t="str">
        <f t="shared" si="1"/>
        <v xml:space="preserve"> </v>
      </c>
      <c r="M65" s="2" t="str">
        <f t="shared" si="2"/>
        <v xml:space="preserve"> </v>
      </c>
    </row>
    <row r="66" spans="1:13" x14ac:dyDescent="0.25">
      <c r="A66" s="43" t="str">
        <f t="shared" si="0"/>
        <v xml:space="preserve"> </v>
      </c>
      <c r="D66" s="42"/>
      <c r="E66" s="42"/>
      <c r="J66" s="17">
        <f t="shared" si="3"/>
        <v>0</v>
      </c>
      <c r="K66" s="2" t="str">
        <f t="shared" si="4"/>
        <v xml:space="preserve"> </v>
      </c>
      <c r="L66" s="2" t="str">
        <f t="shared" si="1"/>
        <v xml:space="preserve"> </v>
      </c>
      <c r="M66" s="2" t="str">
        <f t="shared" si="2"/>
        <v xml:space="preserve"> </v>
      </c>
    </row>
    <row r="67" spans="1:13" x14ac:dyDescent="0.25">
      <c r="A67" s="43" t="str">
        <f t="shared" si="0"/>
        <v xml:space="preserve"> </v>
      </c>
      <c r="D67" s="42"/>
      <c r="E67" s="42"/>
      <c r="J67" s="17">
        <f t="shared" si="3"/>
        <v>0</v>
      </c>
      <c r="K67" s="2" t="str">
        <f t="shared" si="4"/>
        <v xml:space="preserve"> </v>
      </c>
      <c r="L67" s="2" t="str">
        <f t="shared" si="1"/>
        <v xml:space="preserve"> </v>
      </c>
      <c r="M67" s="2" t="str">
        <f t="shared" si="2"/>
        <v xml:space="preserve"> </v>
      </c>
    </row>
    <row r="68" spans="1:13" x14ac:dyDescent="0.25">
      <c r="A68" s="43" t="str">
        <f t="shared" si="0"/>
        <v xml:space="preserve"> </v>
      </c>
      <c r="D68" s="42"/>
      <c r="E68" s="42"/>
      <c r="J68" s="17">
        <f t="shared" si="3"/>
        <v>0</v>
      </c>
      <c r="K68" s="2" t="str">
        <f t="shared" si="4"/>
        <v xml:space="preserve"> </v>
      </c>
      <c r="L68" s="2" t="str">
        <f t="shared" si="1"/>
        <v xml:space="preserve"> </v>
      </c>
      <c r="M68" s="2" t="str">
        <f t="shared" si="2"/>
        <v xml:space="preserve"> </v>
      </c>
    </row>
    <row r="69" spans="1:13" x14ac:dyDescent="0.25">
      <c r="A69" s="43" t="str">
        <f t="shared" si="0"/>
        <v xml:space="preserve"> </v>
      </c>
      <c r="D69" s="42"/>
      <c r="E69" s="42"/>
      <c r="J69" s="17">
        <f t="shared" si="3"/>
        <v>0</v>
      </c>
      <c r="K69" s="2" t="str">
        <f t="shared" si="4"/>
        <v xml:space="preserve"> </v>
      </c>
      <c r="L69" s="2" t="str">
        <f t="shared" si="1"/>
        <v xml:space="preserve"> </v>
      </c>
      <c r="M69" s="2" t="str">
        <f t="shared" si="2"/>
        <v xml:space="preserve"> </v>
      </c>
    </row>
    <row r="70" spans="1:13" x14ac:dyDescent="0.25">
      <c r="A70" s="43" t="str">
        <f t="shared" si="0"/>
        <v xml:space="preserve"> </v>
      </c>
      <c r="D70" s="42"/>
      <c r="E70" s="42"/>
      <c r="J70" s="17">
        <f t="shared" si="3"/>
        <v>0</v>
      </c>
      <c r="K70" s="2" t="str">
        <f t="shared" si="4"/>
        <v xml:space="preserve"> </v>
      </c>
      <c r="L70" s="2" t="str">
        <f t="shared" si="1"/>
        <v xml:space="preserve"> </v>
      </c>
      <c r="M70" s="2" t="str">
        <f t="shared" si="2"/>
        <v xml:space="preserve"> </v>
      </c>
    </row>
    <row r="71" spans="1:13" x14ac:dyDescent="0.25">
      <c r="A71" s="43" t="str">
        <f t="shared" si="0"/>
        <v xml:space="preserve"> </v>
      </c>
      <c r="D71" s="42"/>
      <c r="E71" s="42"/>
      <c r="J71" s="17">
        <f t="shared" si="3"/>
        <v>0</v>
      </c>
      <c r="K71" s="2" t="str">
        <f t="shared" si="4"/>
        <v xml:space="preserve"> </v>
      </c>
      <c r="L71" s="2" t="str">
        <f t="shared" si="1"/>
        <v xml:space="preserve"> </v>
      </c>
      <c r="M71" s="2" t="str">
        <f t="shared" si="2"/>
        <v xml:space="preserve"> </v>
      </c>
    </row>
    <row r="72" spans="1:13" x14ac:dyDescent="0.25">
      <c r="A72" s="43" t="str">
        <f t="shared" si="0"/>
        <v xml:space="preserve"> </v>
      </c>
      <c r="D72" s="42"/>
      <c r="E72" s="42"/>
      <c r="J72" s="17">
        <f t="shared" si="3"/>
        <v>0</v>
      </c>
      <c r="K72" s="2" t="str">
        <f t="shared" si="4"/>
        <v xml:space="preserve"> </v>
      </c>
      <c r="L72" s="2" t="str">
        <f t="shared" si="1"/>
        <v xml:space="preserve"> </v>
      </c>
      <c r="M72" s="2" t="str">
        <f t="shared" si="2"/>
        <v xml:space="preserve"> </v>
      </c>
    </row>
    <row r="73" spans="1:13" x14ac:dyDescent="0.25">
      <c r="A73" s="43" t="str">
        <f t="shared" si="0"/>
        <v xml:space="preserve"> </v>
      </c>
      <c r="D73" s="42"/>
      <c r="E73" s="42"/>
      <c r="J73" s="17">
        <f t="shared" si="3"/>
        <v>0</v>
      </c>
      <c r="K73" s="2" t="str">
        <f t="shared" si="4"/>
        <v xml:space="preserve"> </v>
      </c>
      <c r="L73" s="2" t="str">
        <f t="shared" si="1"/>
        <v xml:space="preserve"> </v>
      </c>
      <c r="M73" s="2" t="str">
        <f t="shared" si="2"/>
        <v xml:space="preserve"> </v>
      </c>
    </row>
    <row r="74" spans="1:13" x14ac:dyDescent="0.25">
      <c r="A74" s="43" t="str">
        <f t="shared" si="0"/>
        <v xml:space="preserve"> </v>
      </c>
      <c r="D74" s="42"/>
      <c r="E74" s="42"/>
      <c r="J74" s="17">
        <f t="shared" si="3"/>
        <v>0</v>
      </c>
      <c r="K74" s="2" t="str">
        <f t="shared" si="4"/>
        <v xml:space="preserve"> </v>
      </c>
      <c r="L74" s="2" t="str">
        <f t="shared" si="1"/>
        <v xml:space="preserve"> </v>
      </c>
      <c r="M74" s="2" t="str">
        <f t="shared" si="2"/>
        <v xml:space="preserve"> </v>
      </c>
    </row>
    <row r="75" spans="1:13" x14ac:dyDescent="0.25">
      <c r="A75" s="43" t="str">
        <f t="shared" si="0"/>
        <v xml:space="preserve"> </v>
      </c>
      <c r="D75" s="42"/>
      <c r="E75" s="42"/>
      <c r="J75" s="17">
        <f t="shared" si="3"/>
        <v>0</v>
      </c>
      <c r="K75" s="2" t="str">
        <f t="shared" si="4"/>
        <v xml:space="preserve"> </v>
      </c>
      <c r="L75" s="2" t="str">
        <f t="shared" si="1"/>
        <v xml:space="preserve"> </v>
      </c>
      <c r="M75" s="2" t="str">
        <f t="shared" si="2"/>
        <v xml:space="preserve"> </v>
      </c>
    </row>
    <row r="76" spans="1:13" x14ac:dyDescent="0.25">
      <c r="A76" s="43" t="str">
        <f t="shared" si="0"/>
        <v xml:space="preserve"> </v>
      </c>
      <c r="D76" s="42"/>
      <c r="E76" s="42"/>
      <c r="J76" s="17">
        <f t="shared" si="3"/>
        <v>0</v>
      </c>
      <c r="K76" s="2" t="str">
        <f t="shared" si="4"/>
        <v xml:space="preserve"> </v>
      </c>
      <c r="L76" s="2" t="str">
        <f t="shared" si="1"/>
        <v xml:space="preserve"> </v>
      </c>
      <c r="M76" s="2" t="str">
        <f t="shared" si="2"/>
        <v xml:space="preserve"> </v>
      </c>
    </row>
    <row r="77" spans="1:13" x14ac:dyDescent="0.25">
      <c r="A77" s="43" t="str">
        <f t="shared" si="0"/>
        <v xml:space="preserve"> </v>
      </c>
      <c r="D77" s="42"/>
      <c r="E77" s="42"/>
      <c r="J77" s="17">
        <f t="shared" si="3"/>
        <v>0</v>
      </c>
      <c r="K77" s="2" t="str">
        <f t="shared" si="4"/>
        <v xml:space="preserve"> </v>
      </c>
      <c r="L77" s="2" t="str">
        <f t="shared" si="1"/>
        <v xml:space="preserve"> </v>
      </c>
      <c r="M77" s="2" t="str">
        <f t="shared" si="2"/>
        <v xml:space="preserve"> </v>
      </c>
    </row>
    <row r="78" spans="1:13" x14ac:dyDescent="0.25">
      <c r="A78" s="43" t="str">
        <f t="shared" si="0"/>
        <v xml:space="preserve"> </v>
      </c>
      <c r="D78" s="42"/>
      <c r="E78" s="42"/>
      <c r="J78" s="17">
        <f t="shared" si="3"/>
        <v>0</v>
      </c>
      <c r="K78" s="2" t="str">
        <f t="shared" si="4"/>
        <v xml:space="preserve"> </v>
      </c>
      <c r="L78" s="2" t="str">
        <f t="shared" si="1"/>
        <v xml:space="preserve"> </v>
      </c>
      <c r="M78" s="2" t="str">
        <f t="shared" si="2"/>
        <v xml:space="preserve"> </v>
      </c>
    </row>
    <row r="79" spans="1:13" x14ac:dyDescent="0.25">
      <c r="A79" s="43" t="str">
        <f t="shared" ref="A79:A142" si="5">IF(COUNTIF(K79:M79,"ERROR")&gt;0,"ERROR"," ")</f>
        <v xml:space="preserve"> </v>
      </c>
      <c r="D79" s="42"/>
      <c r="E79" s="42"/>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43" t="str">
        <f t="shared" si="5"/>
        <v xml:space="preserve"> </v>
      </c>
      <c r="D80" s="42"/>
      <c r="E80" s="42"/>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3" t="str">
        <f t="shared" si="5"/>
        <v xml:space="preserve"> </v>
      </c>
      <c r="D81" s="42"/>
      <c r="E81" s="42"/>
      <c r="J81" s="17">
        <f t="shared" si="8"/>
        <v>0</v>
      </c>
      <c r="K81" s="2" t="str">
        <f t="shared" si="9"/>
        <v xml:space="preserve"> </v>
      </c>
      <c r="L81" s="2" t="str">
        <f t="shared" si="6"/>
        <v xml:space="preserve"> </v>
      </c>
      <c r="M81" s="2" t="str">
        <f t="shared" si="7"/>
        <v xml:space="preserve"> </v>
      </c>
    </row>
    <row r="82" spans="1:13" x14ac:dyDescent="0.25">
      <c r="A82" s="43" t="str">
        <f t="shared" si="5"/>
        <v xml:space="preserve"> </v>
      </c>
      <c r="D82" s="42"/>
      <c r="E82" s="42"/>
      <c r="J82" s="17">
        <f t="shared" si="8"/>
        <v>0</v>
      </c>
      <c r="K82" s="2" t="str">
        <f t="shared" si="9"/>
        <v xml:space="preserve"> </v>
      </c>
      <c r="L82" s="2" t="str">
        <f t="shared" si="6"/>
        <v xml:space="preserve"> </v>
      </c>
      <c r="M82" s="2" t="str">
        <f t="shared" si="7"/>
        <v xml:space="preserve"> </v>
      </c>
    </row>
    <row r="83" spans="1:13" x14ac:dyDescent="0.25">
      <c r="A83" s="43" t="str">
        <f t="shared" si="5"/>
        <v xml:space="preserve"> </v>
      </c>
      <c r="D83" s="42"/>
      <c r="E83" s="42"/>
      <c r="J83" s="17">
        <f t="shared" si="8"/>
        <v>0</v>
      </c>
      <c r="K83" s="2" t="str">
        <f t="shared" si="9"/>
        <v xml:space="preserve"> </v>
      </c>
      <c r="L83" s="2" t="str">
        <f t="shared" si="6"/>
        <v xml:space="preserve"> </v>
      </c>
      <c r="M83" s="2" t="str">
        <f t="shared" si="7"/>
        <v xml:space="preserve"> </v>
      </c>
    </row>
    <row r="84" spans="1:13" x14ac:dyDescent="0.25">
      <c r="A84" s="43" t="str">
        <f t="shared" si="5"/>
        <v xml:space="preserve"> </v>
      </c>
      <c r="D84" s="42"/>
      <c r="E84" s="42"/>
      <c r="J84" s="17">
        <f t="shared" si="8"/>
        <v>0</v>
      </c>
      <c r="K84" s="2" t="str">
        <f t="shared" si="9"/>
        <v xml:space="preserve"> </v>
      </c>
      <c r="L84" s="2" t="str">
        <f t="shared" si="6"/>
        <v xml:space="preserve"> </v>
      </c>
      <c r="M84" s="2" t="str">
        <f t="shared" si="7"/>
        <v xml:space="preserve"> </v>
      </c>
    </row>
    <row r="85" spans="1:13" x14ac:dyDescent="0.25">
      <c r="A85" s="43" t="str">
        <f t="shared" si="5"/>
        <v xml:space="preserve"> </v>
      </c>
      <c r="D85" s="42"/>
      <c r="E85" s="42"/>
      <c r="J85" s="17">
        <f t="shared" si="8"/>
        <v>0</v>
      </c>
      <c r="K85" s="2" t="str">
        <f t="shared" si="9"/>
        <v xml:space="preserve"> </v>
      </c>
      <c r="L85" s="2" t="str">
        <f t="shared" si="6"/>
        <v xml:space="preserve"> </v>
      </c>
      <c r="M85" s="2" t="str">
        <f t="shared" si="7"/>
        <v xml:space="preserve"> </v>
      </c>
    </row>
    <row r="86" spans="1:13" x14ac:dyDescent="0.25">
      <c r="A86" s="43" t="str">
        <f t="shared" si="5"/>
        <v xml:space="preserve"> </v>
      </c>
      <c r="D86" s="42"/>
      <c r="E86" s="42"/>
      <c r="J86" s="17">
        <f t="shared" si="8"/>
        <v>0</v>
      </c>
      <c r="K86" s="2" t="str">
        <f t="shared" si="9"/>
        <v xml:space="preserve"> </v>
      </c>
      <c r="L86" s="2" t="str">
        <f t="shared" si="6"/>
        <v xml:space="preserve"> </v>
      </c>
      <c r="M86" s="2" t="str">
        <f t="shared" si="7"/>
        <v xml:space="preserve"> </v>
      </c>
    </row>
    <row r="87" spans="1:13" x14ac:dyDescent="0.25">
      <c r="A87" s="43" t="str">
        <f t="shared" si="5"/>
        <v xml:space="preserve"> </v>
      </c>
      <c r="D87" s="42"/>
      <c r="E87" s="42"/>
      <c r="J87" s="17">
        <f t="shared" si="8"/>
        <v>0</v>
      </c>
      <c r="K87" s="2" t="str">
        <f t="shared" si="9"/>
        <v xml:space="preserve"> </v>
      </c>
      <c r="L87" s="2" t="str">
        <f t="shared" si="6"/>
        <v xml:space="preserve"> </v>
      </c>
      <c r="M87" s="2" t="str">
        <f t="shared" si="7"/>
        <v xml:space="preserve"> </v>
      </c>
    </row>
    <row r="88" spans="1:13" x14ac:dyDescent="0.25">
      <c r="A88" s="43" t="str">
        <f t="shared" si="5"/>
        <v xml:space="preserve"> </v>
      </c>
      <c r="D88" s="42"/>
      <c r="E88" s="42"/>
      <c r="J88" s="17">
        <f t="shared" si="8"/>
        <v>0</v>
      </c>
      <c r="K88" s="2" t="str">
        <f t="shared" si="9"/>
        <v xml:space="preserve"> </v>
      </c>
      <c r="L88" s="2" t="str">
        <f t="shared" si="6"/>
        <v xml:space="preserve"> </v>
      </c>
      <c r="M88" s="2" t="str">
        <f t="shared" si="7"/>
        <v xml:space="preserve"> </v>
      </c>
    </row>
    <row r="89" spans="1:13" x14ac:dyDescent="0.25">
      <c r="A89" s="43" t="str">
        <f t="shared" si="5"/>
        <v xml:space="preserve"> </v>
      </c>
      <c r="D89" s="42"/>
      <c r="E89" s="42"/>
      <c r="J89" s="17">
        <f t="shared" si="8"/>
        <v>0</v>
      </c>
      <c r="K89" s="2" t="str">
        <f t="shared" si="9"/>
        <v xml:space="preserve"> </v>
      </c>
      <c r="L89" s="2" t="str">
        <f t="shared" si="6"/>
        <v xml:space="preserve"> </v>
      </c>
      <c r="M89" s="2" t="str">
        <f t="shared" si="7"/>
        <v xml:space="preserve"> </v>
      </c>
    </row>
    <row r="90" spans="1:13" x14ac:dyDescent="0.25">
      <c r="A90" s="43" t="str">
        <f t="shared" si="5"/>
        <v xml:space="preserve"> </v>
      </c>
      <c r="D90" s="42"/>
      <c r="E90" s="42"/>
      <c r="J90" s="17">
        <f t="shared" si="8"/>
        <v>0</v>
      </c>
      <c r="K90" s="2" t="str">
        <f t="shared" si="9"/>
        <v xml:space="preserve"> </v>
      </c>
      <c r="L90" s="2" t="str">
        <f t="shared" si="6"/>
        <v xml:space="preserve"> </v>
      </c>
      <c r="M90" s="2" t="str">
        <f t="shared" si="7"/>
        <v xml:space="preserve"> </v>
      </c>
    </row>
    <row r="91" spans="1:13" x14ac:dyDescent="0.25">
      <c r="A91" s="43" t="str">
        <f t="shared" si="5"/>
        <v xml:space="preserve"> </v>
      </c>
      <c r="D91" s="42"/>
      <c r="E91" s="42"/>
      <c r="J91" s="17">
        <f t="shared" si="8"/>
        <v>0</v>
      </c>
      <c r="K91" s="2" t="str">
        <f t="shared" si="9"/>
        <v xml:space="preserve"> </v>
      </c>
      <c r="L91" s="2" t="str">
        <f t="shared" si="6"/>
        <v xml:space="preserve"> </v>
      </c>
      <c r="M91" s="2" t="str">
        <f t="shared" si="7"/>
        <v xml:space="preserve"> </v>
      </c>
    </row>
    <row r="92" spans="1:13" x14ac:dyDescent="0.25">
      <c r="A92" s="43" t="str">
        <f t="shared" si="5"/>
        <v xml:space="preserve"> </v>
      </c>
      <c r="D92" s="42"/>
      <c r="E92" s="42"/>
      <c r="J92" s="17">
        <f t="shared" si="8"/>
        <v>0</v>
      </c>
      <c r="K92" s="2" t="str">
        <f t="shared" si="9"/>
        <v xml:space="preserve"> </v>
      </c>
      <c r="L92" s="2" t="str">
        <f t="shared" si="6"/>
        <v xml:space="preserve"> </v>
      </c>
      <c r="M92" s="2" t="str">
        <f t="shared" si="7"/>
        <v xml:space="preserve"> </v>
      </c>
    </row>
    <row r="93" spans="1:13" x14ac:dyDescent="0.25">
      <c r="A93" s="43" t="str">
        <f t="shared" si="5"/>
        <v xml:space="preserve"> </v>
      </c>
      <c r="D93" s="42"/>
      <c r="E93" s="42"/>
      <c r="J93" s="17">
        <f t="shared" si="8"/>
        <v>0</v>
      </c>
      <c r="K93" s="2" t="str">
        <f t="shared" si="9"/>
        <v xml:space="preserve"> </v>
      </c>
      <c r="L93" s="2" t="str">
        <f t="shared" si="6"/>
        <v xml:space="preserve"> </v>
      </c>
      <c r="M93" s="2" t="str">
        <f t="shared" si="7"/>
        <v xml:space="preserve"> </v>
      </c>
    </row>
    <row r="94" spans="1:13" x14ac:dyDescent="0.25">
      <c r="A94" s="43" t="str">
        <f t="shared" si="5"/>
        <v xml:space="preserve"> </v>
      </c>
      <c r="D94" s="42"/>
      <c r="E94" s="42"/>
      <c r="J94" s="17">
        <f t="shared" si="8"/>
        <v>0</v>
      </c>
      <c r="K94" s="2" t="str">
        <f t="shared" si="9"/>
        <v xml:space="preserve"> </v>
      </c>
      <c r="L94" s="2" t="str">
        <f t="shared" si="6"/>
        <v xml:space="preserve"> </v>
      </c>
      <c r="M94" s="2" t="str">
        <f t="shared" si="7"/>
        <v xml:space="preserve"> </v>
      </c>
    </row>
    <row r="95" spans="1:13" x14ac:dyDescent="0.25">
      <c r="A95" s="43" t="str">
        <f t="shared" si="5"/>
        <v xml:space="preserve"> </v>
      </c>
      <c r="D95" s="42"/>
      <c r="E95" s="42"/>
      <c r="J95" s="17">
        <f t="shared" si="8"/>
        <v>0</v>
      </c>
      <c r="K95" s="2" t="str">
        <f t="shared" si="9"/>
        <v xml:space="preserve"> </v>
      </c>
      <c r="L95" s="2" t="str">
        <f t="shared" si="6"/>
        <v xml:space="preserve"> </v>
      </c>
      <c r="M95" s="2" t="str">
        <f t="shared" si="7"/>
        <v xml:space="preserve"> </v>
      </c>
    </row>
    <row r="96" spans="1:13" x14ac:dyDescent="0.25">
      <c r="A96" s="43" t="str">
        <f t="shared" si="5"/>
        <v xml:space="preserve"> </v>
      </c>
      <c r="D96" s="42"/>
      <c r="E96" s="42"/>
      <c r="J96" s="17">
        <f t="shared" si="8"/>
        <v>0</v>
      </c>
      <c r="K96" s="2" t="str">
        <f t="shared" si="9"/>
        <v xml:space="preserve"> </v>
      </c>
      <c r="L96" s="2" t="str">
        <f t="shared" si="6"/>
        <v xml:space="preserve"> </v>
      </c>
      <c r="M96" s="2" t="str">
        <f t="shared" si="7"/>
        <v xml:space="preserve"> </v>
      </c>
    </row>
    <row r="97" spans="1:13" x14ac:dyDescent="0.25">
      <c r="A97" s="43" t="str">
        <f t="shared" si="5"/>
        <v xml:space="preserve"> </v>
      </c>
      <c r="D97" s="42"/>
      <c r="E97" s="42"/>
      <c r="J97" s="17">
        <f t="shared" si="8"/>
        <v>0</v>
      </c>
      <c r="K97" s="2" t="str">
        <f t="shared" si="9"/>
        <v xml:space="preserve"> </v>
      </c>
      <c r="L97" s="2" t="str">
        <f t="shared" si="6"/>
        <v xml:space="preserve"> </v>
      </c>
      <c r="M97" s="2" t="str">
        <f t="shared" si="7"/>
        <v xml:space="preserve"> </v>
      </c>
    </row>
    <row r="98" spans="1:13" x14ac:dyDescent="0.25">
      <c r="A98" s="43" t="str">
        <f t="shared" si="5"/>
        <v xml:space="preserve"> </v>
      </c>
      <c r="D98" s="42"/>
      <c r="E98" s="42"/>
      <c r="J98" s="17">
        <f t="shared" si="8"/>
        <v>0</v>
      </c>
      <c r="K98" s="2" t="str">
        <f t="shared" si="9"/>
        <v xml:space="preserve"> </v>
      </c>
      <c r="L98" s="2" t="str">
        <f t="shared" si="6"/>
        <v xml:space="preserve"> </v>
      </c>
      <c r="M98" s="2" t="str">
        <f t="shared" si="7"/>
        <v xml:space="preserve"> </v>
      </c>
    </row>
    <row r="99" spans="1:13" x14ac:dyDescent="0.25">
      <c r="A99" s="43" t="str">
        <f t="shared" si="5"/>
        <v xml:space="preserve"> </v>
      </c>
      <c r="D99" s="42"/>
      <c r="E99" s="42"/>
      <c r="J99" s="17">
        <f t="shared" si="8"/>
        <v>0</v>
      </c>
      <c r="K99" s="2" t="str">
        <f t="shared" si="9"/>
        <v xml:space="preserve"> </v>
      </c>
      <c r="L99" s="2" t="str">
        <f t="shared" si="6"/>
        <v xml:space="preserve"> </v>
      </c>
      <c r="M99" s="2" t="str">
        <f t="shared" si="7"/>
        <v xml:space="preserve"> </v>
      </c>
    </row>
    <row r="100" spans="1:13" x14ac:dyDescent="0.25">
      <c r="A100" s="43" t="str">
        <f t="shared" si="5"/>
        <v xml:space="preserve"> </v>
      </c>
      <c r="D100" s="42"/>
      <c r="E100" s="42"/>
      <c r="J100" s="17">
        <f t="shared" si="8"/>
        <v>0</v>
      </c>
      <c r="K100" s="2" t="str">
        <f t="shared" si="9"/>
        <v xml:space="preserve"> </v>
      </c>
      <c r="L100" s="2" t="str">
        <f t="shared" si="6"/>
        <v xml:space="preserve"> </v>
      </c>
      <c r="M100" s="2" t="str">
        <f t="shared" si="7"/>
        <v xml:space="preserve"> </v>
      </c>
    </row>
    <row r="101" spans="1:13" x14ac:dyDescent="0.25">
      <c r="A101" s="43" t="str">
        <f t="shared" si="5"/>
        <v xml:space="preserve"> </v>
      </c>
      <c r="D101" s="42"/>
      <c r="E101" s="42"/>
      <c r="J101" s="17">
        <f t="shared" si="8"/>
        <v>0</v>
      </c>
      <c r="K101" s="2" t="str">
        <f t="shared" si="9"/>
        <v xml:space="preserve"> </v>
      </c>
      <c r="L101" s="2" t="str">
        <f t="shared" si="6"/>
        <v xml:space="preserve"> </v>
      </c>
      <c r="M101" s="2" t="str">
        <f t="shared" si="7"/>
        <v xml:space="preserve"> </v>
      </c>
    </row>
    <row r="102" spans="1:13" x14ac:dyDescent="0.25">
      <c r="A102" s="43" t="str">
        <f t="shared" si="5"/>
        <v xml:space="preserve"> </v>
      </c>
      <c r="D102" s="42"/>
      <c r="E102" s="42"/>
      <c r="J102" s="17">
        <f t="shared" si="8"/>
        <v>0</v>
      </c>
      <c r="K102" s="2" t="str">
        <f t="shared" si="9"/>
        <v xml:space="preserve"> </v>
      </c>
      <c r="L102" s="2" t="str">
        <f t="shared" si="6"/>
        <v xml:space="preserve"> </v>
      </c>
      <c r="M102" s="2" t="str">
        <f t="shared" si="7"/>
        <v xml:space="preserve"> </v>
      </c>
    </row>
    <row r="103" spans="1:13" x14ac:dyDescent="0.25">
      <c r="A103" s="43" t="str">
        <f t="shared" si="5"/>
        <v xml:space="preserve"> </v>
      </c>
      <c r="D103" s="42"/>
      <c r="E103" s="42"/>
      <c r="J103" s="17">
        <f t="shared" si="8"/>
        <v>0</v>
      </c>
      <c r="K103" s="2" t="str">
        <f t="shared" si="9"/>
        <v xml:space="preserve"> </v>
      </c>
      <c r="L103" s="2" t="str">
        <f t="shared" si="6"/>
        <v xml:space="preserve"> </v>
      </c>
      <c r="M103" s="2" t="str">
        <f t="shared" si="7"/>
        <v xml:space="preserve"> </v>
      </c>
    </row>
    <row r="104" spans="1:13" x14ac:dyDescent="0.25">
      <c r="A104" s="43" t="str">
        <f t="shared" si="5"/>
        <v xml:space="preserve"> </v>
      </c>
      <c r="D104" s="42"/>
      <c r="E104" s="42"/>
      <c r="J104" s="17">
        <f t="shared" si="8"/>
        <v>0</v>
      </c>
      <c r="K104" s="2" t="str">
        <f t="shared" si="9"/>
        <v xml:space="preserve"> </v>
      </c>
      <c r="L104" s="2" t="str">
        <f t="shared" si="6"/>
        <v xml:space="preserve"> </v>
      </c>
      <c r="M104" s="2" t="str">
        <f t="shared" si="7"/>
        <v xml:space="preserve"> </v>
      </c>
    </row>
    <row r="105" spans="1:13" x14ac:dyDescent="0.25">
      <c r="A105" s="43" t="str">
        <f t="shared" si="5"/>
        <v xml:space="preserve"> </v>
      </c>
      <c r="D105" s="42"/>
      <c r="E105" s="42"/>
      <c r="J105" s="17">
        <f t="shared" si="8"/>
        <v>0</v>
      </c>
      <c r="K105" s="2" t="str">
        <f t="shared" si="9"/>
        <v xml:space="preserve"> </v>
      </c>
      <c r="L105" s="2" t="str">
        <f t="shared" si="6"/>
        <v xml:space="preserve"> </v>
      </c>
      <c r="M105" s="2" t="str">
        <f t="shared" si="7"/>
        <v xml:space="preserve"> </v>
      </c>
    </row>
    <row r="106" spans="1:13" x14ac:dyDescent="0.25">
      <c r="A106" s="43" t="str">
        <f t="shared" si="5"/>
        <v xml:space="preserve"> </v>
      </c>
      <c r="D106" s="42"/>
      <c r="E106" s="42"/>
      <c r="J106" s="17">
        <f t="shared" si="8"/>
        <v>0</v>
      </c>
      <c r="K106" s="2" t="str">
        <f t="shared" si="9"/>
        <v xml:space="preserve"> </v>
      </c>
      <c r="L106" s="2" t="str">
        <f t="shared" si="6"/>
        <v xml:space="preserve"> </v>
      </c>
      <c r="M106" s="2" t="str">
        <f t="shared" si="7"/>
        <v xml:space="preserve"> </v>
      </c>
    </row>
    <row r="107" spans="1:13" x14ac:dyDescent="0.25">
      <c r="A107" s="43" t="str">
        <f t="shared" si="5"/>
        <v xml:space="preserve"> </v>
      </c>
      <c r="D107" s="42"/>
      <c r="E107" s="42"/>
      <c r="J107" s="17">
        <f t="shared" si="8"/>
        <v>0</v>
      </c>
      <c r="K107" s="2" t="str">
        <f t="shared" si="9"/>
        <v xml:space="preserve"> </v>
      </c>
      <c r="L107" s="2" t="str">
        <f t="shared" si="6"/>
        <v xml:space="preserve"> </v>
      </c>
      <c r="M107" s="2" t="str">
        <f t="shared" si="7"/>
        <v xml:space="preserve"> </v>
      </c>
    </row>
    <row r="108" spans="1:13" x14ac:dyDescent="0.25">
      <c r="A108" s="43" t="str">
        <f t="shared" si="5"/>
        <v xml:space="preserve"> </v>
      </c>
      <c r="D108" s="42"/>
      <c r="E108" s="42"/>
      <c r="J108" s="17">
        <f t="shared" si="8"/>
        <v>0</v>
      </c>
      <c r="K108" s="2" t="str">
        <f t="shared" si="9"/>
        <v xml:space="preserve"> </v>
      </c>
      <c r="L108" s="2" t="str">
        <f t="shared" si="6"/>
        <v xml:space="preserve"> </v>
      </c>
      <c r="M108" s="2" t="str">
        <f t="shared" si="7"/>
        <v xml:space="preserve"> </v>
      </c>
    </row>
    <row r="109" spans="1:13" x14ac:dyDescent="0.25">
      <c r="A109" s="43" t="str">
        <f t="shared" si="5"/>
        <v xml:space="preserve"> </v>
      </c>
      <c r="D109" s="42"/>
      <c r="E109" s="42"/>
      <c r="J109" s="17">
        <f t="shared" si="8"/>
        <v>0</v>
      </c>
      <c r="K109" s="2" t="str">
        <f t="shared" si="9"/>
        <v xml:space="preserve"> </v>
      </c>
      <c r="L109" s="2" t="str">
        <f t="shared" si="6"/>
        <v xml:space="preserve"> </v>
      </c>
      <c r="M109" s="2" t="str">
        <f t="shared" si="7"/>
        <v xml:space="preserve"> </v>
      </c>
    </row>
    <row r="110" spans="1:13" x14ac:dyDescent="0.25">
      <c r="A110" s="43" t="str">
        <f t="shared" si="5"/>
        <v xml:space="preserve"> </v>
      </c>
      <c r="B110" s="20"/>
      <c r="D110" s="42"/>
      <c r="E110" s="42"/>
      <c r="J110" s="17">
        <f t="shared" si="8"/>
        <v>0</v>
      </c>
      <c r="K110" s="2" t="str">
        <f t="shared" si="9"/>
        <v xml:space="preserve"> </v>
      </c>
      <c r="L110" s="2" t="str">
        <f t="shared" si="6"/>
        <v xml:space="preserve"> </v>
      </c>
      <c r="M110" s="2" t="str">
        <f t="shared" si="7"/>
        <v xml:space="preserve"> </v>
      </c>
    </row>
    <row r="111" spans="1:13" x14ac:dyDescent="0.25">
      <c r="A111" s="43" t="str">
        <f t="shared" si="5"/>
        <v xml:space="preserve"> </v>
      </c>
      <c r="D111" s="42"/>
      <c r="E111" s="42"/>
      <c r="J111" s="17">
        <f t="shared" si="8"/>
        <v>0</v>
      </c>
      <c r="K111" s="2" t="str">
        <f t="shared" si="9"/>
        <v xml:space="preserve"> </v>
      </c>
      <c r="L111" s="2" t="str">
        <f t="shared" si="6"/>
        <v xml:space="preserve"> </v>
      </c>
      <c r="M111" s="2" t="str">
        <f t="shared" si="7"/>
        <v xml:space="preserve"> </v>
      </c>
    </row>
    <row r="112" spans="1:13" x14ac:dyDescent="0.25">
      <c r="A112" s="43" t="str">
        <f t="shared" si="5"/>
        <v xml:space="preserve"> </v>
      </c>
      <c r="D112" s="42"/>
      <c r="E112" s="42"/>
      <c r="J112" s="17">
        <f t="shared" si="8"/>
        <v>0</v>
      </c>
      <c r="K112" s="2" t="str">
        <f t="shared" si="9"/>
        <v xml:space="preserve"> </v>
      </c>
      <c r="L112" s="2" t="str">
        <f t="shared" si="6"/>
        <v xml:space="preserve"> </v>
      </c>
      <c r="M112" s="2" t="str">
        <f t="shared" si="7"/>
        <v xml:space="preserve"> </v>
      </c>
    </row>
    <row r="113" spans="1:13" x14ac:dyDescent="0.25">
      <c r="A113" s="43" t="str">
        <f t="shared" si="5"/>
        <v xml:space="preserve"> </v>
      </c>
      <c r="D113" s="42"/>
      <c r="E113" s="42"/>
      <c r="J113" s="17">
        <f t="shared" si="8"/>
        <v>0</v>
      </c>
      <c r="K113" s="2" t="str">
        <f t="shared" si="9"/>
        <v xml:space="preserve"> </v>
      </c>
      <c r="L113" s="2" t="str">
        <f t="shared" si="6"/>
        <v xml:space="preserve"> </v>
      </c>
      <c r="M113" s="2" t="str">
        <f t="shared" si="7"/>
        <v xml:space="preserve"> </v>
      </c>
    </row>
    <row r="114" spans="1:13" x14ac:dyDescent="0.25">
      <c r="A114" s="43" t="str">
        <f t="shared" si="5"/>
        <v xml:space="preserve"> </v>
      </c>
      <c r="D114" s="42"/>
      <c r="E114" s="42"/>
      <c r="J114" s="17">
        <f t="shared" si="8"/>
        <v>0</v>
      </c>
      <c r="K114" s="2" t="str">
        <f t="shared" si="9"/>
        <v xml:space="preserve"> </v>
      </c>
      <c r="L114" s="2" t="str">
        <f t="shared" si="6"/>
        <v xml:space="preserve"> </v>
      </c>
      <c r="M114" s="2" t="str">
        <f t="shared" si="7"/>
        <v xml:space="preserve"> </v>
      </c>
    </row>
    <row r="115" spans="1:13" x14ac:dyDescent="0.25">
      <c r="A115" s="43" t="str">
        <f t="shared" si="5"/>
        <v xml:space="preserve"> </v>
      </c>
      <c r="D115" s="42"/>
      <c r="E115" s="42"/>
      <c r="J115" s="17">
        <f t="shared" si="8"/>
        <v>0</v>
      </c>
      <c r="K115" s="2" t="str">
        <f t="shared" si="9"/>
        <v xml:space="preserve"> </v>
      </c>
      <c r="L115" s="2" t="str">
        <f t="shared" si="6"/>
        <v xml:space="preserve"> </v>
      </c>
      <c r="M115" s="2" t="str">
        <f t="shared" si="7"/>
        <v xml:space="preserve"> </v>
      </c>
    </row>
    <row r="116" spans="1:13" x14ac:dyDescent="0.25">
      <c r="A116" s="43" t="str">
        <f t="shared" si="5"/>
        <v xml:space="preserve"> </v>
      </c>
      <c r="D116" s="42"/>
      <c r="E116" s="42"/>
      <c r="J116" s="17">
        <f t="shared" si="8"/>
        <v>0</v>
      </c>
      <c r="K116" s="2" t="str">
        <f t="shared" si="9"/>
        <v xml:space="preserve"> </v>
      </c>
      <c r="L116" s="2" t="str">
        <f t="shared" si="6"/>
        <v xml:space="preserve"> </v>
      </c>
      <c r="M116" s="2" t="str">
        <f t="shared" si="7"/>
        <v xml:space="preserve"> </v>
      </c>
    </row>
    <row r="117" spans="1:13" x14ac:dyDescent="0.25">
      <c r="A117" s="43" t="str">
        <f t="shared" si="5"/>
        <v xml:space="preserve"> </v>
      </c>
      <c r="D117" s="42"/>
      <c r="E117" s="42"/>
      <c r="J117" s="17">
        <f t="shared" si="8"/>
        <v>0</v>
      </c>
      <c r="K117" s="2" t="str">
        <f t="shared" si="9"/>
        <v xml:space="preserve"> </v>
      </c>
      <c r="L117" s="2" t="str">
        <f t="shared" si="6"/>
        <v xml:space="preserve"> </v>
      </c>
      <c r="M117" s="2" t="str">
        <f t="shared" si="7"/>
        <v xml:space="preserve"> </v>
      </c>
    </row>
    <row r="118" spans="1:13" x14ac:dyDescent="0.25">
      <c r="A118" s="43" t="str">
        <f t="shared" si="5"/>
        <v xml:space="preserve"> </v>
      </c>
      <c r="D118" s="42"/>
      <c r="E118" s="42"/>
      <c r="J118" s="17">
        <f t="shared" si="8"/>
        <v>0</v>
      </c>
      <c r="K118" s="2" t="str">
        <f t="shared" si="9"/>
        <v xml:space="preserve"> </v>
      </c>
      <c r="L118" s="2" t="str">
        <f t="shared" si="6"/>
        <v xml:space="preserve"> </v>
      </c>
      <c r="M118" s="2" t="str">
        <f t="shared" si="7"/>
        <v xml:space="preserve"> </v>
      </c>
    </row>
    <row r="119" spans="1:13" x14ac:dyDescent="0.25">
      <c r="A119" s="43" t="str">
        <f t="shared" si="5"/>
        <v xml:space="preserve"> </v>
      </c>
      <c r="D119" s="42"/>
      <c r="E119" s="42"/>
      <c r="J119" s="17">
        <f t="shared" si="8"/>
        <v>0</v>
      </c>
      <c r="K119" s="2" t="str">
        <f t="shared" si="9"/>
        <v xml:space="preserve"> </v>
      </c>
      <c r="L119" s="2" t="str">
        <f t="shared" si="6"/>
        <v xml:space="preserve"> </v>
      </c>
      <c r="M119" s="2" t="str">
        <f t="shared" si="7"/>
        <v xml:space="preserve"> </v>
      </c>
    </row>
    <row r="120" spans="1:13" x14ac:dyDescent="0.25">
      <c r="A120" s="43" t="str">
        <f t="shared" si="5"/>
        <v xml:space="preserve"> </v>
      </c>
      <c r="D120" s="42"/>
      <c r="E120" s="42"/>
      <c r="J120" s="17">
        <f t="shared" si="8"/>
        <v>0</v>
      </c>
      <c r="K120" s="2" t="str">
        <f t="shared" si="9"/>
        <v xml:space="preserve"> </v>
      </c>
      <c r="L120" s="2" t="str">
        <f t="shared" si="6"/>
        <v xml:space="preserve"> </v>
      </c>
      <c r="M120" s="2" t="str">
        <f t="shared" si="7"/>
        <v xml:space="preserve"> </v>
      </c>
    </row>
    <row r="121" spans="1:13" x14ac:dyDescent="0.25">
      <c r="A121" s="43" t="str">
        <f t="shared" si="5"/>
        <v xml:space="preserve"> </v>
      </c>
      <c r="D121" s="42"/>
      <c r="E121" s="42"/>
      <c r="J121" s="17">
        <f t="shared" si="8"/>
        <v>0</v>
      </c>
      <c r="K121" s="2" t="str">
        <f t="shared" si="9"/>
        <v xml:space="preserve"> </v>
      </c>
      <c r="L121" s="2" t="str">
        <f t="shared" si="6"/>
        <v xml:space="preserve"> </v>
      </c>
      <c r="M121" s="2" t="str">
        <f t="shared" si="7"/>
        <v xml:space="preserve"> </v>
      </c>
    </row>
    <row r="122" spans="1:13" x14ac:dyDescent="0.25">
      <c r="A122" s="43" t="str">
        <f t="shared" si="5"/>
        <v xml:space="preserve"> </v>
      </c>
      <c r="D122" s="42"/>
      <c r="E122" s="42"/>
      <c r="J122" s="17">
        <f t="shared" si="8"/>
        <v>0</v>
      </c>
      <c r="K122" s="2" t="str">
        <f t="shared" si="9"/>
        <v xml:space="preserve"> </v>
      </c>
      <c r="L122" s="2" t="str">
        <f t="shared" si="6"/>
        <v xml:space="preserve"> </v>
      </c>
      <c r="M122" s="2" t="str">
        <f t="shared" si="7"/>
        <v xml:space="preserve"> </v>
      </c>
    </row>
    <row r="123" spans="1:13" x14ac:dyDescent="0.25">
      <c r="A123" s="43" t="str">
        <f t="shared" si="5"/>
        <v xml:space="preserve"> </v>
      </c>
      <c r="D123" s="42"/>
      <c r="E123" s="42"/>
      <c r="J123" s="17">
        <f t="shared" si="8"/>
        <v>0</v>
      </c>
      <c r="K123" s="2" t="str">
        <f t="shared" si="9"/>
        <v xml:space="preserve"> </v>
      </c>
      <c r="L123" s="2" t="str">
        <f t="shared" si="6"/>
        <v xml:space="preserve"> </v>
      </c>
      <c r="M123" s="2" t="str">
        <f t="shared" si="7"/>
        <v xml:space="preserve"> </v>
      </c>
    </row>
    <row r="124" spans="1:13" x14ac:dyDescent="0.25">
      <c r="A124" s="43" t="str">
        <f t="shared" si="5"/>
        <v xml:space="preserve"> </v>
      </c>
      <c r="C124" s="49"/>
      <c r="D124" s="42"/>
      <c r="E124" s="42"/>
      <c r="J124" s="17">
        <f t="shared" si="8"/>
        <v>0</v>
      </c>
      <c r="K124" s="2" t="str">
        <f t="shared" si="9"/>
        <v xml:space="preserve"> </v>
      </c>
      <c r="L124" s="2" t="str">
        <f t="shared" si="6"/>
        <v xml:space="preserve"> </v>
      </c>
      <c r="M124" s="2" t="str">
        <f t="shared" si="7"/>
        <v xml:space="preserve"> </v>
      </c>
    </row>
    <row r="125" spans="1:13" x14ac:dyDescent="0.25">
      <c r="A125" s="43" t="str">
        <f t="shared" si="5"/>
        <v xml:space="preserve"> </v>
      </c>
      <c r="D125" s="42"/>
      <c r="E125" s="42"/>
      <c r="J125" s="17">
        <f t="shared" si="8"/>
        <v>0</v>
      </c>
      <c r="K125" s="2" t="str">
        <f t="shared" si="9"/>
        <v xml:space="preserve"> </v>
      </c>
      <c r="L125" s="2" t="str">
        <f t="shared" si="6"/>
        <v xml:space="preserve"> </v>
      </c>
      <c r="M125" s="2" t="str">
        <f t="shared" si="7"/>
        <v xml:space="preserve"> </v>
      </c>
    </row>
    <row r="126" spans="1:13" x14ac:dyDescent="0.25">
      <c r="A126" s="43" t="str">
        <f t="shared" si="5"/>
        <v xml:space="preserve"> </v>
      </c>
      <c r="D126" s="42"/>
      <c r="E126" s="42"/>
      <c r="J126" s="17">
        <f t="shared" si="8"/>
        <v>0</v>
      </c>
      <c r="K126" s="2" t="str">
        <f t="shared" si="9"/>
        <v xml:space="preserve"> </v>
      </c>
      <c r="L126" s="2" t="str">
        <f t="shared" si="6"/>
        <v xml:space="preserve"> </v>
      </c>
      <c r="M126" s="2" t="str">
        <f t="shared" si="7"/>
        <v xml:space="preserve"> </v>
      </c>
    </row>
    <row r="127" spans="1:13" x14ac:dyDescent="0.25">
      <c r="A127" s="43" t="str">
        <f t="shared" si="5"/>
        <v xml:space="preserve"> </v>
      </c>
      <c r="D127" s="42"/>
      <c r="E127" s="42"/>
      <c r="J127" s="17">
        <f t="shared" si="8"/>
        <v>0</v>
      </c>
      <c r="K127" s="2" t="str">
        <f t="shared" si="9"/>
        <v xml:space="preserve"> </v>
      </c>
      <c r="L127" s="2" t="str">
        <f t="shared" si="6"/>
        <v xml:space="preserve"> </v>
      </c>
      <c r="M127" s="2" t="str">
        <f t="shared" si="7"/>
        <v xml:space="preserve"> </v>
      </c>
    </row>
    <row r="128" spans="1:13" x14ac:dyDescent="0.25">
      <c r="A128" s="43" t="str">
        <f t="shared" si="5"/>
        <v xml:space="preserve"> </v>
      </c>
      <c r="D128" s="42"/>
      <c r="E128" s="42"/>
      <c r="J128" s="17">
        <f t="shared" si="8"/>
        <v>0</v>
      </c>
      <c r="K128" s="2" t="str">
        <f t="shared" si="9"/>
        <v xml:space="preserve"> </v>
      </c>
      <c r="L128" s="2" t="str">
        <f t="shared" si="6"/>
        <v xml:space="preserve"> </v>
      </c>
      <c r="M128" s="2" t="str">
        <f t="shared" si="7"/>
        <v xml:space="preserve"> </v>
      </c>
    </row>
    <row r="129" spans="1:13" x14ac:dyDescent="0.25">
      <c r="A129" s="43" t="str">
        <f t="shared" si="5"/>
        <v xml:space="preserve"> </v>
      </c>
      <c r="D129" s="42"/>
      <c r="E129" s="42"/>
      <c r="J129" s="17">
        <f t="shared" si="8"/>
        <v>0</v>
      </c>
      <c r="K129" s="2" t="str">
        <f t="shared" si="9"/>
        <v xml:space="preserve"> </v>
      </c>
      <c r="L129" s="2" t="str">
        <f t="shared" si="6"/>
        <v xml:space="preserve"> </v>
      </c>
      <c r="M129" s="2" t="str">
        <f t="shared" si="7"/>
        <v xml:space="preserve"> </v>
      </c>
    </row>
    <row r="130" spans="1:13" x14ac:dyDescent="0.25">
      <c r="A130" s="43" t="str">
        <f t="shared" si="5"/>
        <v xml:space="preserve"> </v>
      </c>
      <c r="D130" s="42"/>
      <c r="E130" s="42"/>
      <c r="J130" s="17">
        <f t="shared" si="8"/>
        <v>0</v>
      </c>
      <c r="K130" s="2" t="str">
        <f t="shared" si="9"/>
        <v xml:space="preserve"> </v>
      </c>
      <c r="L130" s="2" t="str">
        <f t="shared" si="6"/>
        <v xml:space="preserve"> </v>
      </c>
      <c r="M130" s="2" t="str">
        <f t="shared" si="7"/>
        <v xml:space="preserve"> </v>
      </c>
    </row>
    <row r="131" spans="1:13" x14ac:dyDescent="0.25">
      <c r="A131" s="43" t="str">
        <f t="shared" si="5"/>
        <v xml:space="preserve"> </v>
      </c>
      <c r="D131" s="42"/>
      <c r="E131" s="42"/>
      <c r="J131" s="17">
        <f t="shared" si="8"/>
        <v>0</v>
      </c>
      <c r="K131" s="2" t="str">
        <f t="shared" si="9"/>
        <v xml:space="preserve"> </v>
      </c>
      <c r="L131" s="2" t="str">
        <f t="shared" si="6"/>
        <v xml:space="preserve"> </v>
      </c>
      <c r="M131" s="2" t="str">
        <f t="shared" si="7"/>
        <v xml:space="preserve"> </v>
      </c>
    </row>
    <row r="132" spans="1:13" x14ac:dyDescent="0.25">
      <c r="A132" s="43" t="str">
        <f t="shared" si="5"/>
        <v xml:space="preserve"> </v>
      </c>
      <c r="D132" s="42"/>
      <c r="E132" s="42"/>
      <c r="J132" s="17">
        <f t="shared" si="8"/>
        <v>0</v>
      </c>
      <c r="K132" s="2" t="str">
        <f t="shared" si="9"/>
        <v xml:space="preserve"> </v>
      </c>
      <c r="L132" s="2" t="str">
        <f t="shared" si="6"/>
        <v xml:space="preserve"> </v>
      </c>
      <c r="M132" s="2" t="str">
        <f t="shared" si="7"/>
        <v xml:space="preserve"> </v>
      </c>
    </row>
    <row r="133" spans="1:13" x14ac:dyDescent="0.25">
      <c r="A133" s="43" t="str">
        <f t="shared" si="5"/>
        <v xml:space="preserve"> </v>
      </c>
      <c r="D133" s="42"/>
      <c r="E133" s="42"/>
      <c r="J133" s="17">
        <f t="shared" si="8"/>
        <v>0</v>
      </c>
      <c r="K133" s="2" t="str">
        <f t="shared" si="9"/>
        <v xml:space="preserve"> </v>
      </c>
      <c r="L133" s="2" t="str">
        <f t="shared" si="6"/>
        <v xml:space="preserve"> </v>
      </c>
      <c r="M133" s="2" t="str">
        <f t="shared" si="7"/>
        <v xml:space="preserve"> </v>
      </c>
    </row>
    <row r="134" spans="1:13" x14ac:dyDescent="0.25">
      <c r="A134" s="43" t="str">
        <f t="shared" si="5"/>
        <v xml:space="preserve"> </v>
      </c>
      <c r="D134" s="42"/>
      <c r="E134" s="42"/>
      <c r="J134" s="17">
        <f t="shared" si="8"/>
        <v>0</v>
      </c>
      <c r="K134" s="2" t="str">
        <f t="shared" si="9"/>
        <v xml:space="preserve"> </v>
      </c>
      <c r="L134" s="2" t="str">
        <f t="shared" si="6"/>
        <v xml:space="preserve"> </v>
      </c>
      <c r="M134" s="2" t="str">
        <f t="shared" si="7"/>
        <v xml:space="preserve"> </v>
      </c>
    </row>
    <row r="135" spans="1:13" x14ac:dyDescent="0.25">
      <c r="A135" s="43" t="str">
        <f t="shared" si="5"/>
        <v xml:space="preserve"> </v>
      </c>
      <c r="D135" s="42"/>
      <c r="E135" s="42"/>
      <c r="J135" s="17">
        <f t="shared" si="8"/>
        <v>0</v>
      </c>
      <c r="K135" s="2" t="str">
        <f t="shared" si="9"/>
        <v xml:space="preserve"> </v>
      </c>
      <c r="L135" s="2" t="str">
        <f t="shared" si="6"/>
        <v xml:space="preserve"> </v>
      </c>
      <c r="M135" s="2" t="str">
        <f t="shared" si="7"/>
        <v xml:space="preserve"> </v>
      </c>
    </row>
    <row r="136" spans="1:13" x14ac:dyDescent="0.25">
      <c r="A136" s="43" t="str">
        <f t="shared" si="5"/>
        <v xml:space="preserve"> </v>
      </c>
      <c r="D136" s="42"/>
      <c r="E136" s="42"/>
      <c r="J136" s="17">
        <f t="shared" si="8"/>
        <v>0</v>
      </c>
      <c r="K136" s="2" t="str">
        <f t="shared" si="9"/>
        <v xml:space="preserve"> </v>
      </c>
      <c r="L136" s="2" t="str">
        <f t="shared" si="6"/>
        <v xml:space="preserve"> </v>
      </c>
      <c r="M136" s="2" t="str">
        <f t="shared" si="7"/>
        <v xml:space="preserve"> </v>
      </c>
    </row>
    <row r="137" spans="1:13" x14ac:dyDescent="0.25">
      <c r="A137" s="43" t="str">
        <f t="shared" si="5"/>
        <v xml:space="preserve"> </v>
      </c>
      <c r="D137" s="42"/>
      <c r="E137" s="42"/>
      <c r="J137" s="17">
        <f t="shared" si="8"/>
        <v>0</v>
      </c>
      <c r="K137" s="2" t="str">
        <f t="shared" si="9"/>
        <v xml:space="preserve"> </v>
      </c>
      <c r="L137" s="2" t="str">
        <f t="shared" si="6"/>
        <v xml:space="preserve"> </v>
      </c>
      <c r="M137" s="2" t="str">
        <f t="shared" si="7"/>
        <v xml:space="preserve"> </v>
      </c>
    </row>
    <row r="138" spans="1:13" x14ac:dyDescent="0.25">
      <c r="A138" s="43" t="str">
        <f t="shared" si="5"/>
        <v xml:space="preserve"> </v>
      </c>
      <c r="D138" s="42"/>
      <c r="E138" s="42"/>
      <c r="J138" s="17">
        <f t="shared" si="8"/>
        <v>0</v>
      </c>
      <c r="K138" s="2" t="str">
        <f t="shared" si="9"/>
        <v xml:space="preserve"> </v>
      </c>
      <c r="L138" s="2" t="str">
        <f t="shared" si="6"/>
        <v xml:space="preserve"> </v>
      </c>
      <c r="M138" s="2" t="str">
        <f t="shared" si="7"/>
        <v xml:space="preserve"> </v>
      </c>
    </row>
    <row r="139" spans="1:13" x14ac:dyDescent="0.25">
      <c r="A139" s="43" t="str">
        <f t="shared" si="5"/>
        <v xml:space="preserve"> </v>
      </c>
      <c r="D139" s="42"/>
      <c r="E139" s="42"/>
      <c r="J139" s="17">
        <f t="shared" si="8"/>
        <v>0</v>
      </c>
      <c r="K139" s="2" t="str">
        <f t="shared" si="9"/>
        <v xml:space="preserve"> </v>
      </c>
      <c r="L139" s="2" t="str">
        <f t="shared" si="6"/>
        <v xml:space="preserve"> </v>
      </c>
      <c r="M139" s="2" t="str">
        <f t="shared" si="7"/>
        <v xml:space="preserve"> </v>
      </c>
    </row>
    <row r="140" spans="1:13" x14ac:dyDescent="0.25">
      <c r="A140" s="43" t="str">
        <f t="shared" si="5"/>
        <v xml:space="preserve"> </v>
      </c>
      <c r="D140" s="42"/>
      <c r="E140" s="42"/>
      <c r="J140" s="17">
        <f t="shared" si="8"/>
        <v>0</v>
      </c>
      <c r="K140" s="2" t="str">
        <f t="shared" si="9"/>
        <v xml:space="preserve"> </v>
      </c>
      <c r="L140" s="2" t="str">
        <f t="shared" si="6"/>
        <v xml:space="preserve"> </v>
      </c>
      <c r="M140" s="2" t="str">
        <f t="shared" si="7"/>
        <v xml:space="preserve"> </v>
      </c>
    </row>
    <row r="141" spans="1:13" x14ac:dyDescent="0.25">
      <c r="A141" s="43" t="str">
        <f t="shared" si="5"/>
        <v xml:space="preserve"> </v>
      </c>
      <c r="D141" s="42"/>
      <c r="E141" s="42"/>
      <c r="J141" s="17">
        <f t="shared" si="8"/>
        <v>0</v>
      </c>
      <c r="K141" s="2" t="str">
        <f t="shared" si="9"/>
        <v xml:space="preserve"> </v>
      </c>
      <c r="L141" s="2" t="str">
        <f t="shared" si="6"/>
        <v xml:space="preserve"> </v>
      </c>
      <c r="M141" s="2" t="str">
        <f t="shared" si="7"/>
        <v xml:space="preserve"> </v>
      </c>
    </row>
    <row r="142" spans="1:13" x14ac:dyDescent="0.25">
      <c r="A142" s="43" t="str">
        <f t="shared" si="5"/>
        <v xml:space="preserve"> </v>
      </c>
      <c r="D142" s="42"/>
      <c r="E142" s="42"/>
      <c r="J142" s="17">
        <f t="shared" si="8"/>
        <v>0</v>
      </c>
      <c r="K142" s="2" t="str">
        <f t="shared" si="9"/>
        <v xml:space="preserve"> </v>
      </c>
      <c r="L142" s="2" t="str">
        <f t="shared" si="6"/>
        <v xml:space="preserve"> </v>
      </c>
      <c r="M142" s="2" t="str">
        <f t="shared" si="7"/>
        <v xml:space="preserve"> </v>
      </c>
    </row>
    <row r="143" spans="1:13" x14ac:dyDescent="0.25">
      <c r="A143" s="43" t="str">
        <f t="shared" ref="A143:A206" si="10">IF(COUNTIF(K143:M143,"ERROR")&gt;0,"ERROR"," ")</f>
        <v xml:space="preserve"> </v>
      </c>
      <c r="D143" s="42"/>
      <c r="E143" s="42"/>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43" t="str">
        <f t="shared" si="10"/>
        <v xml:space="preserve"> </v>
      </c>
      <c r="D144" s="42"/>
      <c r="E144" s="42"/>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3" t="str">
        <f t="shared" si="10"/>
        <v xml:space="preserve"> </v>
      </c>
      <c r="D145" s="42"/>
      <c r="E145" s="42"/>
      <c r="J145" s="17">
        <f t="shared" si="13"/>
        <v>0</v>
      </c>
      <c r="K145" s="2" t="str">
        <f t="shared" si="14"/>
        <v xml:space="preserve"> </v>
      </c>
      <c r="L145" s="2" t="str">
        <f t="shared" si="11"/>
        <v xml:space="preserve"> </v>
      </c>
      <c r="M145" s="2" t="str">
        <f t="shared" si="12"/>
        <v xml:space="preserve"> </v>
      </c>
    </row>
    <row r="146" spans="1:13" x14ac:dyDescent="0.25">
      <c r="A146" s="43" t="str">
        <f t="shared" si="10"/>
        <v xml:space="preserve"> </v>
      </c>
      <c r="D146" s="42"/>
      <c r="E146" s="42"/>
      <c r="J146" s="17">
        <f t="shared" si="13"/>
        <v>0</v>
      </c>
      <c r="K146" s="2" t="str">
        <f t="shared" si="14"/>
        <v xml:space="preserve"> </v>
      </c>
      <c r="L146" s="2" t="str">
        <f t="shared" si="11"/>
        <v xml:space="preserve"> </v>
      </c>
      <c r="M146" s="2" t="str">
        <f t="shared" si="12"/>
        <v xml:space="preserve"> </v>
      </c>
    </row>
    <row r="147" spans="1:13" x14ac:dyDescent="0.25">
      <c r="A147" s="43" t="str">
        <f t="shared" si="10"/>
        <v xml:space="preserve"> </v>
      </c>
      <c r="D147" s="42"/>
      <c r="E147" s="42"/>
      <c r="J147" s="17">
        <f t="shared" si="13"/>
        <v>0</v>
      </c>
      <c r="K147" s="2" t="str">
        <f t="shared" si="14"/>
        <v xml:space="preserve"> </v>
      </c>
      <c r="L147" s="2" t="str">
        <f t="shared" si="11"/>
        <v xml:space="preserve"> </v>
      </c>
      <c r="M147" s="2" t="str">
        <f t="shared" si="12"/>
        <v xml:space="preserve"> </v>
      </c>
    </row>
    <row r="148" spans="1:13" x14ac:dyDescent="0.25">
      <c r="A148" s="43" t="str">
        <f t="shared" si="10"/>
        <v xml:space="preserve"> </v>
      </c>
      <c r="D148" s="42"/>
      <c r="E148" s="42"/>
      <c r="J148" s="17">
        <f t="shared" si="13"/>
        <v>0</v>
      </c>
      <c r="K148" s="2" t="str">
        <f t="shared" si="14"/>
        <v xml:space="preserve"> </v>
      </c>
      <c r="L148" s="2" t="str">
        <f t="shared" si="11"/>
        <v xml:space="preserve"> </v>
      </c>
      <c r="M148" s="2" t="str">
        <f t="shared" si="12"/>
        <v xml:space="preserve"> </v>
      </c>
    </row>
    <row r="149" spans="1:13" x14ac:dyDescent="0.25">
      <c r="A149" s="43" t="str">
        <f t="shared" si="10"/>
        <v xml:space="preserve"> </v>
      </c>
      <c r="D149" s="42"/>
      <c r="E149" s="42"/>
      <c r="J149" s="17">
        <f t="shared" si="13"/>
        <v>0</v>
      </c>
      <c r="K149" s="2" t="str">
        <f t="shared" si="14"/>
        <v xml:space="preserve"> </v>
      </c>
      <c r="L149" s="2" t="str">
        <f t="shared" si="11"/>
        <v xml:space="preserve"> </v>
      </c>
      <c r="M149" s="2" t="str">
        <f t="shared" si="12"/>
        <v xml:space="preserve"> </v>
      </c>
    </row>
    <row r="150" spans="1:13" x14ac:dyDescent="0.25">
      <c r="A150" s="43" t="str">
        <f t="shared" si="10"/>
        <v xml:space="preserve"> </v>
      </c>
      <c r="D150" s="42"/>
      <c r="E150" s="42"/>
      <c r="J150" s="17">
        <f t="shared" si="13"/>
        <v>0</v>
      </c>
      <c r="K150" s="2" t="str">
        <f t="shared" si="14"/>
        <v xml:space="preserve"> </v>
      </c>
      <c r="L150" s="2" t="str">
        <f t="shared" si="11"/>
        <v xml:space="preserve"> </v>
      </c>
      <c r="M150" s="2" t="str">
        <f t="shared" si="12"/>
        <v xml:space="preserve"> </v>
      </c>
    </row>
    <row r="151" spans="1:13" x14ac:dyDescent="0.25">
      <c r="A151" s="43" t="str">
        <f t="shared" si="10"/>
        <v xml:space="preserve"> </v>
      </c>
      <c r="D151" s="42"/>
      <c r="E151" s="42"/>
      <c r="J151" s="17">
        <f t="shared" si="13"/>
        <v>0</v>
      </c>
      <c r="K151" s="2" t="str">
        <f t="shared" si="14"/>
        <v xml:space="preserve"> </v>
      </c>
      <c r="L151" s="2" t="str">
        <f t="shared" si="11"/>
        <v xml:space="preserve"> </v>
      </c>
      <c r="M151" s="2" t="str">
        <f t="shared" si="12"/>
        <v xml:space="preserve"> </v>
      </c>
    </row>
    <row r="152" spans="1:13" x14ac:dyDescent="0.25">
      <c r="A152" s="43" t="str">
        <f t="shared" si="10"/>
        <v xml:space="preserve"> </v>
      </c>
      <c r="D152" s="42"/>
      <c r="E152" s="42"/>
      <c r="J152" s="17">
        <f t="shared" si="13"/>
        <v>0</v>
      </c>
      <c r="K152" s="2" t="str">
        <f t="shared" si="14"/>
        <v xml:space="preserve"> </v>
      </c>
      <c r="L152" s="2" t="str">
        <f t="shared" si="11"/>
        <v xml:space="preserve"> </v>
      </c>
      <c r="M152" s="2" t="str">
        <f t="shared" si="12"/>
        <v xml:space="preserve"> </v>
      </c>
    </row>
    <row r="153" spans="1:13" x14ac:dyDescent="0.25">
      <c r="A153" s="43" t="str">
        <f t="shared" si="10"/>
        <v xml:space="preserve"> </v>
      </c>
      <c r="D153" s="42"/>
      <c r="E153" s="42"/>
      <c r="J153" s="17">
        <f t="shared" si="13"/>
        <v>0</v>
      </c>
      <c r="K153" s="2" t="str">
        <f t="shared" si="14"/>
        <v xml:space="preserve"> </v>
      </c>
      <c r="L153" s="2" t="str">
        <f t="shared" si="11"/>
        <v xml:space="preserve"> </v>
      </c>
      <c r="M153" s="2" t="str">
        <f t="shared" si="12"/>
        <v xml:space="preserve"> </v>
      </c>
    </row>
    <row r="154" spans="1:13" x14ac:dyDescent="0.25">
      <c r="A154" s="43" t="str">
        <f t="shared" si="10"/>
        <v xml:space="preserve"> </v>
      </c>
      <c r="D154" s="42"/>
      <c r="E154" s="42"/>
      <c r="J154" s="17">
        <f t="shared" si="13"/>
        <v>0</v>
      </c>
      <c r="K154" s="2" t="str">
        <f t="shared" si="14"/>
        <v xml:space="preserve"> </v>
      </c>
      <c r="L154" s="2" t="str">
        <f t="shared" si="11"/>
        <v xml:space="preserve"> </v>
      </c>
      <c r="M154" s="2" t="str">
        <f t="shared" si="12"/>
        <v xml:space="preserve"> </v>
      </c>
    </row>
    <row r="155" spans="1:13" x14ac:dyDescent="0.25">
      <c r="A155" s="43" t="str">
        <f t="shared" si="10"/>
        <v xml:space="preserve"> </v>
      </c>
      <c r="D155" s="42"/>
      <c r="E155" s="42"/>
      <c r="J155" s="17">
        <f t="shared" si="13"/>
        <v>0</v>
      </c>
      <c r="K155" s="2" t="str">
        <f t="shared" si="14"/>
        <v xml:space="preserve"> </v>
      </c>
      <c r="L155" s="2" t="str">
        <f t="shared" si="11"/>
        <v xml:space="preserve"> </v>
      </c>
      <c r="M155" s="2" t="str">
        <f t="shared" si="12"/>
        <v xml:space="preserve"> </v>
      </c>
    </row>
    <row r="156" spans="1:13" x14ac:dyDescent="0.25">
      <c r="A156" s="43" t="str">
        <f t="shared" si="10"/>
        <v xml:space="preserve"> </v>
      </c>
      <c r="D156" s="42"/>
      <c r="E156" s="42"/>
      <c r="J156" s="17">
        <f t="shared" si="13"/>
        <v>0</v>
      </c>
      <c r="K156" s="2" t="str">
        <f t="shared" si="14"/>
        <v xml:space="preserve"> </v>
      </c>
      <c r="L156" s="2" t="str">
        <f t="shared" si="11"/>
        <v xml:space="preserve"> </v>
      </c>
      <c r="M156" s="2" t="str">
        <f t="shared" si="12"/>
        <v xml:space="preserve"> </v>
      </c>
    </row>
    <row r="157" spans="1:13" x14ac:dyDescent="0.25">
      <c r="A157" s="43" t="str">
        <f t="shared" si="10"/>
        <v xml:space="preserve"> </v>
      </c>
      <c r="D157" s="42"/>
      <c r="E157" s="42"/>
      <c r="J157" s="17">
        <f t="shared" si="13"/>
        <v>0</v>
      </c>
      <c r="K157" s="2" t="str">
        <f t="shared" si="14"/>
        <v xml:space="preserve"> </v>
      </c>
      <c r="L157" s="2" t="str">
        <f t="shared" si="11"/>
        <v xml:space="preserve"> </v>
      </c>
      <c r="M157" s="2" t="str">
        <f t="shared" si="12"/>
        <v xml:space="preserve"> </v>
      </c>
    </row>
    <row r="158" spans="1:13" x14ac:dyDescent="0.25">
      <c r="A158" s="43" t="str">
        <f t="shared" si="10"/>
        <v xml:space="preserve"> </v>
      </c>
      <c r="D158" s="42"/>
      <c r="E158" s="42"/>
      <c r="J158" s="17">
        <f t="shared" si="13"/>
        <v>0</v>
      </c>
      <c r="K158" s="2" t="str">
        <f t="shared" si="14"/>
        <v xml:space="preserve"> </v>
      </c>
      <c r="L158" s="2" t="str">
        <f t="shared" si="11"/>
        <v xml:space="preserve"> </v>
      </c>
      <c r="M158" s="2" t="str">
        <f t="shared" si="12"/>
        <v xml:space="preserve"> </v>
      </c>
    </row>
    <row r="159" spans="1:13" x14ac:dyDescent="0.25">
      <c r="A159" s="43" t="str">
        <f t="shared" si="10"/>
        <v xml:space="preserve"> </v>
      </c>
      <c r="D159" s="42"/>
      <c r="E159" s="42"/>
      <c r="J159" s="17">
        <f t="shared" si="13"/>
        <v>0</v>
      </c>
      <c r="K159" s="2" t="str">
        <f t="shared" si="14"/>
        <v xml:space="preserve"> </v>
      </c>
      <c r="L159" s="2" t="str">
        <f t="shared" si="11"/>
        <v xml:space="preserve"> </v>
      </c>
      <c r="M159" s="2" t="str">
        <f t="shared" si="12"/>
        <v xml:space="preserve"> </v>
      </c>
    </row>
    <row r="160" spans="1:13" x14ac:dyDescent="0.25">
      <c r="A160" s="43" t="str">
        <f t="shared" si="10"/>
        <v xml:space="preserve"> </v>
      </c>
      <c r="D160" s="42"/>
      <c r="E160" s="42"/>
      <c r="J160" s="17">
        <f t="shared" si="13"/>
        <v>0</v>
      </c>
      <c r="K160" s="2" t="str">
        <f t="shared" si="14"/>
        <v xml:space="preserve"> </v>
      </c>
      <c r="L160" s="2" t="str">
        <f t="shared" si="11"/>
        <v xml:space="preserve"> </v>
      </c>
      <c r="M160" s="2" t="str">
        <f t="shared" si="12"/>
        <v xml:space="preserve"> </v>
      </c>
    </row>
    <row r="161" spans="1:13" x14ac:dyDescent="0.25">
      <c r="A161" s="43" t="str">
        <f t="shared" si="10"/>
        <v xml:space="preserve"> </v>
      </c>
      <c r="D161" s="42"/>
      <c r="E161" s="42"/>
      <c r="J161" s="17">
        <f t="shared" si="13"/>
        <v>0</v>
      </c>
      <c r="K161" s="2" t="str">
        <f t="shared" si="14"/>
        <v xml:space="preserve"> </v>
      </c>
      <c r="L161" s="2" t="str">
        <f t="shared" si="11"/>
        <v xml:space="preserve"> </v>
      </c>
      <c r="M161" s="2" t="str">
        <f t="shared" si="12"/>
        <v xml:space="preserve"> </v>
      </c>
    </row>
    <row r="162" spans="1:13" x14ac:dyDescent="0.25">
      <c r="A162" s="43" t="str">
        <f t="shared" si="10"/>
        <v xml:space="preserve"> </v>
      </c>
      <c r="D162" s="42"/>
      <c r="E162" s="42"/>
      <c r="J162" s="17">
        <f t="shared" si="13"/>
        <v>0</v>
      </c>
      <c r="K162" s="2" t="str">
        <f t="shared" si="14"/>
        <v xml:space="preserve"> </v>
      </c>
      <c r="L162" s="2" t="str">
        <f t="shared" si="11"/>
        <v xml:space="preserve"> </v>
      </c>
      <c r="M162" s="2" t="str">
        <f t="shared" si="12"/>
        <v xml:space="preserve"> </v>
      </c>
    </row>
    <row r="163" spans="1:13" x14ac:dyDescent="0.25">
      <c r="A163" s="43" t="str">
        <f t="shared" si="10"/>
        <v xml:space="preserve"> </v>
      </c>
      <c r="D163" s="42"/>
      <c r="E163" s="42"/>
      <c r="J163" s="17">
        <f t="shared" si="13"/>
        <v>0</v>
      </c>
      <c r="K163" s="2" t="str">
        <f t="shared" si="14"/>
        <v xml:space="preserve"> </v>
      </c>
      <c r="L163" s="2" t="str">
        <f t="shared" si="11"/>
        <v xml:space="preserve"> </v>
      </c>
      <c r="M163" s="2" t="str">
        <f t="shared" si="12"/>
        <v xml:space="preserve"> </v>
      </c>
    </row>
    <row r="164" spans="1:13" x14ac:dyDescent="0.25">
      <c r="A164" s="43" t="str">
        <f t="shared" si="10"/>
        <v xml:space="preserve"> </v>
      </c>
      <c r="D164" s="42"/>
      <c r="E164" s="42"/>
      <c r="J164" s="17">
        <f t="shared" si="13"/>
        <v>0</v>
      </c>
      <c r="K164" s="2" t="str">
        <f t="shared" si="14"/>
        <v xml:space="preserve"> </v>
      </c>
      <c r="L164" s="2" t="str">
        <f t="shared" si="11"/>
        <v xml:space="preserve"> </v>
      </c>
      <c r="M164" s="2" t="str">
        <f t="shared" si="12"/>
        <v xml:space="preserve"> </v>
      </c>
    </row>
    <row r="165" spans="1:13" x14ac:dyDescent="0.25">
      <c r="A165" s="43" t="str">
        <f t="shared" si="10"/>
        <v xml:space="preserve"> </v>
      </c>
      <c r="D165" s="42"/>
      <c r="E165" s="42"/>
      <c r="J165" s="17">
        <f t="shared" si="13"/>
        <v>0</v>
      </c>
      <c r="K165" s="2" t="str">
        <f t="shared" si="14"/>
        <v xml:space="preserve"> </v>
      </c>
      <c r="L165" s="2" t="str">
        <f t="shared" si="11"/>
        <v xml:space="preserve"> </v>
      </c>
      <c r="M165" s="2" t="str">
        <f t="shared" si="12"/>
        <v xml:space="preserve"> </v>
      </c>
    </row>
    <row r="166" spans="1:13" x14ac:dyDescent="0.25">
      <c r="A166" s="43" t="str">
        <f t="shared" si="10"/>
        <v xml:space="preserve"> </v>
      </c>
      <c r="D166" s="42"/>
      <c r="E166" s="42"/>
      <c r="J166" s="17">
        <f t="shared" si="13"/>
        <v>0</v>
      </c>
      <c r="K166" s="2" t="str">
        <f t="shared" si="14"/>
        <v xml:space="preserve"> </v>
      </c>
      <c r="L166" s="2" t="str">
        <f t="shared" si="11"/>
        <v xml:space="preserve"> </v>
      </c>
      <c r="M166" s="2" t="str">
        <f t="shared" si="12"/>
        <v xml:space="preserve"> </v>
      </c>
    </row>
    <row r="167" spans="1:13" x14ac:dyDescent="0.25">
      <c r="A167" s="43" t="str">
        <f t="shared" si="10"/>
        <v xml:space="preserve"> </v>
      </c>
      <c r="D167" s="42"/>
      <c r="E167" s="42"/>
      <c r="J167" s="17">
        <f t="shared" si="13"/>
        <v>0</v>
      </c>
      <c r="K167" s="2" t="str">
        <f t="shared" si="14"/>
        <v xml:space="preserve"> </v>
      </c>
      <c r="L167" s="2" t="str">
        <f t="shared" si="11"/>
        <v xml:space="preserve"> </v>
      </c>
      <c r="M167" s="2" t="str">
        <f t="shared" si="12"/>
        <v xml:space="preserve"> </v>
      </c>
    </row>
    <row r="168" spans="1:13" x14ac:dyDescent="0.25">
      <c r="A168" s="43" t="str">
        <f t="shared" si="10"/>
        <v xml:space="preserve"> </v>
      </c>
      <c r="D168" s="42"/>
      <c r="E168" s="42"/>
      <c r="J168" s="17">
        <f t="shared" si="13"/>
        <v>0</v>
      </c>
      <c r="K168" s="2" t="str">
        <f t="shared" si="14"/>
        <v xml:space="preserve"> </v>
      </c>
      <c r="L168" s="2" t="str">
        <f t="shared" si="11"/>
        <v xml:space="preserve"> </v>
      </c>
      <c r="M168" s="2" t="str">
        <f t="shared" si="12"/>
        <v xml:space="preserve"> </v>
      </c>
    </row>
    <row r="169" spans="1:13" x14ac:dyDescent="0.25">
      <c r="A169" s="43" t="str">
        <f t="shared" si="10"/>
        <v xml:space="preserve"> </v>
      </c>
      <c r="D169" s="42"/>
      <c r="E169" s="42"/>
      <c r="J169" s="17">
        <f t="shared" si="13"/>
        <v>0</v>
      </c>
      <c r="K169" s="2" t="str">
        <f t="shared" si="14"/>
        <v xml:space="preserve"> </v>
      </c>
      <c r="L169" s="2" t="str">
        <f t="shared" si="11"/>
        <v xml:space="preserve"> </v>
      </c>
      <c r="M169" s="2" t="str">
        <f t="shared" si="12"/>
        <v xml:space="preserve"> </v>
      </c>
    </row>
    <row r="170" spans="1:13" x14ac:dyDescent="0.25">
      <c r="A170" s="43" t="str">
        <f t="shared" si="10"/>
        <v xml:space="preserve"> </v>
      </c>
      <c r="D170" s="42"/>
      <c r="E170" s="42"/>
      <c r="J170" s="17">
        <f t="shared" si="13"/>
        <v>0</v>
      </c>
      <c r="K170" s="2" t="str">
        <f t="shared" si="14"/>
        <v xml:space="preserve"> </v>
      </c>
      <c r="L170" s="2" t="str">
        <f t="shared" si="11"/>
        <v xml:space="preserve"> </v>
      </c>
      <c r="M170" s="2" t="str">
        <f t="shared" si="12"/>
        <v xml:space="preserve"> </v>
      </c>
    </row>
    <row r="171" spans="1:13" x14ac:dyDescent="0.25">
      <c r="A171" s="43" t="str">
        <f t="shared" si="10"/>
        <v xml:space="preserve"> </v>
      </c>
      <c r="D171" s="42"/>
      <c r="E171" s="42"/>
      <c r="J171" s="17">
        <f t="shared" si="13"/>
        <v>0</v>
      </c>
      <c r="K171" s="2" t="str">
        <f t="shared" si="14"/>
        <v xml:space="preserve"> </v>
      </c>
      <c r="L171" s="2" t="str">
        <f t="shared" si="11"/>
        <v xml:space="preserve"> </v>
      </c>
      <c r="M171" s="2" t="str">
        <f t="shared" si="12"/>
        <v xml:space="preserve"> </v>
      </c>
    </row>
    <row r="172" spans="1:13" x14ac:dyDescent="0.25">
      <c r="A172" s="43" t="str">
        <f t="shared" si="10"/>
        <v xml:space="preserve"> </v>
      </c>
      <c r="D172" s="42"/>
      <c r="E172" s="42"/>
      <c r="J172" s="17">
        <f t="shared" si="13"/>
        <v>0</v>
      </c>
      <c r="K172" s="2" t="str">
        <f t="shared" si="14"/>
        <v xml:space="preserve"> </v>
      </c>
      <c r="L172" s="2" t="str">
        <f t="shared" si="11"/>
        <v xml:space="preserve"> </v>
      </c>
      <c r="M172" s="2" t="str">
        <f t="shared" si="12"/>
        <v xml:space="preserve"> </v>
      </c>
    </row>
    <row r="173" spans="1:13" x14ac:dyDescent="0.25">
      <c r="A173" s="43" t="str">
        <f t="shared" si="10"/>
        <v xml:space="preserve"> </v>
      </c>
      <c r="D173" s="42"/>
      <c r="E173" s="42"/>
      <c r="J173" s="17">
        <f t="shared" si="13"/>
        <v>0</v>
      </c>
      <c r="K173" s="2" t="str">
        <f t="shared" si="14"/>
        <v xml:space="preserve"> </v>
      </c>
      <c r="L173" s="2" t="str">
        <f t="shared" si="11"/>
        <v xml:space="preserve"> </v>
      </c>
      <c r="M173" s="2" t="str">
        <f t="shared" si="12"/>
        <v xml:space="preserve"> </v>
      </c>
    </row>
    <row r="174" spans="1:13" x14ac:dyDescent="0.25">
      <c r="A174" s="43" t="str">
        <f t="shared" si="10"/>
        <v xml:space="preserve"> </v>
      </c>
      <c r="D174" s="42"/>
      <c r="E174" s="42"/>
      <c r="J174" s="17">
        <f t="shared" si="13"/>
        <v>0</v>
      </c>
      <c r="K174" s="2" t="str">
        <f t="shared" si="14"/>
        <v xml:space="preserve"> </v>
      </c>
      <c r="L174" s="2" t="str">
        <f t="shared" si="11"/>
        <v xml:space="preserve"> </v>
      </c>
      <c r="M174" s="2" t="str">
        <f t="shared" si="12"/>
        <v xml:space="preserve"> </v>
      </c>
    </row>
    <row r="175" spans="1:13" x14ac:dyDescent="0.25">
      <c r="A175" s="43" t="str">
        <f t="shared" si="10"/>
        <v xml:space="preserve"> </v>
      </c>
      <c r="D175" s="42"/>
      <c r="E175" s="42"/>
      <c r="J175" s="17">
        <f t="shared" si="13"/>
        <v>0</v>
      </c>
      <c r="K175" s="2" t="str">
        <f t="shared" si="14"/>
        <v xml:space="preserve"> </v>
      </c>
      <c r="L175" s="2" t="str">
        <f t="shared" si="11"/>
        <v xml:space="preserve"> </v>
      </c>
      <c r="M175" s="2" t="str">
        <f t="shared" si="12"/>
        <v xml:space="preserve"> </v>
      </c>
    </row>
    <row r="176" spans="1:13" x14ac:dyDescent="0.25">
      <c r="A176" s="43" t="str">
        <f t="shared" si="10"/>
        <v xml:space="preserve"> </v>
      </c>
      <c r="D176" s="42"/>
      <c r="E176" s="42"/>
      <c r="J176" s="17">
        <f t="shared" si="13"/>
        <v>0</v>
      </c>
      <c r="K176" s="2" t="str">
        <f t="shared" si="14"/>
        <v xml:space="preserve"> </v>
      </c>
      <c r="L176" s="2" t="str">
        <f t="shared" si="11"/>
        <v xml:space="preserve"> </v>
      </c>
      <c r="M176" s="2" t="str">
        <f t="shared" si="12"/>
        <v xml:space="preserve"> </v>
      </c>
    </row>
    <row r="177" spans="1:13" x14ac:dyDescent="0.25">
      <c r="A177" s="43" t="str">
        <f t="shared" si="10"/>
        <v xml:space="preserve"> </v>
      </c>
      <c r="D177" s="42"/>
      <c r="E177" s="42"/>
      <c r="J177" s="17">
        <f t="shared" si="13"/>
        <v>0</v>
      </c>
      <c r="K177" s="2" t="str">
        <f t="shared" si="14"/>
        <v xml:space="preserve"> </v>
      </c>
      <c r="L177" s="2" t="str">
        <f t="shared" si="11"/>
        <v xml:space="preserve"> </v>
      </c>
      <c r="M177" s="2" t="str">
        <f t="shared" si="12"/>
        <v xml:space="preserve"> </v>
      </c>
    </row>
    <row r="178" spans="1:13" x14ac:dyDescent="0.25">
      <c r="A178" s="43" t="str">
        <f t="shared" si="10"/>
        <v xml:space="preserve"> </v>
      </c>
      <c r="D178" s="42"/>
      <c r="E178" s="42"/>
      <c r="J178" s="17">
        <f t="shared" si="13"/>
        <v>0</v>
      </c>
      <c r="K178" s="2" t="str">
        <f t="shared" si="14"/>
        <v xml:space="preserve"> </v>
      </c>
      <c r="L178" s="2" t="str">
        <f t="shared" si="11"/>
        <v xml:space="preserve"> </v>
      </c>
      <c r="M178" s="2" t="str">
        <f t="shared" si="12"/>
        <v xml:space="preserve"> </v>
      </c>
    </row>
    <row r="179" spans="1:13" x14ac:dyDescent="0.25">
      <c r="A179" s="43" t="str">
        <f t="shared" si="10"/>
        <v xml:space="preserve"> </v>
      </c>
      <c r="D179" s="42"/>
      <c r="E179" s="42"/>
      <c r="J179" s="17">
        <f t="shared" si="13"/>
        <v>0</v>
      </c>
      <c r="K179" s="2" t="str">
        <f t="shared" si="14"/>
        <v xml:space="preserve"> </v>
      </c>
      <c r="L179" s="2" t="str">
        <f t="shared" si="11"/>
        <v xml:space="preserve"> </v>
      </c>
      <c r="M179" s="2" t="str">
        <f t="shared" si="12"/>
        <v xml:space="preserve"> </v>
      </c>
    </row>
    <row r="180" spans="1:13" x14ac:dyDescent="0.25">
      <c r="A180" s="43" t="str">
        <f t="shared" si="10"/>
        <v xml:space="preserve"> </v>
      </c>
      <c r="D180" s="42"/>
      <c r="E180" s="42"/>
      <c r="J180" s="17">
        <f t="shared" si="13"/>
        <v>0</v>
      </c>
      <c r="K180" s="2" t="str">
        <f t="shared" si="14"/>
        <v xml:space="preserve"> </v>
      </c>
      <c r="L180" s="2" t="str">
        <f t="shared" si="11"/>
        <v xml:space="preserve"> </v>
      </c>
      <c r="M180" s="2" t="str">
        <f t="shared" si="12"/>
        <v xml:space="preserve"> </v>
      </c>
    </row>
    <row r="181" spans="1:13" x14ac:dyDescent="0.25">
      <c r="A181" s="43" t="str">
        <f t="shared" si="10"/>
        <v xml:space="preserve"> </v>
      </c>
      <c r="D181" s="42"/>
      <c r="E181" s="42"/>
      <c r="J181" s="17">
        <f t="shared" si="13"/>
        <v>0</v>
      </c>
      <c r="K181" s="2" t="str">
        <f t="shared" si="14"/>
        <v xml:space="preserve"> </v>
      </c>
      <c r="L181" s="2" t="str">
        <f t="shared" si="11"/>
        <v xml:space="preserve"> </v>
      </c>
      <c r="M181" s="2" t="str">
        <f t="shared" si="12"/>
        <v xml:space="preserve"> </v>
      </c>
    </row>
    <row r="182" spans="1:13" x14ac:dyDescent="0.25">
      <c r="A182" s="43" t="str">
        <f t="shared" si="10"/>
        <v xml:space="preserve"> </v>
      </c>
      <c r="D182" s="42"/>
      <c r="E182" s="42"/>
      <c r="J182" s="17">
        <f t="shared" si="13"/>
        <v>0</v>
      </c>
      <c r="K182" s="2" t="str">
        <f t="shared" si="14"/>
        <v xml:space="preserve"> </v>
      </c>
      <c r="L182" s="2" t="str">
        <f t="shared" si="11"/>
        <v xml:space="preserve"> </v>
      </c>
      <c r="M182" s="2" t="str">
        <f t="shared" si="12"/>
        <v xml:space="preserve"> </v>
      </c>
    </row>
    <row r="183" spans="1:13" x14ac:dyDescent="0.25">
      <c r="A183" s="43" t="str">
        <f t="shared" si="10"/>
        <v xml:space="preserve"> </v>
      </c>
      <c r="D183" s="42"/>
      <c r="E183" s="42"/>
      <c r="J183" s="17">
        <f t="shared" si="13"/>
        <v>0</v>
      </c>
      <c r="K183" s="2" t="str">
        <f t="shared" si="14"/>
        <v xml:space="preserve"> </v>
      </c>
      <c r="L183" s="2" t="str">
        <f t="shared" si="11"/>
        <v xml:space="preserve"> </v>
      </c>
      <c r="M183" s="2" t="str">
        <f t="shared" si="12"/>
        <v xml:space="preserve"> </v>
      </c>
    </row>
    <row r="184" spans="1:13" x14ac:dyDescent="0.25">
      <c r="A184" s="43" t="str">
        <f t="shared" si="10"/>
        <v xml:space="preserve"> </v>
      </c>
      <c r="D184" s="42"/>
      <c r="E184" s="42"/>
      <c r="J184" s="17">
        <f t="shared" si="13"/>
        <v>0</v>
      </c>
      <c r="K184" s="2" t="str">
        <f t="shared" si="14"/>
        <v xml:space="preserve"> </v>
      </c>
      <c r="L184" s="2" t="str">
        <f t="shared" si="11"/>
        <v xml:space="preserve"> </v>
      </c>
      <c r="M184" s="2" t="str">
        <f t="shared" si="12"/>
        <v xml:space="preserve"> </v>
      </c>
    </row>
    <row r="185" spans="1:13" x14ac:dyDescent="0.25">
      <c r="A185" s="43" t="str">
        <f t="shared" si="10"/>
        <v xml:space="preserve"> </v>
      </c>
      <c r="D185" s="42"/>
      <c r="E185" s="42"/>
      <c r="J185" s="17">
        <f t="shared" si="13"/>
        <v>0</v>
      </c>
      <c r="K185" s="2" t="str">
        <f t="shared" si="14"/>
        <v xml:space="preserve"> </v>
      </c>
      <c r="L185" s="2" t="str">
        <f t="shared" si="11"/>
        <v xml:space="preserve"> </v>
      </c>
      <c r="M185" s="2" t="str">
        <f t="shared" si="12"/>
        <v xml:space="preserve"> </v>
      </c>
    </row>
    <row r="186" spans="1:13" x14ac:dyDescent="0.25">
      <c r="A186" s="43" t="str">
        <f t="shared" si="10"/>
        <v xml:space="preserve"> </v>
      </c>
      <c r="D186" s="42"/>
      <c r="E186" s="42"/>
      <c r="J186" s="17">
        <f t="shared" si="13"/>
        <v>0</v>
      </c>
      <c r="K186" s="2" t="str">
        <f t="shared" si="14"/>
        <v xml:space="preserve"> </v>
      </c>
      <c r="L186" s="2" t="str">
        <f t="shared" si="11"/>
        <v xml:space="preserve"> </v>
      </c>
      <c r="M186" s="2" t="str">
        <f t="shared" si="12"/>
        <v xml:space="preserve"> </v>
      </c>
    </row>
    <row r="187" spans="1:13" x14ac:dyDescent="0.25">
      <c r="A187" s="43" t="str">
        <f t="shared" si="10"/>
        <v xml:space="preserve"> </v>
      </c>
      <c r="D187" s="42"/>
      <c r="E187" s="42"/>
      <c r="J187" s="17">
        <f t="shared" si="13"/>
        <v>0</v>
      </c>
      <c r="K187" s="2" t="str">
        <f t="shared" si="14"/>
        <v xml:space="preserve"> </v>
      </c>
      <c r="L187" s="2" t="str">
        <f t="shared" si="11"/>
        <v xml:space="preserve"> </v>
      </c>
      <c r="M187" s="2" t="str">
        <f t="shared" si="12"/>
        <v xml:space="preserve"> </v>
      </c>
    </row>
    <row r="188" spans="1:13" x14ac:dyDescent="0.25">
      <c r="A188" s="43" t="str">
        <f t="shared" si="10"/>
        <v xml:space="preserve"> </v>
      </c>
      <c r="D188" s="42"/>
      <c r="E188" s="42"/>
      <c r="J188" s="17">
        <f t="shared" si="13"/>
        <v>0</v>
      </c>
      <c r="K188" s="2" t="str">
        <f t="shared" si="14"/>
        <v xml:space="preserve"> </v>
      </c>
      <c r="L188" s="2" t="str">
        <f t="shared" si="11"/>
        <v xml:space="preserve"> </v>
      </c>
      <c r="M188" s="2" t="str">
        <f t="shared" si="12"/>
        <v xml:space="preserve"> </v>
      </c>
    </row>
    <row r="189" spans="1:13" x14ac:dyDescent="0.25">
      <c r="A189" s="43" t="str">
        <f t="shared" si="10"/>
        <v xml:space="preserve"> </v>
      </c>
      <c r="D189" s="42"/>
      <c r="E189" s="42"/>
      <c r="J189" s="17">
        <f t="shared" si="13"/>
        <v>0</v>
      </c>
      <c r="K189" s="2" t="str">
        <f t="shared" si="14"/>
        <v xml:space="preserve"> </v>
      </c>
      <c r="L189" s="2" t="str">
        <f t="shared" si="11"/>
        <v xml:space="preserve"> </v>
      </c>
      <c r="M189" s="2" t="str">
        <f t="shared" si="12"/>
        <v xml:space="preserve"> </v>
      </c>
    </row>
    <row r="190" spans="1:13" x14ac:dyDescent="0.25">
      <c r="A190" s="43" t="str">
        <f t="shared" si="10"/>
        <v xml:space="preserve"> </v>
      </c>
      <c r="D190" s="42"/>
      <c r="E190" s="42"/>
      <c r="J190" s="17">
        <f t="shared" si="13"/>
        <v>0</v>
      </c>
      <c r="K190" s="2" t="str">
        <f t="shared" si="14"/>
        <v xml:space="preserve"> </v>
      </c>
      <c r="L190" s="2" t="str">
        <f t="shared" si="11"/>
        <v xml:space="preserve"> </v>
      </c>
      <c r="M190" s="2" t="str">
        <f t="shared" si="12"/>
        <v xml:space="preserve"> </v>
      </c>
    </row>
    <row r="191" spans="1:13" x14ac:dyDescent="0.25">
      <c r="A191" s="43" t="str">
        <f t="shared" si="10"/>
        <v xml:space="preserve"> </v>
      </c>
      <c r="D191" s="42"/>
      <c r="E191" s="42"/>
      <c r="J191" s="17">
        <f t="shared" si="13"/>
        <v>0</v>
      </c>
      <c r="K191" s="2" t="str">
        <f t="shared" si="14"/>
        <v xml:space="preserve"> </v>
      </c>
      <c r="L191" s="2" t="str">
        <f t="shared" si="11"/>
        <v xml:space="preserve"> </v>
      </c>
      <c r="M191" s="2" t="str">
        <f t="shared" si="12"/>
        <v xml:space="preserve"> </v>
      </c>
    </row>
    <row r="192" spans="1:13" x14ac:dyDescent="0.25">
      <c r="A192" s="43" t="str">
        <f t="shared" si="10"/>
        <v xml:space="preserve"> </v>
      </c>
      <c r="D192" s="42"/>
      <c r="E192" s="42"/>
      <c r="J192" s="17">
        <f t="shared" si="13"/>
        <v>0</v>
      </c>
      <c r="K192" s="2" t="str">
        <f t="shared" si="14"/>
        <v xml:space="preserve"> </v>
      </c>
      <c r="L192" s="2" t="str">
        <f t="shared" si="11"/>
        <v xml:space="preserve"> </v>
      </c>
      <c r="M192" s="2" t="str">
        <f t="shared" si="12"/>
        <v xml:space="preserve"> </v>
      </c>
    </row>
    <row r="193" spans="1:13" x14ac:dyDescent="0.25">
      <c r="A193" s="43" t="str">
        <f t="shared" si="10"/>
        <v xml:space="preserve"> </v>
      </c>
      <c r="D193" s="42"/>
      <c r="E193" s="42"/>
      <c r="J193" s="17">
        <f t="shared" si="13"/>
        <v>0</v>
      </c>
      <c r="K193" s="2" t="str">
        <f t="shared" si="14"/>
        <v xml:space="preserve"> </v>
      </c>
      <c r="L193" s="2" t="str">
        <f t="shared" si="11"/>
        <v xml:space="preserve"> </v>
      </c>
      <c r="M193" s="2" t="str">
        <f t="shared" si="12"/>
        <v xml:space="preserve"> </v>
      </c>
    </row>
    <row r="194" spans="1:13" x14ac:dyDescent="0.25">
      <c r="A194" s="43" t="str">
        <f t="shared" si="10"/>
        <v xml:space="preserve"> </v>
      </c>
      <c r="D194" s="42"/>
      <c r="E194" s="42"/>
      <c r="J194" s="17">
        <f t="shared" si="13"/>
        <v>0</v>
      </c>
      <c r="K194" s="2" t="str">
        <f t="shared" si="14"/>
        <v xml:space="preserve"> </v>
      </c>
      <c r="L194" s="2" t="str">
        <f t="shared" si="11"/>
        <v xml:space="preserve"> </v>
      </c>
      <c r="M194" s="2" t="str">
        <f t="shared" si="12"/>
        <v xml:space="preserve"> </v>
      </c>
    </row>
    <row r="195" spans="1:13" x14ac:dyDescent="0.25">
      <c r="A195" s="43" t="str">
        <f t="shared" si="10"/>
        <v xml:space="preserve"> </v>
      </c>
      <c r="D195" s="42"/>
      <c r="E195" s="42"/>
      <c r="J195" s="17">
        <f t="shared" si="13"/>
        <v>0</v>
      </c>
      <c r="K195" s="2" t="str">
        <f t="shared" si="14"/>
        <v xml:space="preserve"> </v>
      </c>
      <c r="L195" s="2" t="str">
        <f t="shared" si="11"/>
        <v xml:space="preserve"> </v>
      </c>
      <c r="M195" s="2" t="str">
        <f t="shared" si="12"/>
        <v xml:space="preserve"> </v>
      </c>
    </row>
    <row r="196" spans="1:13" x14ac:dyDescent="0.25">
      <c r="A196" s="43" t="str">
        <f t="shared" si="10"/>
        <v xml:space="preserve"> </v>
      </c>
      <c r="D196" s="42"/>
      <c r="E196" s="42"/>
      <c r="J196" s="17">
        <f t="shared" si="13"/>
        <v>0</v>
      </c>
      <c r="K196" s="2" t="str">
        <f t="shared" si="14"/>
        <v xml:space="preserve"> </v>
      </c>
      <c r="L196" s="2" t="str">
        <f t="shared" si="11"/>
        <v xml:space="preserve"> </v>
      </c>
      <c r="M196" s="2" t="str">
        <f t="shared" si="12"/>
        <v xml:space="preserve"> </v>
      </c>
    </row>
    <row r="197" spans="1:13" x14ac:dyDescent="0.25">
      <c r="A197" s="43" t="str">
        <f t="shared" si="10"/>
        <v xml:space="preserve"> </v>
      </c>
      <c r="D197" s="42"/>
      <c r="E197" s="42"/>
      <c r="J197" s="17">
        <f t="shared" si="13"/>
        <v>0</v>
      </c>
      <c r="K197" s="2" t="str">
        <f t="shared" si="14"/>
        <v xml:space="preserve"> </v>
      </c>
      <c r="L197" s="2" t="str">
        <f t="shared" si="11"/>
        <v xml:space="preserve"> </v>
      </c>
      <c r="M197" s="2" t="str">
        <f t="shared" si="12"/>
        <v xml:space="preserve"> </v>
      </c>
    </row>
    <row r="198" spans="1:13" x14ac:dyDescent="0.25">
      <c r="A198" s="43" t="str">
        <f t="shared" si="10"/>
        <v xml:space="preserve"> </v>
      </c>
      <c r="D198" s="42"/>
      <c r="E198" s="42"/>
      <c r="J198" s="17">
        <f t="shared" si="13"/>
        <v>0</v>
      </c>
      <c r="K198" s="2" t="str">
        <f t="shared" si="14"/>
        <v xml:space="preserve"> </v>
      </c>
      <c r="L198" s="2" t="str">
        <f t="shared" si="11"/>
        <v xml:space="preserve"> </v>
      </c>
      <c r="M198" s="2" t="str">
        <f t="shared" si="12"/>
        <v xml:space="preserve"> </v>
      </c>
    </row>
    <row r="199" spans="1:13" x14ac:dyDescent="0.25">
      <c r="A199" s="43" t="str">
        <f t="shared" si="10"/>
        <v xml:space="preserve"> </v>
      </c>
      <c r="D199" s="42"/>
      <c r="E199" s="42"/>
      <c r="J199" s="17">
        <f t="shared" si="13"/>
        <v>0</v>
      </c>
      <c r="K199" s="2" t="str">
        <f t="shared" si="14"/>
        <v xml:space="preserve"> </v>
      </c>
      <c r="L199" s="2" t="str">
        <f t="shared" si="11"/>
        <v xml:space="preserve"> </v>
      </c>
      <c r="M199" s="2" t="str">
        <f t="shared" si="12"/>
        <v xml:space="preserve"> </v>
      </c>
    </row>
    <row r="200" spans="1:13" x14ac:dyDescent="0.25">
      <c r="A200" s="43" t="str">
        <f t="shared" si="10"/>
        <v xml:space="preserve"> </v>
      </c>
      <c r="D200" s="42"/>
      <c r="E200" s="42"/>
      <c r="J200" s="17">
        <f t="shared" si="13"/>
        <v>0</v>
      </c>
      <c r="K200" s="2" t="str">
        <f t="shared" si="14"/>
        <v xml:space="preserve"> </v>
      </c>
      <c r="L200" s="2" t="str">
        <f t="shared" si="11"/>
        <v xml:space="preserve"> </v>
      </c>
      <c r="M200" s="2" t="str">
        <f t="shared" si="12"/>
        <v xml:space="preserve"> </v>
      </c>
    </row>
    <row r="201" spans="1:13" x14ac:dyDescent="0.25">
      <c r="A201" s="43" t="str">
        <f t="shared" si="10"/>
        <v xml:space="preserve"> </v>
      </c>
      <c r="D201" s="42"/>
      <c r="E201" s="42"/>
      <c r="J201" s="17">
        <f t="shared" si="13"/>
        <v>0</v>
      </c>
      <c r="K201" s="2" t="str">
        <f t="shared" si="14"/>
        <v xml:space="preserve"> </v>
      </c>
      <c r="L201" s="2" t="str">
        <f t="shared" si="11"/>
        <v xml:space="preserve"> </v>
      </c>
      <c r="M201" s="2" t="str">
        <f t="shared" si="12"/>
        <v xml:space="preserve"> </v>
      </c>
    </row>
    <row r="202" spans="1:13" x14ac:dyDescent="0.25">
      <c r="A202" s="43" t="str">
        <f t="shared" si="10"/>
        <v xml:space="preserve"> </v>
      </c>
      <c r="D202" s="42"/>
      <c r="E202" s="42"/>
      <c r="J202" s="17">
        <f t="shared" si="13"/>
        <v>0</v>
      </c>
      <c r="K202" s="2" t="str">
        <f t="shared" si="14"/>
        <v xml:space="preserve"> </v>
      </c>
      <c r="L202" s="2" t="str">
        <f t="shared" si="11"/>
        <v xml:space="preserve"> </v>
      </c>
      <c r="M202" s="2" t="str">
        <f t="shared" si="12"/>
        <v xml:space="preserve"> </v>
      </c>
    </row>
    <row r="203" spans="1:13" x14ac:dyDescent="0.25">
      <c r="A203" s="43" t="str">
        <f t="shared" si="10"/>
        <v xml:space="preserve"> </v>
      </c>
      <c r="D203" s="42"/>
      <c r="E203" s="42"/>
      <c r="J203" s="17">
        <f t="shared" si="13"/>
        <v>0</v>
      </c>
      <c r="K203" s="2" t="str">
        <f t="shared" si="14"/>
        <v xml:space="preserve"> </v>
      </c>
      <c r="L203" s="2" t="str">
        <f t="shared" si="11"/>
        <v xml:space="preserve"> </v>
      </c>
      <c r="M203" s="2" t="str">
        <f t="shared" si="12"/>
        <v xml:space="preserve"> </v>
      </c>
    </row>
    <row r="204" spans="1:13" x14ac:dyDescent="0.25">
      <c r="A204" s="43" t="str">
        <f t="shared" si="10"/>
        <v xml:space="preserve"> </v>
      </c>
      <c r="D204" s="42"/>
      <c r="E204" s="42"/>
      <c r="J204" s="17">
        <f t="shared" si="13"/>
        <v>0</v>
      </c>
      <c r="K204" s="2" t="str">
        <f t="shared" si="14"/>
        <v xml:space="preserve"> </v>
      </c>
      <c r="L204" s="2" t="str">
        <f t="shared" si="11"/>
        <v xml:space="preserve"> </v>
      </c>
      <c r="M204" s="2" t="str">
        <f t="shared" si="12"/>
        <v xml:space="preserve"> </v>
      </c>
    </row>
    <row r="205" spans="1:13" x14ac:dyDescent="0.25">
      <c r="A205" s="43" t="str">
        <f t="shared" si="10"/>
        <v xml:space="preserve"> </v>
      </c>
      <c r="D205" s="42"/>
      <c r="E205" s="42"/>
      <c r="J205" s="17">
        <f t="shared" si="13"/>
        <v>0</v>
      </c>
      <c r="K205" s="2" t="str">
        <f t="shared" si="14"/>
        <v xml:space="preserve"> </v>
      </c>
      <c r="L205" s="2" t="str">
        <f t="shared" si="11"/>
        <v xml:space="preserve"> </v>
      </c>
      <c r="M205" s="2" t="str">
        <f t="shared" si="12"/>
        <v xml:space="preserve"> </v>
      </c>
    </row>
    <row r="206" spans="1:13" x14ac:dyDescent="0.25">
      <c r="A206" s="43" t="str">
        <f t="shared" si="10"/>
        <v xml:space="preserve"> </v>
      </c>
      <c r="D206" s="42"/>
      <c r="E206" s="42"/>
      <c r="J206" s="17">
        <f t="shared" si="13"/>
        <v>0</v>
      </c>
      <c r="K206" s="2" t="str">
        <f t="shared" si="14"/>
        <v xml:space="preserve"> </v>
      </c>
      <c r="L206" s="2" t="str">
        <f t="shared" si="11"/>
        <v xml:space="preserve"> </v>
      </c>
      <c r="M206" s="2" t="str">
        <f t="shared" si="12"/>
        <v xml:space="preserve"> </v>
      </c>
    </row>
    <row r="207" spans="1:13" x14ac:dyDescent="0.25">
      <c r="A207" s="43" t="str">
        <f t="shared" ref="A207:A270" si="15">IF(COUNTIF(K207:M207,"ERROR")&gt;0,"ERROR"," ")</f>
        <v xml:space="preserve"> </v>
      </c>
      <c r="D207" s="42"/>
      <c r="E207" s="42"/>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43" t="str">
        <f t="shared" si="15"/>
        <v xml:space="preserve"> </v>
      </c>
      <c r="D208" s="42"/>
      <c r="E208" s="42"/>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3" t="str">
        <f t="shared" si="15"/>
        <v xml:space="preserve"> </v>
      </c>
      <c r="D209" s="42"/>
      <c r="E209" s="42"/>
      <c r="J209" s="17">
        <f t="shared" si="18"/>
        <v>0</v>
      </c>
      <c r="K209" s="2" t="str">
        <f t="shared" si="19"/>
        <v xml:space="preserve"> </v>
      </c>
      <c r="L209" s="2" t="str">
        <f t="shared" si="16"/>
        <v xml:space="preserve"> </v>
      </c>
      <c r="M209" s="2" t="str">
        <f t="shared" si="17"/>
        <v xml:space="preserve"> </v>
      </c>
    </row>
    <row r="210" spans="1:13" x14ac:dyDescent="0.25">
      <c r="A210" s="43" t="str">
        <f t="shared" si="15"/>
        <v xml:space="preserve"> </v>
      </c>
      <c r="D210" s="42"/>
      <c r="E210" s="42"/>
      <c r="J210" s="17">
        <f t="shared" si="18"/>
        <v>0</v>
      </c>
      <c r="K210" s="2" t="str">
        <f t="shared" si="19"/>
        <v xml:space="preserve"> </v>
      </c>
      <c r="L210" s="2" t="str">
        <f t="shared" si="16"/>
        <v xml:space="preserve"> </v>
      </c>
      <c r="M210" s="2" t="str">
        <f t="shared" si="17"/>
        <v xml:space="preserve"> </v>
      </c>
    </row>
    <row r="211" spans="1:13" x14ac:dyDescent="0.25">
      <c r="A211" s="43" t="str">
        <f t="shared" si="15"/>
        <v xml:space="preserve"> </v>
      </c>
      <c r="D211" s="42"/>
      <c r="E211" s="42"/>
      <c r="J211" s="17">
        <f t="shared" si="18"/>
        <v>0</v>
      </c>
      <c r="K211" s="2" t="str">
        <f t="shared" si="19"/>
        <v xml:space="preserve"> </v>
      </c>
      <c r="L211" s="2" t="str">
        <f t="shared" si="16"/>
        <v xml:space="preserve"> </v>
      </c>
      <c r="M211" s="2" t="str">
        <f t="shared" si="17"/>
        <v xml:space="preserve"> </v>
      </c>
    </row>
    <row r="212" spans="1:13" x14ac:dyDescent="0.25">
      <c r="A212" s="43" t="str">
        <f t="shared" si="15"/>
        <v xml:space="preserve"> </v>
      </c>
      <c r="D212" s="42"/>
      <c r="E212" s="42"/>
      <c r="J212" s="17">
        <f t="shared" si="18"/>
        <v>0</v>
      </c>
      <c r="K212" s="2" t="str">
        <f t="shared" si="19"/>
        <v xml:space="preserve"> </v>
      </c>
      <c r="L212" s="2" t="str">
        <f t="shared" si="16"/>
        <v xml:space="preserve"> </v>
      </c>
      <c r="M212" s="2" t="str">
        <f t="shared" si="17"/>
        <v xml:space="preserve"> </v>
      </c>
    </row>
    <row r="213" spans="1:13" x14ac:dyDescent="0.25">
      <c r="A213" s="43" t="str">
        <f t="shared" si="15"/>
        <v xml:space="preserve"> </v>
      </c>
      <c r="D213" s="42"/>
      <c r="E213" s="42"/>
      <c r="J213" s="17">
        <f t="shared" si="18"/>
        <v>0</v>
      </c>
      <c r="K213" s="2" t="str">
        <f t="shared" si="19"/>
        <v xml:space="preserve"> </v>
      </c>
      <c r="L213" s="2" t="str">
        <f t="shared" si="16"/>
        <v xml:space="preserve"> </v>
      </c>
      <c r="M213" s="2" t="str">
        <f t="shared" si="17"/>
        <v xml:space="preserve"> </v>
      </c>
    </row>
    <row r="214" spans="1:13" x14ac:dyDescent="0.25">
      <c r="A214" s="43" t="str">
        <f t="shared" si="15"/>
        <v xml:space="preserve"> </v>
      </c>
      <c r="D214" s="42"/>
      <c r="E214" s="42"/>
      <c r="J214" s="17">
        <f t="shared" si="18"/>
        <v>0</v>
      </c>
      <c r="K214" s="2" t="str">
        <f t="shared" si="19"/>
        <v xml:space="preserve"> </v>
      </c>
      <c r="L214" s="2" t="str">
        <f t="shared" si="16"/>
        <v xml:space="preserve"> </v>
      </c>
      <c r="M214" s="2" t="str">
        <f t="shared" si="17"/>
        <v xml:space="preserve"> </v>
      </c>
    </row>
    <row r="215" spans="1:13" x14ac:dyDescent="0.25">
      <c r="A215" s="43" t="str">
        <f t="shared" si="15"/>
        <v xml:space="preserve"> </v>
      </c>
      <c r="D215" s="42"/>
      <c r="E215" s="42"/>
      <c r="J215" s="17">
        <f t="shared" si="18"/>
        <v>0</v>
      </c>
      <c r="K215" s="2" t="str">
        <f t="shared" si="19"/>
        <v xml:space="preserve"> </v>
      </c>
      <c r="L215" s="2" t="str">
        <f t="shared" si="16"/>
        <v xml:space="preserve"> </v>
      </c>
      <c r="M215" s="2" t="str">
        <f t="shared" si="17"/>
        <v xml:space="preserve"> </v>
      </c>
    </row>
    <row r="216" spans="1:13" x14ac:dyDescent="0.25">
      <c r="A216" s="43" t="str">
        <f t="shared" si="15"/>
        <v xml:space="preserve"> </v>
      </c>
      <c r="D216" s="42"/>
      <c r="E216" s="42"/>
      <c r="J216" s="17">
        <f t="shared" si="18"/>
        <v>0</v>
      </c>
      <c r="K216" s="2" t="str">
        <f t="shared" si="19"/>
        <v xml:space="preserve"> </v>
      </c>
      <c r="L216" s="2" t="str">
        <f t="shared" si="16"/>
        <v xml:space="preserve"> </v>
      </c>
      <c r="M216" s="2" t="str">
        <f t="shared" si="17"/>
        <v xml:space="preserve"> </v>
      </c>
    </row>
    <row r="217" spans="1:13" x14ac:dyDescent="0.25">
      <c r="A217" s="43" t="str">
        <f t="shared" si="15"/>
        <v xml:space="preserve"> </v>
      </c>
      <c r="D217" s="42"/>
      <c r="E217" s="42"/>
      <c r="J217" s="17">
        <f t="shared" si="18"/>
        <v>0</v>
      </c>
      <c r="K217" s="2" t="str">
        <f t="shared" si="19"/>
        <v xml:space="preserve"> </v>
      </c>
      <c r="L217" s="2" t="str">
        <f t="shared" si="16"/>
        <v xml:space="preserve"> </v>
      </c>
      <c r="M217" s="2" t="str">
        <f t="shared" si="17"/>
        <v xml:space="preserve"> </v>
      </c>
    </row>
    <row r="218" spans="1:13" x14ac:dyDescent="0.25">
      <c r="A218" s="43" t="str">
        <f t="shared" si="15"/>
        <v xml:space="preserve"> </v>
      </c>
      <c r="D218" s="42"/>
      <c r="E218" s="42"/>
      <c r="J218" s="17">
        <f t="shared" si="18"/>
        <v>0</v>
      </c>
      <c r="K218" s="2" t="str">
        <f t="shared" si="19"/>
        <v xml:space="preserve"> </v>
      </c>
      <c r="L218" s="2" t="str">
        <f t="shared" si="16"/>
        <v xml:space="preserve"> </v>
      </c>
      <c r="M218" s="2" t="str">
        <f t="shared" si="17"/>
        <v xml:space="preserve"> </v>
      </c>
    </row>
    <row r="219" spans="1:13" x14ac:dyDescent="0.25">
      <c r="A219" s="43" t="str">
        <f t="shared" si="15"/>
        <v xml:space="preserve"> </v>
      </c>
      <c r="D219" s="42"/>
      <c r="E219" s="42"/>
      <c r="J219" s="17">
        <f t="shared" si="18"/>
        <v>0</v>
      </c>
      <c r="K219" s="2" t="str">
        <f t="shared" si="19"/>
        <v xml:space="preserve"> </v>
      </c>
      <c r="L219" s="2" t="str">
        <f t="shared" si="16"/>
        <v xml:space="preserve"> </v>
      </c>
      <c r="M219" s="2" t="str">
        <f t="shared" si="17"/>
        <v xml:space="preserve"> </v>
      </c>
    </row>
    <row r="220" spans="1:13" x14ac:dyDescent="0.25">
      <c r="A220" s="43" t="str">
        <f t="shared" si="15"/>
        <v xml:space="preserve"> </v>
      </c>
      <c r="D220" s="42"/>
      <c r="E220" s="42"/>
      <c r="J220" s="17">
        <f t="shared" si="18"/>
        <v>0</v>
      </c>
      <c r="K220" s="2" t="str">
        <f t="shared" si="19"/>
        <v xml:space="preserve"> </v>
      </c>
      <c r="L220" s="2" t="str">
        <f t="shared" si="16"/>
        <v xml:space="preserve"> </v>
      </c>
      <c r="M220" s="2" t="str">
        <f t="shared" si="17"/>
        <v xml:space="preserve"> </v>
      </c>
    </row>
    <row r="221" spans="1:13" x14ac:dyDescent="0.25">
      <c r="A221" s="43" t="str">
        <f t="shared" si="15"/>
        <v xml:space="preserve"> </v>
      </c>
      <c r="D221" s="42"/>
      <c r="E221" s="42"/>
      <c r="J221" s="17">
        <f t="shared" si="18"/>
        <v>0</v>
      </c>
      <c r="K221" s="2" t="str">
        <f t="shared" si="19"/>
        <v xml:space="preserve"> </v>
      </c>
      <c r="L221" s="2" t="str">
        <f t="shared" si="16"/>
        <v xml:space="preserve"> </v>
      </c>
      <c r="M221" s="2" t="str">
        <f t="shared" si="17"/>
        <v xml:space="preserve"> </v>
      </c>
    </row>
    <row r="222" spans="1:13" x14ac:dyDescent="0.25">
      <c r="A222" s="43" t="str">
        <f t="shared" si="15"/>
        <v xml:space="preserve"> </v>
      </c>
      <c r="D222" s="42"/>
      <c r="E222" s="42"/>
      <c r="J222" s="17">
        <f t="shared" si="18"/>
        <v>0</v>
      </c>
      <c r="K222" s="2" t="str">
        <f t="shared" si="19"/>
        <v xml:space="preserve"> </v>
      </c>
      <c r="L222" s="2" t="str">
        <f t="shared" si="16"/>
        <v xml:space="preserve"> </v>
      </c>
      <c r="M222" s="2" t="str">
        <f t="shared" si="17"/>
        <v xml:space="preserve"> </v>
      </c>
    </row>
    <row r="223" spans="1:13" x14ac:dyDescent="0.25">
      <c r="A223" s="43" t="str">
        <f t="shared" si="15"/>
        <v xml:space="preserve"> </v>
      </c>
      <c r="D223" s="42"/>
      <c r="E223" s="42"/>
      <c r="J223" s="17">
        <f t="shared" si="18"/>
        <v>0</v>
      </c>
      <c r="K223" s="2" t="str">
        <f t="shared" si="19"/>
        <v xml:space="preserve"> </v>
      </c>
      <c r="L223" s="2" t="str">
        <f t="shared" si="16"/>
        <v xml:space="preserve"> </v>
      </c>
      <c r="M223" s="2" t="str">
        <f t="shared" si="17"/>
        <v xml:space="preserve"> </v>
      </c>
    </row>
    <row r="224" spans="1:13" x14ac:dyDescent="0.25">
      <c r="A224" s="43" t="str">
        <f t="shared" si="15"/>
        <v xml:space="preserve"> </v>
      </c>
      <c r="D224" s="42"/>
      <c r="E224" s="42"/>
      <c r="J224" s="17">
        <f t="shared" si="18"/>
        <v>0</v>
      </c>
      <c r="K224" s="2" t="str">
        <f t="shared" si="19"/>
        <v xml:space="preserve"> </v>
      </c>
      <c r="L224" s="2" t="str">
        <f t="shared" si="16"/>
        <v xml:space="preserve"> </v>
      </c>
      <c r="M224" s="2" t="str">
        <f t="shared" si="17"/>
        <v xml:space="preserve"> </v>
      </c>
    </row>
    <row r="225" spans="1:13" x14ac:dyDescent="0.25">
      <c r="A225" s="43" t="str">
        <f t="shared" si="15"/>
        <v xml:space="preserve"> </v>
      </c>
      <c r="D225" s="42"/>
      <c r="E225" s="42"/>
      <c r="J225" s="17">
        <f t="shared" si="18"/>
        <v>0</v>
      </c>
      <c r="K225" s="2" t="str">
        <f t="shared" si="19"/>
        <v xml:space="preserve"> </v>
      </c>
      <c r="L225" s="2" t="str">
        <f t="shared" si="16"/>
        <v xml:space="preserve"> </v>
      </c>
      <c r="M225" s="2" t="str">
        <f t="shared" si="17"/>
        <v xml:space="preserve"> </v>
      </c>
    </row>
    <row r="226" spans="1:13" x14ac:dyDescent="0.25">
      <c r="A226" s="43" t="str">
        <f t="shared" si="15"/>
        <v xml:space="preserve"> </v>
      </c>
      <c r="D226" s="42"/>
      <c r="E226" s="42"/>
      <c r="J226" s="17">
        <f t="shared" si="18"/>
        <v>0</v>
      </c>
      <c r="K226" s="2" t="str">
        <f t="shared" si="19"/>
        <v xml:space="preserve"> </v>
      </c>
      <c r="L226" s="2" t="str">
        <f t="shared" si="16"/>
        <v xml:space="preserve"> </v>
      </c>
      <c r="M226" s="2" t="str">
        <f t="shared" si="17"/>
        <v xml:space="preserve"> </v>
      </c>
    </row>
    <row r="227" spans="1:13" x14ac:dyDescent="0.25">
      <c r="A227" s="43" t="str">
        <f t="shared" si="15"/>
        <v xml:space="preserve"> </v>
      </c>
      <c r="D227" s="42"/>
      <c r="E227" s="42"/>
      <c r="J227" s="17">
        <f t="shared" si="18"/>
        <v>0</v>
      </c>
      <c r="K227" s="2" t="str">
        <f t="shared" si="19"/>
        <v xml:space="preserve"> </v>
      </c>
      <c r="L227" s="2" t="str">
        <f t="shared" si="16"/>
        <v xml:space="preserve"> </v>
      </c>
      <c r="M227" s="2" t="str">
        <f t="shared" si="17"/>
        <v xml:space="preserve"> </v>
      </c>
    </row>
    <row r="228" spans="1:13" x14ac:dyDescent="0.25">
      <c r="A228" s="43" t="str">
        <f t="shared" si="15"/>
        <v xml:space="preserve"> </v>
      </c>
      <c r="D228" s="42"/>
      <c r="E228" s="42"/>
      <c r="J228" s="17">
        <f t="shared" si="18"/>
        <v>0</v>
      </c>
      <c r="K228" s="2" t="str">
        <f t="shared" si="19"/>
        <v xml:space="preserve"> </v>
      </c>
      <c r="L228" s="2" t="str">
        <f t="shared" si="16"/>
        <v xml:space="preserve"> </v>
      </c>
      <c r="M228" s="2" t="str">
        <f t="shared" si="17"/>
        <v xml:space="preserve"> </v>
      </c>
    </row>
    <row r="229" spans="1:13" x14ac:dyDescent="0.25">
      <c r="A229" s="43" t="str">
        <f t="shared" si="15"/>
        <v xml:space="preserve"> </v>
      </c>
      <c r="D229" s="42"/>
      <c r="E229" s="42"/>
      <c r="J229" s="17">
        <f t="shared" si="18"/>
        <v>0</v>
      </c>
      <c r="K229" s="2" t="str">
        <f t="shared" si="19"/>
        <v xml:space="preserve"> </v>
      </c>
      <c r="L229" s="2" t="str">
        <f t="shared" si="16"/>
        <v xml:space="preserve"> </v>
      </c>
      <c r="M229" s="2" t="str">
        <f t="shared" si="17"/>
        <v xml:space="preserve"> </v>
      </c>
    </row>
    <row r="230" spans="1:13" x14ac:dyDescent="0.25">
      <c r="A230" s="43" t="str">
        <f t="shared" si="15"/>
        <v xml:space="preserve"> </v>
      </c>
      <c r="D230" s="42"/>
      <c r="E230" s="42"/>
      <c r="J230" s="17">
        <f t="shared" si="18"/>
        <v>0</v>
      </c>
      <c r="K230" s="2" t="str">
        <f t="shared" si="19"/>
        <v xml:space="preserve"> </v>
      </c>
      <c r="L230" s="2" t="str">
        <f t="shared" si="16"/>
        <v xml:space="preserve"> </v>
      </c>
      <c r="M230" s="2" t="str">
        <f t="shared" si="17"/>
        <v xml:space="preserve"> </v>
      </c>
    </row>
    <row r="231" spans="1:13" x14ac:dyDescent="0.25">
      <c r="A231" s="43" t="str">
        <f t="shared" si="15"/>
        <v xml:space="preserve"> </v>
      </c>
      <c r="D231" s="42"/>
      <c r="E231" s="42"/>
      <c r="J231" s="17">
        <f t="shared" si="18"/>
        <v>0</v>
      </c>
      <c r="K231" s="2" t="str">
        <f t="shared" si="19"/>
        <v xml:space="preserve"> </v>
      </c>
      <c r="L231" s="2" t="str">
        <f t="shared" si="16"/>
        <v xml:space="preserve"> </v>
      </c>
      <c r="M231" s="2" t="str">
        <f t="shared" si="17"/>
        <v xml:space="preserve"> </v>
      </c>
    </row>
    <row r="232" spans="1:13" x14ac:dyDescent="0.25">
      <c r="A232" s="43" t="str">
        <f t="shared" si="15"/>
        <v xml:space="preserve"> </v>
      </c>
      <c r="D232" s="42"/>
      <c r="E232" s="42"/>
      <c r="J232" s="17">
        <f t="shared" si="18"/>
        <v>0</v>
      </c>
      <c r="K232" s="2" t="str">
        <f t="shared" si="19"/>
        <v xml:space="preserve"> </v>
      </c>
      <c r="L232" s="2" t="str">
        <f t="shared" si="16"/>
        <v xml:space="preserve"> </v>
      </c>
      <c r="M232" s="2" t="str">
        <f t="shared" si="17"/>
        <v xml:space="preserve"> </v>
      </c>
    </row>
    <row r="233" spans="1:13" x14ac:dyDescent="0.25">
      <c r="A233" s="43" t="str">
        <f t="shared" si="15"/>
        <v xml:space="preserve"> </v>
      </c>
      <c r="D233" s="42"/>
      <c r="E233" s="42"/>
      <c r="J233" s="17">
        <f t="shared" si="18"/>
        <v>0</v>
      </c>
      <c r="K233" s="2" t="str">
        <f t="shared" si="19"/>
        <v xml:space="preserve"> </v>
      </c>
      <c r="L233" s="2" t="str">
        <f t="shared" si="16"/>
        <v xml:space="preserve"> </v>
      </c>
      <c r="M233" s="2" t="str">
        <f t="shared" si="17"/>
        <v xml:space="preserve"> </v>
      </c>
    </row>
    <row r="234" spans="1:13" x14ac:dyDescent="0.25">
      <c r="A234" s="43" t="str">
        <f t="shared" si="15"/>
        <v xml:space="preserve"> </v>
      </c>
      <c r="D234" s="42"/>
      <c r="E234" s="42"/>
      <c r="J234" s="17">
        <f t="shared" si="18"/>
        <v>0</v>
      </c>
      <c r="K234" s="2" t="str">
        <f t="shared" si="19"/>
        <v xml:space="preserve"> </v>
      </c>
      <c r="L234" s="2" t="str">
        <f t="shared" si="16"/>
        <v xml:space="preserve"> </v>
      </c>
      <c r="M234" s="2" t="str">
        <f t="shared" si="17"/>
        <v xml:space="preserve"> </v>
      </c>
    </row>
    <row r="235" spans="1:13" x14ac:dyDescent="0.25">
      <c r="A235" s="43" t="str">
        <f t="shared" si="15"/>
        <v xml:space="preserve"> </v>
      </c>
      <c r="D235" s="42"/>
      <c r="E235" s="42"/>
      <c r="J235" s="17">
        <f t="shared" si="18"/>
        <v>0</v>
      </c>
      <c r="K235" s="2" t="str">
        <f t="shared" si="19"/>
        <v xml:space="preserve"> </v>
      </c>
      <c r="L235" s="2" t="str">
        <f t="shared" si="16"/>
        <v xml:space="preserve"> </v>
      </c>
      <c r="M235" s="2" t="str">
        <f t="shared" si="17"/>
        <v xml:space="preserve"> </v>
      </c>
    </row>
    <row r="236" spans="1:13" x14ac:dyDescent="0.25">
      <c r="A236" s="43" t="str">
        <f t="shared" si="15"/>
        <v xml:space="preserve"> </v>
      </c>
      <c r="D236" s="42"/>
      <c r="E236" s="42"/>
      <c r="J236" s="17">
        <f t="shared" si="18"/>
        <v>0</v>
      </c>
      <c r="K236" s="2" t="str">
        <f t="shared" si="19"/>
        <v xml:space="preserve"> </v>
      </c>
      <c r="L236" s="2" t="str">
        <f t="shared" si="16"/>
        <v xml:space="preserve"> </v>
      </c>
      <c r="M236" s="2" t="str">
        <f t="shared" si="17"/>
        <v xml:space="preserve"> </v>
      </c>
    </row>
    <row r="237" spans="1:13" x14ac:dyDescent="0.25">
      <c r="A237" s="43" t="str">
        <f t="shared" si="15"/>
        <v xml:space="preserve"> </v>
      </c>
      <c r="D237" s="42"/>
      <c r="E237" s="42"/>
      <c r="J237" s="17">
        <f t="shared" si="18"/>
        <v>0</v>
      </c>
      <c r="K237" s="2" t="str">
        <f t="shared" si="19"/>
        <v xml:space="preserve"> </v>
      </c>
      <c r="L237" s="2" t="str">
        <f t="shared" si="16"/>
        <v xml:space="preserve"> </v>
      </c>
      <c r="M237" s="2" t="str">
        <f t="shared" si="17"/>
        <v xml:space="preserve"> </v>
      </c>
    </row>
    <row r="238" spans="1:13" x14ac:dyDescent="0.25">
      <c r="A238" s="43" t="str">
        <f t="shared" si="15"/>
        <v xml:space="preserve"> </v>
      </c>
      <c r="D238" s="42"/>
      <c r="E238" s="42"/>
      <c r="J238" s="17">
        <f t="shared" si="18"/>
        <v>0</v>
      </c>
      <c r="K238" s="2" t="str">
        <f t="shared" si="19"/>
        <v xml:space="preserve"> </v>
      </c>
      <c r="L238" s="2" t="str">
        <f t="shared" si="16"/>
        <v xml:space="preserve"> </v>
      </c>
      <c r="M238" s="2" t="str">
        <f t="shared" si="17"/>
        <v xml:space="preserve"> </v>
      </c>
    </row>
    <row r="239" spans="1:13" x14ac:dyDescent="0.25">
      <c r="A239" s="43" t="str">
        <f t="shared" si="15"/>
        <v xml:space="preserve"> </v>
      </c>
      <c r="D239" s="42"/>
      <c r="E239" s="42"/>
      <c r="J239" s="17">
        <f t="shared" si="18"/>
        <v>0</v>
      </c>
      <c r="K239" s="2" t="str">
        <f t="shared" si="19"/>
        <v xml:space="preserve"> </v>
      </c>
      <c r="L239" s="2" t="str">
        <f t="shared" si="16"/>
        <v xml:space="preserve"> </v>
      </c>
      <c r="M239" s="2" t="str">
        <f t="shared" si="17"/>
        <v xml:space="preserve"> </v>
      </c>
    </row>
    <row r="240" spans="1:13" x14ac:dyDescent="0.25">
      <c r="A240" s="43" t="str">
        <f t="shared" si="15"/>
        <v xml:space="preserve"> </v>
      </c>
      <c r="D240" s="42"/>
      <c r="E240" s="42"/>
      <c r="J240" s="17">
        <f t="shared" si="18"/>
        <v>0</v>
      </c>
      <c r="K240" s="2" t="str">
        <f t="shared" si="19"/>
        <v xml:space="preserve"> </v>
      </c>
      <c r="L240" s="2" t="str">
        <f t="shared" si="16"/>
        <v xml:space="preserve"> </v>
      </c>
      <c r="M240" s="2" t="str">
        <f t="shared" si="17"/>
        <v xml:space="preserve"> </v>
      </c>
    </row>
    <row r="241" spans="1:13" x14ac:dyDescent="0.25">
      <c r="A241" s="43" t="str">
        <f t="shared" si="15"/>
        <v xml:space="preserve"> </v>
      </c>
      <c r="D241" s="42"/>
      <c r="E241" s="42"/>
      <c r="J241" s="17">
        <f t="shared" si="18"/>
        <v>0</v>
      </c>
      <c r="K241" s="2" t="str">
        <f t="shared" si="19"/>
        <v xml:space="preserve"> </v>
      </c>
      <c r="L241" s="2" t="str">
        <f t="shared" si="16"/>
        <v xml:space="preserve"> </v>
      </c>
      <c r="M241" s="2" t="str">
        <f t="shared" si="17"/>
        <v xml:space="preserve"> </v>
      </c>
    </row>
    <row r="242" spans="1:13" x14ac:dyDescent="0.25">
      <c r="A242" s="43" t="str">
        <f t="shared" si="15"/>
        <v xml:space="preserve"> </v>
      </c>
      <c r="D242" s="42"/>
      <c r="E242" s="42"/>
      <c r="J242" s="17">
        <f t="shared" si="18"/>
        <v>0</v>
      </c>
      <c r="K242" s="2" t="str">
        <f t="shared" si="19"/>
        <v xml:space="preserve"> </v>
      </c>
      <c r="L242" s="2" t="str">
        <f t="shared" si="16"/>
        <v xml:space="preserve"> </v>
      </c>
      <c r="M242" s="2" t="str">
        <f t="shared" si="17"/>
        <v xml:space="preserve"> </v>
      </c>
    </row>
    <row r="243" spans="1:13" x14ac:dyDescent="0.25">
      <c r="A243" s="43" t="str">
        <f t="shared" si="15"/>
        <v xml:space="preserve"> </v>
      </c>
      <c r="D243" s="42"/>
      <c r="E243" s="42"/>
      <c r="J243" s="17">
        <f t="shared" si="18"/>
        <v>0</v>
      </c>
      <c r="K243" s="2" t="str">
        <f t="shared" si="19"/>
        <v xml:space="preserve"> </v>
      </c>
      <c r="L243" s="2" t="str">
        <f t="shared" si="16"/>
        <v xml:space="preserve"> </v>
      </c>
      <c r="M243" s="2" t="str">
        <f t="shared" si="17"/>
        <v xml:space="preserve"> </v>
      </c>
    </row>
    <row r="244" spans="1:13" x14ac:dyDescent="0.25">
      <c r="A244" s="43" t="str">
        <f t="shared" si="15"/>
        <v xml:space="preserve"> </v>
      </c>
      <c r="D244" s="42"/>
      <c r="E244" s="42"/>
      <c r="J244" s="17">
        <f t="shared" si="18"/>
        <v>0</v>
      </c>
      <c r="K244" s="2" t="str">
        <f t="shared" si="19"/>
        <v xml:space="preserve"> </v>
      </c>
      <c r="L244" s="2" t="str">
        <f t="shared" si="16"/>
        <v xml:space="preserve"> </v>
      </c>
      <c r="M244" s="2" t="str">
        <f t="shared" si="17"/>
        <v xml:space="preserve"> </v>
      </c>
    </row>
    <row r="245" spans="1:13" x14ac:dyDescent="0.25">
      <c r="A245" s="43" t="str">
        <f t="shared" si="15"/>
        <v xml:space="preserve"> </v>
      </c>
      <c r="D245" s="42"/>
      <c r="E245" s="42"/>
      <c r="J245" s="17">
        <f t="shared" si="18"/>
        <v>0</v>
      </c>
      <c r="K245" s="2" t="str">
        <f t="shared" si="19"/>
        <v xml:space="preserve"> </v>
      </c>
      <c r="L245" s="2" t="str">
        <f t="shared" si="16"/>
        <v xml:space="preserve"> </v>
      </c>
      <c r="M245" s="2" t="str">
        <f t="shared" si="17"/>
        <v xml:space="preserve"> </v>
      </c>
    </row>
    <row r="246" spans="1:13" x14ac:dyDescent="0.25">
      <c r="A246" s="43" t="str">
        <f t="shared" si="15"/>
        <v xml:space="preserve"> </v>
      </c>
      <c r="D246" s="42"/>
      <c r="E246" s="42"/>
      <c r="J246" s="17">
        <f t="shared" si="18"/>
        <v>0</v>
      </c>
      <c r="K246" s="2" t="str">
        <f t="shared" si="19"/>
        <v xml:space="preserve"> </v>
      </c>
      <c r="L246" s="2" t="str">
        <f t="shared" si="16"/>
        <v xml:space="preserve"> </v>
      </c>
      <c r="M246" s="2" t="str">
        <f t="shared" si="17"/>
        <v xml:space="preserve"> </v>
      </c>
    </row>
    <row r="247" spans="1:13" x14ac:dyDescent="0.25">
      <c r="A247" s="43" t="str">
        <f t="shared" si="15"/>
        <v xml:space="preserve"> </v>
      </c>
      <c r="D247" s="42"/>
      <c r="E247" s="42"/>
      <c r="J247" s="17">
        <f t="shared" si="18"/>
        <v>0</v>
      </c>
      <c r="K247" s="2" t="str">
        <f t="shared" si="19"/>
        <v xml:space="preserve"> </v>
      </c>
      <c r="L247" s="2" t="str">
        <f t="shared" si="16"/>
        <v xml:space="preserve"> </v>
      </c>
      <c r="M247" s="2" t="str">
        <f t="shared" si="17"/>
        <v xml:space="preserve"> </v>
      </c>
    </row>
    <row r="248" spans="1:13" x14ac:dyDescent="0.25">
      <c r="A248" s="43" t="str">
        <f t="shared" si="15"/>
        <v xml:space="preserve"> </v>
      </c>
      <c r="D248" s="42"/>
      <c r="E248" s="42"/>
      <c r="J248" s="17">
        <f t="shared" si="18"/>
        <v>0</v>
      </c>
      <c r="K248" s="2" t="str">
        <f t="shared" si="19"/>
        <v xml:space="preserve"> </v>
      </c>
      <c r="L248" s="2" t="str">
        <f t="shared" si="16"/>
        <v xml:space="preserve"> </v>
      </c>
      <c r="M248" s="2" t="str">
        <f t="shared" si="17"/>
        <v xml:space="preserve"> </v>
      </c>
    </row>
    <row r="249" spans="1:13" x14ac:dyDescent="0.25">
      <c r="A249" s="43" t="str">
        <f t="shared" si="15"/>
        <v xml:space="preserve"> </v>
      </c>
      <c r="D249" s="42"/>
      <c r="E249" s="42"/>
      <c r="J249" s="17">
        <f t="shared" si="18"/>
        <v>0</v>
      </c>
      <c r="K249" s="2" t="str">
        <f t="shared" si="19"/>
        <v xml:space="preserve"> </v>
      </c>
      <c r="L249" s="2" t="str">
        <f t="shared" si="16"/>
        <v xml:space="preserve"> </v>
      </c>
      <c r="M249" s="2" t="str">
        <f t="shared" si="17"/>
        <v xml:space="preserve"> </v>
      </c>
    </row>
    <row r="250" spans="1:13" x14ac:dyDescent="0.25">
      <c r="A250" s="43" t="str">
        <f t="shared" si="15"/>
        <v xml:space="preserve"> </v>
      </c>
      <c r="D250" s="42"/>
      <c r="E250" s="42"/>
      <c r="J250" s="17">
        <f t="shared" si="18"/>
        <v>0</v>
      </c>
      <c r="K250" s="2" t="str">
        <f t="shared" si="19"/>
        <v xml:space="preserve"> </v>
      </c>
      <c r="L250" s="2" t="str">
        <f t="shared" si="16"/>
        <v xml:space="preserve"> </v>
      </c>
      <c r="M250" s="2" t="str">
        <f t="shared" si="17"/>
        <v xml:space="preserve"> </v>
      </c>
    </row>
    <row r="251" spans="1:13" x14ac:dyDescent="0.25">
      <c r="A251" s="43" t="str">
        <f t="shared" si="15"/>
        <v xml:space="preserve"> </v>
      </c>
      <c r="D251" s="42"/>
      <c r="E251" s="42"/>
      <c r="J251" s="17">
        <f t="shared" si="18"/>
        <v>0</v>
      </c>
      <c r="K251" s="2" t="str">
        <f t="shared" si="19"/>
        <v xml:space="preserve"> </v>
      </c>
      <c r="L251" s="2" t="str">
        <f t="shared" si="16"/>
        <v xml:space="preserve"> </v>
      </c>
      <c r="M251" s="2" t="str">
        <f t="shared" si="17"/>
        <v xml:space="preserve"> </v>
      </c>
    </row>
    <row r="252" spans="1:13" x14ac:dyDescent="0.25">
      <c r="A252" s="43" t="str">
        <f t="shared" si="15"/>
        <v xml:space="preserve"> </v>
      </c>
      <c r="D252" s="42"/>
      <c r="E252" s="42"/>
      <c r="J252" s="17">
        <f t="shared" si="18"/>
        <v>0</v>
      </c>
      <c r="K252" s="2" t="str">
        <f t="shared" si="19"/>
        <v xml:space="preserve"> </v>
      </c>
      <c r="L252" s="2" t="str">
        <f t="shared" si="16"/>
        <v xml:space="preserve"> </v>
      </c>
      <c r="M252" s="2" t="str">
        <f t="shared" si="17"/>
        <v xml:space="preserve"> </v>
      </c>
    </row>
    <row r="253" spans="1:13" x14ac:dyDescent="0.25">
      <c r="A253" s="43" t="str">
        <f t="shared" si="15"/>
        <v xml:space="preserve"> </v>
      </c>
      <c r="D253" s="42"/>
      <c r="E253" s="42"/>
      <c r="J253" s="17">
        <f t="shared" si="18"/>
        <v>0</v>
      </c>
      <c r="K253" s="2" t="str">
        <f t="shared" si="19"/>
        <v xml:space="preserve"> </v>
      </c>
      <c r="L253" s="2" t="str">
        <f t="shared" si="16"/>
        <v xml:space="preserve"> </v>
      </c>
      <c r="M253" s="2" t="str">
        <f t="shared" si="17"/>
        <v xml:space="preserve"> </v>
      </c>
    </row>
    <row r="254" spans="1:13" x14ac:dyDescent="0.25">
      <c r="A254" s="43" t="str">
        <f t="shared" si="15"/>
        <v xml:space="preserve"> </v>
      </c>
      <c r="D254" s="42"/>
      <c r="E254" s="42"/>
      <c r="J254" s="17">
        <f t="shared" si="18"/>
        <v>0</v>
      </c>
      <c r="K254" s="2" t="str">
        <f t="shared" si="19"/>
        <v xml:space="preserve"> </v>
      </c>
      <c r="L254" s="2" t="str">
        <f t="shared" si="16"/>
        <v xml:space="preserve"> </v>
      </c>
      <c r="M254" s="2" t="str">
        <f t="shared" si="17"/>
        <v xml:space="preserve"> </v>
      </c>
    </row>
    <row r="255" spans="1:13" x14ac:dyDescent="0.25">
      <c r="A255" s="43" t="str">
        <f t="shared" si="15"/>
        <v xml:space="preserve"> </v>
      </c>
      <c r="D255" s="42"/>
      <c r="E255" s="42"/>
      <c r="J255" s="17">
        <f t="shared" si="18"/>
        <v>0</v>
      </c>
      <c r="K255" s="2" t="str">
        <f t="shared" si="19"/>
        <v xml:space="preserve"> </v>
      </c>
      <c r="L255" s="2" t="str">
        <f t="shared" si="16"/>
        <v xml:space="preserve"> </v>
      </c>
      <c r="M255" s="2" t="str">
        <f t="shared" si="17"/>
        <v xml:space="preserve"> </v>
      </c>
    </row>
    <row r="256" spans="1:13" x14ac:dyDescent="0.25">
      <c r="A256" s="43" t="str">
        <f t="shared" si="15"/>
        <v xml:space="preserve"> </v>
      </c>
      <c r="D256" s="42"/>
      <c r="E256" s="42"/>
      <c r="J256" s="17">
        <f t="shared" si="18"/>
        <v>0</v>
      </c>
      <c r="K256" s="2" t="str">
        <f t="shared" si="19"/>
        <v xml:space="preserve"> </v>
      </c>
      <c r="L256" s="2" t="str">
        <f t="shared" si="16"/>
        <v xml:space="preserve"> </v>
      </c>
      <c r="M256" s="2" t="str">
        <f t="shared" si="17"/>
        <v xml:space="preserve"> </v>
      </c>
    </row>
    <row r="257" spans="1:13" x14ac:dyDescent="0.25">
      <c r="A257" s="43" t="str">
        <f t="shared" si="15"/>
        <v xml:space="preserve"> </v>
      </c>
      <c r="D257" s="42"/>
      <c r="E257" s="42"/>
      <c r="J257" s="17">
        <f t="shared" si="18"/>
        <v>0</v>
      </c>
      <c r="K257" s="2" t="str">
        <f t="shared" si="19"/>
        <v xml:space="preserve"> </v>
      </c>
      <c r="L257" s="2" t="str">
        <f t="shared" si="16"/>
        <v xml:space="preserve"> </v>
      </c>
      <c r="M257" s="2" t="str">
        <f t="shared" si="17"/>
        <v xml:space="preserve"> </v>
      </c>
    </row>
    <row r="258" spans="1:13" x14ac:dyDescent="0.25">
      <c r="A258" s="43" t="str">
        <f t="shared" si="15"/>
        <v xml:space="preserve"> </v>
      </c>
      <c r="D258" s="42"/>
      <c r="E258" s="42"/>
      <c r="J258" s="17">
        <f t="shared" si="18"/>
        <v>0</v>
      </c>
      <c r="K258" s="2" t="str">
        <f t="shared" si="19"/>
        <v xml:space="preserve"> </v>
      </c>
      <c r="L258" s="2" t="str">
        <f t="shared" si="16"/>
        <v xml:space="preserve"> </v>
      </c>
      <c r="M258" s="2" t="str">
        <f t="shared" si="17"/>
        <v xml:space="preserve"> </v>
      </c>
    </row>
    <row r="259" spans="1:13" x14ac:dyDescent="0.25">
      <c r="A259" s="43" t="str">
        <f t="shared" si="15"/>
        <v xml:space="preserve"> </v>
      </c>
      <c r="D259" s="42"/>
      <c r="E259" s="42"/>
      <c r="J259" s="17">
        <f t="shared" si="18"/>
        <v>0</v>
      </c>
      <c r="K259" s="2" t="str">
        <f t="shared" si="19"/>
        <v xml:space="preserve"> </v>
      </c>
      <c r="L259" s="2" t="str">
        <f t="shared" si="16"/>
        <v xml:space="preserve"> </v>
      </c>
      <c r="M259" s="2" t="str">
        <f t="shared" si="17"/>
        <v xml:space="preserve"> </v>
      </c>
    </row>
    <row r="260" spans="1:13" x14ac:dyDescent="0.25">
      <c r="A260" s="43" t="str">
        <f t="shared" si="15"/>
        <v xml:space="preserve"> </v>
      </c>
      <c r="D260" s="42"/>
      <c r="E260" s="42"/>
      <c r="J260" s="17">
        <f t="shared" si="18"/>
        <v>0</v>
      </c>
      <c r="K260" s="2" t="str">
        <f t="shared" si="19"/>
        <v xml:space="preserve"> </v>
      </c>
      <c r="L260" s="2" t="str">
        <f t="shared" si="16"/>
        <v xml:space="preserve"> </v>
      </c>
      <c r="M260" s="2" t="str">
        <f t="shared" si="17"/>
        <v xml:space="preserve"> </v>
      </c>
    </row>
    <row r="261" spans="1:13" x14ac:dyDescent="0.25">
      <c r="A261" s="43" t="str">
        <f t="shared" si="15"/>
        <v xml:space="preserve"> </v>
      </c>
      <c r="D261" s="42"/>
      <c r="E261" s="42"/>
      <c r="J261" s="17">
        <f t="shared" si="18"/>
        <v>0</v>
      </c>
      <c r="K261" s="2" t="str">
        <f t="shared" si="19"/>
        <v xml:space="preserve"> </v>
      </c>
      <c r="L261" s="2" t="str">
        <f t="shared" si="16"/>
        <v xml:space="preserve"> </v>
      </c>
      <c r="M261" s="2" t="str">
        <f t="shared" si="17"/>
        <v xml:space="preserve"> </v>
      </c>
    </row>
    <row r="262" spans="1:13" x14ac:dyDescent="0.25">
      <c r="A262" s="43" t="str">
        <f t="shared" si="15"/>
        <v xml:space="preserve"> </v>
      </c>
      <c r="D262" s="42"/>
      <c r="E262" s="42"/>
      <c r="J262" s="17">
        <f t="shared" si="18"/>
        <v>0</v>
      </c>
      <c r="K262" s="2" t="str">
        <f t="shared" si="19"/>
        <v xml:space="preserve"> </v>
      </c>
      <c r="L262" s="2" t="str">
        <f t="shared" si="16"/>
        <v xml:space="preserve"> </v>
      </c>
      <c r="M262" s="2" t="str">
        <f t="shared" si="17"/>
        <v xml:space="preserve"> </v>
      </c>
    </row>
    <row r="263" spans="1:13" x14ac:dyDescent="0.25">
      <c r="A263" s="43" t="str">
        <f t="shared" si="15"/>
        <v xml:space="preserve"> </v>
      </c>
      <c r="D263" s="42"/>
      <c r="E263" s="42"/>
      <c r="J263" s="17">
        <f t="shared" si="18"/>
        <v>0</v>
      </c>
      <c r="K263" s="2" t="str">
        <f t="shared" si="19"/>
        <v xml:space="preserve"> </v>
      </c>
      <c r="L263" s="2" t="str">
        <f t="shared" si="16"/>
        <v xml:space="preserve"> </v>
      </c>
      <c r="M263" s="2" t="str">
        <f t="shared" si="17"/>
        <v xml:space="preserve"> </v>
      </c>
    </row>
    <row r="264" spans="1:13" x14ac:dyDescent="0.25">
      <c r="A264" s="43" t="str">
        <f t="shared" si="15"/>
        <v xml:space="preserve"> </v>
      </c>
      <c r="D264" s="42"/>
      <c r="E264" s="42"/>
      <c r="J264" s="17">
        <f t="shared" si="18"/>
        <v>0</v>
      </c>
      <c r="K264" s="2" t="str">
        <f t="shared" si="19"/>
        <v xml:space="preserve"> </v>
      </c>
      <c r="L264" s="2" t="str">
        <f t="shared" si="16"/>
        <v xml:space="preserve"> </v>
      </c>
      <c r="M264" s="2" t="str">
        <f t="shared" si="17"/>
        <v xml:space="preserve"> </v>
      </c>
    </row>
    <row r="265" spans="1:13" x14ac:dyDescent="0.25">
      <c r="A265" s="43" t="str">
        <f t="shared" si="15"/>
        <v xml:space="preserve"> </v>
      </c>
      <c r="D265" s="42"/>
      <c r="E265" s="42"/>
      <c r="J265" s="17">
        <f t="shared" si="18"/>
        <v>0</v>
      </c>
      <c r="K265" s="2" t="str">
        <f t="shared" si="19"/>
        <v xml:space="preserve"> </v>
      </c>
      <c r="L265" s="2" t="str">
        <f t="shared" si="16"/>
        <v xml:space="preserve"> </v>
      </c>
      <c r="M265" s="2" t="str">
        <f t="shared" si="17"/>
        <v xml:space="preserve"> </v>
      </c>
    </row>
    <row r="266" spans="1:13" x14ac:dyDescent="0.25">
      <c r="A266" s="43" t="str">
        <f t="shared" si="15"/>
        <v xml:space="preserve"> </v>
      </c>
      <c r="D266" s="42"/>
      <c r="E266" s="42"/>
      <c r="J266" s="17">
        <f t="shared" si="18"/>
        <v>0</v>
      </c>
      <c r="K266" s="2" t="str">
        <f t="shared" si="19"/>
        <v xml:space="preserve"> </v>
      </c>
      <c r="L266" s="2" t="str">
        <f t="shared" si="16"/>
        <v xml:space="preserve"> </v>
      </c>
      <c r="M266" s="2" t="str">
        <f t="shared" si="17"/>
        <v xml:space="preserve"> </v>
      </c>
    </row>
    <row r="267" spans="1:13" x14ac:dyDescent="0.25">
      <c r="A267" s="43" t="str">
        <f t="shared" si="15"/>
        <v xml:space="preserve"> </v>
      </c>
      <c r="D267" s="42"/>
      <c r="E267" s="42"/>
      <c r="J267" s="17">
        <f t="shared" si="18"/>
        <v>0</v>
      </c>
      <c r="K267" s="2" t="str">
        <f t="shared" si="19"/>
        <v xml:space="preserve"> </v>
      </c>
      <c r="L267" s="2" t="str">
        <f t="shared" si="16"/>
        <v xml:space="preserve"> </v>
      </c>
      <c r="M267" s="2" t="str">
        <f t="shared" si="17"/>
        <v xml:space="preserve"> </v>
      </c>
    </row>
    <row r="268" spans="1:13" x14ac:dyDescent="0.25">
      <c r="A268" s="43" t="str">
        <f t="shared" si="15"/>
        <v xml:space="preserve"> </v>
      </c>
      <c r="D268" s="42"/>
      <c r="E268" s="42"/>
      <c r="J268" s="17">
        <f t="shared" si="18"/>
        <v>0</v>
      </c>
      <c r="K268" s="2" t="str">
        <f t="shared" si="19"/>
        <v xml:space="preserve"> </v>
      </c>
      <c r="L268" s="2" t="str">
        <f t="shared" si="16"/>
        <v xml:space="preserve"> </v>
      </c>
      <c r="M268" s="2" t="str">
        <f t="shared" si="17"/>
        <v xml:space="preserve"> </v>
      </c>
    </row>
    <row r="269" spans="1:13" x14ac:dyDescent="0.25">
      <c r="A269" s="43" t="str">
        <f t="shared" si="15"/>
        <v xml:space="preserve"> </v>
      </c>
      <c r="D269" s="42"/>
      <c r="E269" s="42"/>
      <c r="J269" s="17">
        <f t="shared" si="18"/>
        <v>0</v>
      </c>
      <c r="K269" s="2" t="str">
        <f t="shared" si="19"/>
        <v xml:space="preserve"> </v>
      </c>
      <c r="L269" s="2" t="str">
        <f t="shared" si="16"/>
        <v xml:space="preserve"> </v>
      </c>
      <c r="M269" s="2" t="str">
        <f t="shared" si="17"/>
        <v xml:space="preserve"> </v>
      </c>
    </row>
    <row r="270" spans="1:13" x14ac:dyDescent="0.25">
      <c r="A270" s="43" t="str">
        <f t="shared" si="15"/>
        <v xml:space="preserve"> </v>
      </c>
      <c r="D270" s="42"/>
      <c r="E270" s="42"/>
      <c r="J270" s="17">
        <f t="shared" si="18"/>
        <v>0</v>
      </c>
      <c r="K270" s="2" t="str">
        <f t="shared" si="19"/>
        <v xml:space="preserve"> </v>
      </c>
      <c r="L270" s="2" t="str">
        <f t="shared" si="16"/>
        <v xml:space="preserve"> </v>
      </c>
      <c r="M270" s="2" t="str">
        <f t="shared" si="17"/>
        <v xml:space="preserve"> </v>
      </c>
    </row>
    <row r="271" spans="1:13" x14ac:dyDescent="0.25">
      <c r="A271" s="43" t="str">
        <f t="shared" ref="A271:A334" si="20">IF(COUNTIF(K271:M271,"ERROR")&gt;0,"ERROR"," ")</f>
        <v xml:space="preserve"> </v>
      </c>
      <c r="D271" s="42"/>
      <c r="E271" s="42"/>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43" t="str">
        <f t="shared" si="20"/>
        <v xml:space="preserve"> </v>
      </c>
      <c r="D272" s="42"/>
      <c r="E272" s="42"/>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3" t="str">
        <f t="shared" si="20"/>
        <v xml:space="preserve"> </v>
      </c>
      <c r="D273" s="42"/>
      <c r="E273" s="42"/>
      <c r="J273" s="17">
        <f t="shared" si="23"/>
        <v>0</v>
      </c>
      <c r="K273" s="2" t="str">
        <f t="shared" si="24"/>
        <v xml:space="preserve"> </v>
      </c>
      <c r="L273" s="2" t="str">
        <f t="shared" si="21"/>
        <v xml:space="preserve"> </v>
      </c>
      <c r="M273" s="2" t="str">
        <f t="shared" si="22"/>
        <v xml:space="preserve"> </v>
      </c>
    </row>
    <row r="274" spans="1:13" x14ac:dyDescent="0.25">
      <c r="A274" s="43" t="str">
        <f t="shared" si="20"/>
        <v xml:space="preserve"> </v>
      </c>
      <c r="D274" s="42"/>
      <c r="E274" s="42"/>
      <c r="J274" s="17">
        <f t="shared" si="23"/>
        <v>0</v>
      </c>
      <c r="K274" s="2" t="str">
        <f t="shared" si="24"/>
        <v xml:space="preserve"> </v>
      </c>
      <c r="L274" s="2" t="str">
        <f t="shared" si="21"/>
        <v xml:space="preserve"> </v>
      </c>
      <c r="M274" s="2" t="str">
        <f t="shared" si="22"/>
        <v xml:space="preserve"> </v>
      </c>
    </row>
    <row r="275" spans="1:13" x14ac:dyDescent="0.25">
      <c r="A275" s="43" t="str">
        <f t="shared" si="20"/>
        <v xml:space="preserve"> </v>
      </c>
      <c r="D275" s="42"/>
      <c r="E275" s="42"/>
      <c r="J275" s="17">
        <f t="shared" si="23"/>
        <v>0</v>
      </c>
      <c r="K275" s="2" t="str">
        <f t="shared" si="24"/>
        <v xml:space="preserve"> </v>
      </c>
      <c r="L275" s="2" t="str">
        <f t="shared" si="21"/>
        <v xml:space="preserve"> </v>
      </c>
      <c r="M275" s="2" t="str">
        <f t="shared" si="22"/>
        <v xml:space="preserve"> </v>
      </c>
    </row>
    <row r="276" spans="1:13" x14ac:dyDescent="0.25">
      <c r="A276" s="43" t="str">
        <f t="shared" si="20"/>
        <v xml:space="preserve"> </v>
      </c>
      <c r="D276" s="42"/>
      <c r="E276" s="42"/>
      <c r="J276" s="17">
        <f t="shared" si="23"/>
        <v>0</v>
      </c>
      <c r="K276" s="2" t="str">
        <f t="shared" si="24"/>
        <v xml:space="preserve"> </v>
      </c>
      <c r="L276" s="2" t="str">
        <f t="shared" si="21"/>
        <v xml:space="preserve"> </v>
      </c>
      <c r="M276" s="2" t="str">
        <f t="shared" si="22"/>
        <v xml:space="preserve"> </v>
      </c>
    </row>
    <row r="277" spans="1:13" x14ac:dyDescent="0.25">
      <c r="A277" s="43" t="str">
        <f t="shared" si="20"/>
        <v xml:space="preserve"> </v>
      </c>
      <c r="D277" s="42"/>
      <c r="E277" s="42"/>
      <c r="J277" s="17">
        <f t="shared" si="23"/>
        <v>0</v>
      </c>
      <c r="K277" s="2" t="str">
        <f t="shared" si="24"/>
        <v xml:space="preserve"> </v>
      </c>
      <c r="L277" s="2" t="str">
        <f t="shared" si="21"/>
        <v xml:space="preserve"> </v>
      </c>
      <c r="M277" s="2" t="str">
        <f t="shared" si="22"/>
        <v xml:space="preserve"> </v>
      </c>
    </row>
    <row r="278" spans="1:13" x14ac:dyDescent="0.25">
      <c r="A278" s="43" t="str">
        <f t="shared" si="20"/>
        <v xml:space="preserve"> </v>
      </c>
      <c r="D278" s="42"/>
      <c r="E278" s="42"/>
      <c r="J278" s="17">
        <f t="shared" si="23"/>
        <v>0</v>
      </c>
      <c r="K278" s="2" t="str">
        <f t="shared" si="24"/>
        <v xml:space="preserve"> </v>
      </c>
      <c r="L278" s="2" t="str">
        <f t="shared" si="21"/>
        <v xml:space="preserve"> </v>
      </c>
      <c r="M278" s="2" t="str">
        <f t="shared" si="22"/>
        <v xml:space="preserve"> </v>
      </c>
    </row>
    <row r="279" spans="1:13" x14ac:dyDescent="0.25">
      <c r="A279" s="43" t="str">
        <f t="shared" si="20"/>
        <v xml:space="preserve"> </v>
      </c>
      <c r="D279" s="42"/>
      <c r="E279" s="42"/>
      <c r="J279" s="17">
        <f t="shared" si="23"/>
        <v>0</v>
      </c>
      <c r="K279" s="2" t="str">
        <f t="shared" si="24"/>
        <v xml:space="preserve"> </v>
      </c>
      <c r="L279" s="2" t="str">
        <f t="shared" si="21"/>
        <v xml:space="preserve"> </v>
      </c>
      <c r="M279" s="2" t="str">
        <f t="shared" si="22"/>
        <v xml:space="preserve"> </v>
      </c>
    </row>
    <row r="280" spans="1:13" x14ac:dyDescent="0.25">
      <c r="A280" s="43" t="str">
        <f t="shared" si="20"/>
        <v xml:space="preserve"> </v>
      </c>
      <c r="D280" s="42"/>
      <c r="E280" s="42"/>
      <c r="J280" s="17">
        <f t="shared" si="23"/>
        <v>0</v>
      </c>
      <c r="K280" s="2" t="str">
        <f t="shared" si="24"/>
        <v xml:space="preserve"> </v>
      </c>
      <c r="L280" s="2" t="str">
        <f t="shared" si="21"/>
        <v xml:space="preserve"> </v>
      </c>
      <c r="M280" s="2" t="str">
        <f t="shared" si="22"/>
        <v xml:space="preserve"> </v>
      </c>
    </row>
    <row r="281" spans="1:13" x14ac:dyDescent="0.25">
      <c r="A281" s="43" t="str">
        <f t="shared" si="20"/>
        <v xml:space="preserve"> </v>
      </c>
      <c r="D281" s="42"/>
      <c r="E281" s="42"/>
      <c r="J281" s="17">
        <f t="shared" si="23"/>
        <v>0</v>
      </c>
      <c r="K281" s="2" t="str">
        <f t="shared" si="24"/>
        <v xml:space="preserve"> </v>
      </c>
      <c r="L281" s="2" t="str">
        <f t="shared" si="21"/>
        <v xml:space="preserve"> </v>
      </c>
      <c r="M281" s="2" t="str">
        <f t="shared" si="22"/>
        <v xml:space="preserve"> </v>
      </c>
    </row>
    <row r="282" spans="1:13" x14ac:dyDescent="0.25">
      <c r="A282" s="43" t="str">
        <f t="shared" si="20"/>
        <v xml:space="preserve"> </v>
      </c>
      <c r="D282" s="42"/>
      <c r="E282" s="42"/>
      <c r="J282" s="17">
        <f t="shared" si="23"/>
        <v>0</v>
      </c>
      <c r="K282" s="2" t="str">
        <f t="shared" si="24"/>
        <v xml:space="preserve"> </v>
      </c>
      <c r="L282" s="2" t="str">
        <f t="shared" si="21"/>
        <v xml:space="preserve"> </v>
      </c>
      <c r="M282" s="2" t="str">
        <f t="shared" si="22"/>
        <v xml:space="preserve"> </v>
      </c>
    </row>
    <row r="283" spans="1:13" x14ac:dyDescent="0.25">
      <c r="A283" s="43" t="str">
        <f t="shared" si="20"/>
        <v xml:space="preserve"> </v>
      </c>
      <c r="D283" s="42"/>
      <c r="E283" s="42"/>
      <c r="J283" s="17">
        <f t="shared" si="23"/>
        <v>0</v>
      </c>
      <c r="K283" s="2" t="str">
        <f t="shared" si="24"/>
        <v xml:space="preserve"> </v>
      </c>
      <c r="L283" s="2" t="str">
        <f t="shared" si="21"/>
        <v xml:space="preserve"> </v>
      </c>
      <c r="M283" s="2" t="str">
        <f t="shared" si="22"/>
        <v xml:space="preserve"> </v>
      </c>
    </row>
    <row r="284" spans="1:13" x14ac:dyDescent="0.25">
      <c r="A284" s="43" t="str">
        <f t="shared" si="20"/>
        <v xml:space="preserve"> </v>
      </c>
      <c r="D284" s="42"/>
      <c r="E284" s="42"/>
      <c r="J284" s="17">
        <f t="shared" si="23"/>
        <v>0</v>
      </c>
      <c r="K284" s="2" t="str">
        <f t="shared" si="24"/>
        <v xml:space="preserve"> </v>
      </c>
      <c r="L284" s="2" t="str">
        <f t="shared" si="21"/>
        <v xml:space="preserve"> </v>
      </c>
      <c r="M284" s="2" t="str">
        <f t="shared" si="22"/>
        <v xml:space="preserve"> </v>
      </c>
    </row>
    <row r="285" spans="1:13" x14ac:dyDescent="0.25">
      <c r="A285" s="43" t="str">
        <f t="shared" si="20"/>
        <v xml:space="preserve"> </v>
      </c>
      <c r="D285" s="42"/>
      <c r="E285" s="42"/>
      <c r="J285" s="17">
        <f t="shared" si="23"/>
        <v>0</v>
      </c>
      <c r="K285" s="2" t="str">
        <f t="shared" si="24"/>
        <v xml:space="preserve"> </v>
      </c>
      <c r="L285" s="2" t="str">
        <f t="shared" si="21"/>
        <v xml:space="preserve"> </v>
      </c>
      <c r="M285" s="2" t="str">
        <f t="shared" si="22"/>
        <v xml:space="preserve"> </v>
      </c>
    </row>
    <row r="286" spans="1:13" x14ac:dyDescent="0.25">
      <c r="A286" s="43" t="str">
        <f t="shared" si="20"/>
        <v xml:space="preserve"> </v>
      </c>
      <c r="D286" s="42"/>
      <c r="E286" s="42"/>
      <c r="J286" s="17">
        <f t="shared" si="23"/>
        <v>0</v>
      </c>
      <c r="K286" s="2" t="str">
        <f t="shared" si="24"/>
        <v xml:space="preserve"> </v>
      </c>
      <c r="L286" s="2" t="str">
        <f t="shared" si="21"/>
        <v xml:space="preserve"> </v>
      </c>
      <c r="M286" s="2" t="str">
        <f t="shared" si="22"/>
        <v xml:space="preserve"> </v>
      </c>
    </row>
    <row r="287" spans="1:13" x14ac:dyDescent="0.25">
      <c r="A287" s="43" t="str">
        <f t="shared" si="20"/>
        <v xml:space="preserve"> </v>
      </c>
      <c r="D287" s="42"/>
      <c r="E287" s="42"/>
      <c r="J287" s="17">
        <f t="shared" si="23"/>
        <v>0</v>
      </c>
      <c r="K287" s="2" t="str">
        <f t="shared" si="24"/>
        <v xml:space="preserve"> </v>
      </c>
      <c r="L287" s="2" t="str">
        <f t="shared" si="21"/>
        <v xml:space="preserve"> </v>
      </c>
      <c r="M287" s="2" t="str">
        <f t="shared" si="22"/>
        <v xml:space="preserve"> </v>
      </c>
    </row>
    <row r="288" spans="1:13" x14ac:dyDescent="0.25">
      <c r="A288" s="43" t="str">
        <f t="shared" si="20"/>
        <v xml:space="preserve"> </v>
      </c>
      <c r="D288" s="42"/>
      <c r="E288" s="42"/>
      <c r="J288" s="17">
        <f t="shared" si="23"/>
        <v>0</v>
      </c>
      <c r="K288" s="2" t="str">
        <f t="shared" si="24"/>
        <v xml:space="preserve"> </v>
      </c>
      <c r="L288" s="2" t="str">
        <f t="shared" si="21"/>
        <v xml:space="preserve"> </v>
      </c>
      <c r="M288" s="2" t="str">
        <f t="shared" si="22"/>
        <v xml:space="preserve"> </v>
      </c>
    </row>
    <row r="289" spans="1:13" x14ac:dyDescent="0.25">
      <c r="A289" s="43" t="str">
        <f t="shared" si="20"/>
        <v xml:space="preserve"> </v>
      </c>
      <c r="D289" s="42"/>
      <c r="E289" s="42"/>
      <c r="J289" s="17">
        <f t="shared" si="23"/>
        <v>0</v>
      </c>
      <c r="K289" s="2" t="str">
        <f t="shared" si="24"/>
        <v xml:space="preserve"> </v>
      </c>
      <c r="L289" s="2" t="str">
        <f t="shared" si="21"/>
        <v xml:space="preserve"> </v>
      </c>
      <c r="M289" s="2" t="str">
        <f t="shared" si="22"/>
        <v xml:space="preserve"> </v>
      </c>
    </row>
    <row r="290" spans="1:13" x14ac:dyDescent="0.25">
      <c r="A290" s="43" t="str">
        <f t="shared" si="20"/>
        <v xml:space="preserve"> </v>
      </c>
      <c r="D290" s="42"/>
      <c r="E290" s="42"/>
      <c r="J290" s="17">
        <f t="shared" si="23"/>
        <v>0</v>
      </c>
      <c r="K290" s="2" t="str">
        <f t="shared" si="24"/>
        <v xml:space="preserve"> </v>
      </c>
      <c r="L290" s="2" t="str">
        <f t="shared" si="21"/>
        <v xml:space="preserve"> </v>
      </c>
      <c r="M290" s="2" t="str">
        <f t="shared" si="22"/>
        <v xml:space="preserve"> </v>
      </c>
    </row>
    <row r="291" spans="1:13" x14ac:dyDescent="0.25">
      <c r="A291" s="43" t="str">
        <f t="shared" si="20"/>
        <v xml:space="preserve"> </v>
      </c>
      <c r="D291" s="42"/>
      <c r="E291" s="42"/>
      <c r="J291" s="17">
        <f t="shared" si="23"/>
        <v>0</v>
      </c>
      <c r="K291" s="2" t="str">
        <f t="shared" si="24"/>
        <v xml:space="preserve"> </v>
      </c>
      <c r="L291" s="2" t="str">
        <f t="shared" si="21"/>
        <v xml:space="preserve"> </v>
      </c>
      <c r="M291" s="2" t="str">
        <f t="shared" si="22"/>
        <v xml:space="preserve"> </v>
      </c>
    </row>
    <row r="292" spans="1:13" x14ac:dyDescent="0.25">
      <c r="A292" s="43" t="str">
        <f t="shared" si="20"/>
        <v xml:space="preserve"> </v>
      </c>
      <c r="D292" s="42"/>
      <c r="E292" s="42"/>
      <c r="J292" s="17">
        <f t="shared" si="23"/>
        <v>0</v>
      </c>
      <c r="K292" s="2" t="str">
        <f t="shared" si="24"/>
        <v xml:space="preserve"> </v>
      </c>
      <c r="L292" s="2" t="str">
        <f t="shared" si="21"/>
        <v xml:space="preserve"> </v>
      </c>
      <c r="M292" s="2" t="str">
        <f t="shared" si="22"/>
        <v xml:space="preserve"> </v>
      </c>
    </row>
    <row r="293" spans="1:13" x14ac:dyDescent="0.25">
      <c r="A293" s="43" t="str">
        <f t="shared" si="20"/>
        <v xml:space="preserve"> </v>
      </c>
      <c r="D293" s="42"/>
      <c r="E293" s="42"/>
      <c r="J293" s="17">
        <f t="shared" si="23"/>
        <v>0</v>
      </c>
      <c r="K293" s="2" t="str">
        <f t="shared" si="24"/>
        <v xml:space="preserve"> </v>
      </c>
      <c r="L293" s="2" t="str">
        <f t="shared" si="21"/>
        <v xml:space="preserve"> </v>
      </c>
      <c r="M293" s="2" t="str">
        <f t="shared" si="22"/>
        <v xml:space="preserve"> </v>
      </c>
    </row>
    <row r="294" spans="1:13" x14ac:dyDescent="0.25">
      <c r="A294" s="43" t="str">
        <f t="shared" si="20"/>
        <v xml:space="preserve"> </v>
      </c>
      <c r="D294" s="42"/>
      <c r="E294" s="42"/>
      <c r="J294" s="17">
        <f t="shared" si="23"/>
        <v>0</v>
      </c>
      <c r="K294" s="2" t="str">
        <f t="shared" si="24"/>
        <v xml:space="preserve"> </v>
      </c>
      <c r="L294" s="2" t="str">
        <f t="shared" si="21"/>
        <v xml:space="preserve"> </v>
      </c>
      <c r="M294" s="2" t="str">
        <f t="shared" si="22"/>
        <v xml:space="preserve"> </v>
      </c>
    </row>
    <row r="295" spans="1:13" x14ac:dyDescent="0.25">
      <c r="A295" s="43" t="str">
        <f t="shared" si="20"/>
        <v xml:space="preserve"> </v>
      </c>
      <c r="D295" s="42"/>
      <c r="E295" s="42"/>
      <c r="J295" s="17">
        <f t="shared" si="23"/>
        <v>0</v>
      </c>
      <c r="K295" s="2" t="str">
        <f t="shared" si="24"/>
        <v xml:space="preserve"> </v>
      </c>
      <c r="L295" s="2" t="str">
        <f t="shared" si="21"/>
        <v xml:space="preserve"> </v>
      </c>
      <c r="M295" s="2" t="str">
        <f t="shared" si="22"/>
        <v xml:space="preserve"> </v>
      </c>
    </row>
    <row r="296" spans="1:13" x14ac:dyDescent="0.25">
      <c r="A296" s="43" t="str">
        <f t="shared" si="20"/>
        <v xml:space="preserve"> </v>
      </c>
      <c r="D296" s="42"/>
      <c r="E296" s="42"/>
      <c r="J296" s="17">
        <f t="shared" si="23"/>
        <v>0</v>
      </c>
      <c r="K296" s="2" t="str">
        <f t="shared" si="24"/>
        <v xml:space="preserve"> </v>
      </c>
      <c r="L296" s="2" t="str">
        <f t="shared" si="21"/>
        <v xml:space="preserve"> </v>
      </c>
      <c r="M296" s="2" t="str">
        <f t="shared" si="22"/>
        <v xml:space="preserve"> </v>
      </c>
    </row>
    <row r="297" spans="1:13" x14ac:dyDescent="0.25">
      <c r="A297" s="43" t="str">
        <f t="shared" si="20"/>
        <v xml:space="preserve"> </v>
      </c>
      <c r="D297" s="42"/>
      <c r="E297" s="42"/>
      <c r="J297" s="17">
        <f t="shared" si="23"/>
        <v>0</v>
      </c>
      <c r="K297" s="2" t="str">
        <f t="shared" si="24"/>
        <v xml:space="preserve"> </v>
      </c>
      <c r="L297" s="2" t="str">
        <f t="shared" si="21"/>
        <v xml:space="preserve"> </v>
      </c>
      <c r="M297" s="2" t="str">
        <f t="shared" si="22"/>
        <v xml:space="preserve"> </v>
      </c>
    </row>
    <row r="298" spans="1:13" x14ac:dyDescent="0.25">
      <c r="A298" s="43" t="str">
        <f t="shared" si="20"/>
        <v xml:space="preserve"> </v>
      </c>
      <c r="D298" s="42"/>
      <c r="E298" s="42"/>
      <c r="J298" s="17">
        <f t="shared" si="23"/>
        <v>0</v>
      </c>
      <c r="K298" s="2" t="str">
        <f t="shared" si="24"/>
        <v xml:space="preserve"> </v>
      </c>
      <c r="L298" s="2" t="str">
        <f t="shared" si="21"/>
        <v xml:space="preserve"> </v>
      </c>
      <c r="M298" s="2" t="str">
        <f t="shared" si="22"/>
        <v xml:space="preserve"> </v>
      </c>
    </row>
    <row r="299" spans="1:13" x14ac:dyDescent="0.25">
      <c r="A299" s="43" t="str">
        <f t="shared" si="20"/>
        <v xml:space="preserve"> </v>
      </c>
      <c r="D299" s="42"/>
      <c r="E299" s="42"/>
      <c r="J299" s="17">
        <f t="shared" si="23"/>
        <v>0</v>
      </c>
      <c r="K299" s="2" t="str">
        <f t="shared" si="24"/>
        <v xml:space="preserve"> </v>
      </c>
      <c r="L299" s="2" t="str">
        <f t="shared" si="21"/>
        <v xml:space="preserve"> </v>
      </c>
      <c r="M299" s="2" t="str">
        <f t="shared" si="22"/>
        <v xml:space="preserve"> </v>
      </c>
    </row>
    <row r="300" spans="1:13" x14ac:dyDescent="0.25">
      <c r="A300" s="43" t="str">
        <f t="shared" si="20"/>
        <v xml:space="preserve"> </v>
      </c>
      <c r="D300" s="42"/>
      <c r="E300" s="42"/>
      <c r="J300" s="17">
        <f t="shared" si="23"/>
        <v>0</v>
      </c>
      <c r="K300" s="2" t="str">
        <f t="shared" si="24"/>
        <v xml:space="preserve"> </v>
      </c>
      <c r="L300" s="2" t="str">
        <f t="shared" si="21"/>
        <v xml:space="preserve"> </v>
      </c>
      <c r="M300" s="2" t="str">
        <f t="shared" si="22"/>
        <v xml:space="preserve"> </v>
      </c>
    </row>
    <row r="301" spans="1:13" x14ac:dyDescent="0.25">
      <c r="A301" s="43" t="str">
        <f t="shared" si="20"/>
        <v xml:space="preserve"> </v>
      </c>
      <c r="D301" s="42"/>
      <c r="E301" s="42"/>
      <c r="J301" s="17">
        <f t="shared" si="23"/>
        <v>0</v>
      </c>
      <c r="K301" s="2" t="str">
        <f t="shared" si="24"/>
        <v xml:space="preserve"> </v>
      </c>
      <c r="L301" s="2" t="str">
        <f t="shared" si="21"/>
        <v xml:space="preserve"> </v>
      </c>
      <c r="M301" s="2" t="str">
        <f t="shared" si="22"/>
        <v xml:space="preserve"> </v>
      </c>
    </row>
    <row r="302" spans="1:13" x14ac:dyDescent="0.25">
      <c r="A302" s="43" t="str">
        <f t="shared" si="20"/>
        <v xml:space="preserve"> </v>
      </c>
      <c r="D302" s="42"/>
      <c r="E302" s="42"/>
      <c r="J302" s="17">
        <f t="shared" si="23"/>
        <v>0</v>
      </c>
      <c r="K302" s="2" t="str">
        <f t="shared" si="24"/>
        <v xml:space="preserve"> </v>
      </c>
      <c r="L302" s="2" t="str">
        <f t="shared" si="21"/>
        <v xml:space="preserve"> </v>
      </c>
      <c r="M302" s="2" t="str">
        <f t="shared" si="22"/>
        <v xml:space="preserve"> </v>
      </c>
    </row>
    <row r="303" spans="1:13" x14ac:dyDescent="0.25">
      <c r="A303" s="43" t="str">
        <f t="shared" si="20"/>
        <v xml:space="preserve"> </v>
      </c>
      <c r="D303" s="42"/>
      <c r="E303" s="42"/>
      <c r="J303" s="17">
        <f t="shared" si="23"/>
        <v>0</v>
      </c>
      <c r="K303" s="2" t="str">
        <f t="shared" si="24"/>
        <v xml:space="preserve"> </v>
      </c>
      <c r="L303" s="2" t="str">
        <f t="shared" si="21"/>
        <v xml:space="preserve"> </v>
      </c>
      <c r="M303" s="2" t="str">
        <f t="shared" si="22"/>
        <v xml:space="preserve"> </v>
      </c>
    </row>
    <row r="304" spans="1:13" x14ac:dyDescent="0.25">
      <c r="A304" s="43" t="str">
        <f t="shared" si="20"/>
        <v xml:space="preserve"> </v>
      </c>
      <c r="D304" s="42"/>
      <c r="E304" s="42"/>
      <c r="J304" s="17">
        <f t="shared" si="23"/>
        <v>0</v>
      </c>
      <c r="K304" s="2" t="str">
        <f t="shared" si="24"/>
        <v xml:space="preserve"> </v>
      </c>
      <c r="L304" s="2" t="str">
        <f t="shared" si="21"/>
        <v xml:space="preserve"> </v>
      </c>
      <c r="M304" s="2" t="str">
        <f t="shared" si="22"/>
        <v xml:space="preserve"> </v>
      </c>
    </row>
    <row r="305" spans="1:13" x14ac:dyDescent="0.25">
      <c r="A305" s="43" t="str">
        <f t="shared" si="20"/>
        <v xml:space="preserve"> </v>
      </c>
      <c r="D305" s="42"/>
      <c r="E305" s="42"/>
      <c r="J305" s="17">
        <f t="shared" si="23"/>
        <v>0</v>
      </c>
      <c r="K305" s="2" t="str">
        <f t="shared" si="24"/>
        <v xml:space="preserve"> </v>
      </c>
      <c r="L305" s="2" t="str">
        <f t="shared" si="21"/>
        <v xml:space="preserve"> </v>
      </c>
      <c r="M305" s="2" t="str">
        <f t="shared" si="22"/>
        <v xml:space="preserve"> </v>
      </c>
    </row>
    <row r="306" spans="1:13" x14ac:dyDescent="0.25">
      <c r="A306" s="43" t="str">
        <f t="shared" si="20"/>
        <v xml:space="preserve"> </v>
      </c>
      <c r="D306" s="42"/>
      <c r="E306" s="42"/>
      <c r="J306" s="17">
        <f t="shared" si="23"/>
        <v>0</v>
      </c>
      <c r="K306" s="2" t="str">
        <f t="shared" si="24"/>
        <v xml:space="preserve"> </v>
      </c>
      <c r="L306" s="2" t="str">
        <f t="shared" si="21"/>
        <v xml:space="preserve"> </v>
      </c>
      <c r="M306" s="2" t="str">
        <f t="shared" si="22"/>
        <v xml:space="preserve"> </v>
      </c>
    </row>
    <row r="307" spans="1:13" x14ac:dyDescent="0.25">
      <c r="A307" s="43" t="str">
        <f t="shared" si="20"/>
        <v xml:space="preserve"> </v>
      </c>
      <c r="D307" s="42"/>
      <c r="E307" s="42"/>
      <c r="J307" s="17">
        <f t="shared" si="23"/>
        <v>0</v>
      </c>
      <c r="K307" s="2" t="str">
        <f t="shared" si="24"/>
        <v xml:space="preserve"> </v>
      </c>
      <c r="L307" s="2" t="str">
        <f t="shared" si="21"/>
        <v xml:space="preserve"> </v>
      </c>
      <c r="M307" s="2" t="str">
        <f t="shared" si="22"/>
        <v xml:space="preserve"> </v>
      </c>
    </row>
    <row r="308" spans="1:13" x14ac:dyDescent="0.25">
      <c r="A308" s="43" t="str">
        <f t="shared" si="20"/>
        <v xml:space="preserve"> </v>
      </c>
      <c r="D308" s="42"/>
      <c r="E308" s="42"/>
      <c r="J308" s="17">
        <f t="shared" si="23"/>
        <v>0</v>
      </c>
      <c r="K308" s="2" t="str">
        <f t="shared" si="24"/>
        <v xml:space="preserve"> </v>
      </c>
      <c r="L308" s="2" t="str">
        <f t="shared" si="21"/>
        <v xml:space="preserve"> </v>
      </c>
      <c r="M308" s="2" t="str">
        <f t="shared" si="22"/>
        <v xml:space="preserve"> </v>
      </c>
    </row>
    <row r="309" spans="1:13" x14ac:dyDescent="0.25">
      <c r="A309" s="43" t="str">
        <f t="shared" si="20"/>
        <v xml:space="preserve"> </v>
      </c>
      <c r="D309" s="42"/>
      <c r="E309" s="42"/>
      <c r="J309" s="17">
        <f t="shared" si="23"/>
        <v>0</v>
      </c>
      <c r="K309" s="2" t="str">
        <f t="shared" si="24"/>
        <v xml:space="preserve"> </v>
      </c>
      <c r="L309" s="2" t="str">
        <f t="shared" si="21"/>
        <v xml:space="preserve"> </v>
      </c>
      <c r="M309" s="2" t="str">
        <f t="shared" si="22"/>
        <v xml:space="preserve"> </v>
      </c>
    </row>
    <row r="310" spans="1:13" x14ac:dyDescent="0.25">
      <c r="A310" s="43" t="str">
        <f t="shared" si="20"/>
        <v xml:space="preserve"> </v>
      </c>
      <c r="D310" s="42"/>
      <c r="E310" s="42"/>
      <c r="J310" s="17">
        <f t="shared" si="23"/>
        <v>0</v>
      </c>
      <c r="K310" s="2" t="str">
        <f t="shared" si="24"/>
        <v xml:space="preserve"> </v>
      </c>
      <c r="L310" s="2" t="str">
        <f t="shared" si="21"/>
        <v xml:space="preserve"> </v>
      </c>
      <c r="M310" s="2" t="str">
        <f t="shared" si="22"/>
        <v xml:space="preserve"> </v>
      </c>
    </row>
    <row r="311" spans="1:13" x14ac:dyDescent="0.25">
      <c r="A311" s="43" t="str">
        <f t="shared" si="20"/>
        <v xml:space="preserve"> </v>
      </c>
      <c r="D311" s="42"/>
      <c r="E311" s="42"/>
      <c r="J311" s="17">
        <f t="shared" si="23"/>
        <v>0</v>
      </c>
      <c r="K311" s="2" t="str">
        <f t="shared" si="24"/>
        <v xml:space="preserve"> </v>
      </c>
      <c r="L311" s="2" t="str">
        <f t="shared" si="21"/>
        <v xml:space="preserve"> </v>
      </c>
      <c r="M311" s="2" t="str">
        <f t="shared" si="22"/>
        <v xml:space="preserve"> </v>
      </c>
    </row>
    <row r="312" spans="1:13" x14ac:dyDescent="0.25">
      <c r="A312" s="43" t="str">
        <f t="shared" si="20"/>
        <v xml:space="preserve"> </v>
      </c>
      <c r="D312" s="42"/>
      <c r="E312" s="42"/>
      <c r="J312" s="17">
        <f t="shared" si="23"/>
        <v>0</v>
      </c>
      <c r="K312" s="2" t="str">
        <f t="shared" si="24"/>
        <v xml:space="preserve"> </v>
      </c>
      <c r="L312" s="2" t="str">
        <f t="shared" si="21"/>
        <v xml:space="preserve"> </v>
      </c>
      <c r="M312" s="2" t="str">
        <f t="shared" si="22"/>
        <v xml:space="preserve"> </v>
      </c>
    </row>
    <row r="313" spans="1:13" x14ac:dyDescent="0.25">
      <c r="A313" s="43" t="str">
        <f t="shared" si="20"/>
        <v xml:space="preserve"> </v>
      </c>
      <c r="D313" s="42"/>
      <c r="E313" s="42"/>
      <c r="J313" s="17">
        <f t="shared" si="23"/>
        <v>0</v>
      </c>
      <c r="K313" s="2" t="str">
        <f t="shared" si="24"/>
        <v xml:space="preserve"> </v>
      </c>
      <c r="L313" s="2" t="str">
        <f t="shared" si="21"/>
        <v xml:space="preserve"> </v>
      </c>
      <c r="M313" s="2" t="str">
        <f t="shared" si="22"/>
        <v xml:space="preserve"> </v>
      </c>
    </row>
    <row r="314" spans="1:13" x14ac:dyDescent="0.25">
      <c r="A314" s="43" t="str">
        <f t="shared" si="20"/>
        <v xml:space="preserve"> </v>
      </c>
      <c r="D314" s="42"/>
      <c r="E314" s="42"/>
      <c r="J314" s="17">
        <f t="shared" si="23"/>
        <v>0</v>
      </c>
      <c r="K314" s="2" t="str">
        <f t="shared" si="24"/>
        <v xml:space="preserve"> </v>
      </c>
      <c r="L314" s="2" t="str">
        <f t="shared" si="21"/>
        <v xml:space="preserve"> </v>
      </c>
      <c r="M314" s="2" t="str">
        <f t="shared" si="22"/>
        <v xml:space="preserve"> </v>
      </c>
    </row>
    <row r="315" spans="1:13" x14ac:dyDescent="0.25">
      <c r="A315" s="43" t="str">
        <f t="shared" si="20"/>
        <v xml:space="preserve"> </v>
      </c>
      <c r="D315" s="42"/>
      <c r="E315" s="42"/>
      <c r="J315" s="17">
        <f t="shared" si="23"/>
        <v>0</v>
      </c>
      <c r="K315" s="2" t="str">
        <f t="shared" si="24"/>
        <v xml:space="preserve"> </v>
      </c>
      <c r="L315" s="2" t="str">
        <f t="shared" si="21"/>
        <v xml:space="preserve"> </v>
      </c>
      <c r="M315" s="2" t="str">
        <f t="shared" si="22"/>
        <v xml:space="preserve"> </v>
      </c>
    </row>
    <row r="316" spans="1:13" x14ac:dyDescent="0.25">
      <c r="A316" s="43" t="str">
        <f t="shared" si="20"/>
        <v xml:space="preserve"> </v>
      </c>
      <c r="D316" s="42"/>
      <c r="E316" s="42"/>
      <c r="J316" s="17">
        <f t="shared" si="23"/>
        <v>0</v>
      </c>
      <c r="K316" s="2" t="str">
        <f t="shared" si="24"/>
        <v xml:space="preserve"> </v>
      </c>
      <c r="L316" s="2" t="str">
        <f t="shared" si="21"/>
        <v xml:space="preserve"> </v>
      </c>
      <c r="M316" s="2" t="str">
        <f t="shared" si="22"/>
        <v xml:space="preserve"> </v>
      </c>
    </row>
    <row r="317" spans="1:13" x14ac:dyDescent="0.25">
      <c r="A317" s="43" t="str">
        <f t="shared" si="20"/>
        <v xml:space="preserve"> </v>
      </c>
      <c r="D317" s="42"/>
      <c r="E317" s="42"/>
      <c r="J317" s="17">
        <f t="shared" si="23"/>
        <v>0</v>
      </c>
      <c r="K317" s="2" t="str">
        <f t="shared" si="24"/>
        <v xml:space="preserve"> </v>
      </c>
      <c r="L317" s="2" t="str">
        <f t="shared" si="21"/>
        <v xml:space="preserve"> </v>
      </c>
      <c r="M317" s="2" t="str">
        <f t="shared" si="22"/>
        <v xml:space="preserve"> </v>
      </c>
    </row>
    <row r="318" spans="1:13" x14ac:dyDescent="0.25">
      <c r="A318" s="43" t="str">
        <f t="shared" si="20"/>
        <v xml:space="preserve"> </v>
      </c>
      <c r="D318" s="42"/>
      <c r="E318" s="42"/>
      <c r="J318" s="17">
        <f t="shared" si="23"/>
        <v>0</v>
      </c>
      <c r="K318" s="2" t="str">
        <f t="shared" si="24"/>
        <v xml:space="preserve"> </v>
      </c>
      <c r="L318" s="2" t="str">
        <f t="shared" si="21"/>
        <v xml:space="preserve"> </v>
      </c>
      <c r="M318" s="2" t="str">
        <f t="shared" si="22"/>
        <v xml:space="preserve"> </v>
      </c>
    </row>
    <row r="319" spans="1:13" x14ac:dyDescent="0.25">
      <c r="A319" s="43" t="str">
        <f t="shared" si="20"/>
        <v xml:space="preserve"> </v>
      </c>
      <c r="D319" s="42"/>
      <c r="E319" s="42"/>
      <c r="J319" s="17">
        <f t="shared" si="23"/>
        <v>0</v>
      </c>
      <c r="K319" s="2" t="str">
        <f t="shared" si="24"/>
        <v xml:space="preserve"> </v>
      </c>
      <c r="L319" s="2" t="str">
        <f t="shared" si="21"/>
        <v xml:space="preserve"> </v>
      </c>
      <c r="M319" s="2" t="str">
        <f t="shared" si="22"/>
        <v xml:space="preserve"> </v>
      </c>
    </row>
    <row r="320" spans="1:13" x14ac:dyDescent="0.25">
      <c r="A320" s="43" t="str">
        <f t="shared" si="20"/>
        <v xml:space="preserve"> </v>
      </c>
      <c r="D320" s="42"/>
      <c r="E320" s="42"/>
      <c r="J320" s="17">
        <f t="shared" si="23"/>
        <v>0</v>
      </c>
      <c r="K320" s="2" t="str">
        <f t="shared" si="24"/>
        <v xml:space="preserve"> </v>
      </c>
      <c r="L320" s="2" t="str">
        <f t="shared" si="21"/>
        <v xml:space="preserve"> </v>
      </c>
      <c r="M320" s="2" t="str">
        <f t="shared" si="22"/>
        <v xml:space="preserve"> </v>
      </c>
    </row>
    <row r="321" spans="1:13" x14ac:dyDescent="0.25">
      <c r="A321" s="43" t="str">
        <f t="shared" si="20"/>
        <v xml:space="preserve"> </v>
      </c>
      <c r="D321" s="42"/>
      <c r="E321" s="42"/>
      <c r="J321" s="17">
        <f t="shared" si="23"/>
        <v>0</v>
      </c>
      <c r="K321" s="2" t="str">
        <f t="shared" si="24"/>
        <v xml:space="preserve"> </v>
      </c>
      <c r="L321" s="2" t="str">
        <f t="shared" si="21"/>
        <v xml:space="preserve"> </v>
      </c>
      <c r="M321" s="2" t="str">
        <f t="shared" si="22"/>
        <v xml:space="preserve"> </v>
      </c>
    </row>
    <row r="322" spans="1:13" x14ac:dyDescent="0.25">
      <c r="A322" s="43" t="str">
        <f t="shared" si="20"/>
        <v xml:space="preserve"> </v>
      </c>
      <c r="D322" s="42"/>
      <c r="E322" s="42"/>
      <c r="J322" s="17">
        <f t="shared" si="23"/>
        <v>0</v>
      </c>
      <c r="K322" s="2" t="str">
        <f t="shared" si="24"/>
        <v xml:space="preserve"> </v>
      </c>
      <c r="L322" s="2" t="str">
        <f t="shared" si="21"/>
        <v xml:space="preserve"> </v>
      </c>
      <c r="M322" s="2" t="str">
        <f t="shared" si="22"/>
        <v xml:space="preserve"> </v>
      </c>
    </row>
    <row r="323" spans="1:13" x14ac:dyDescent="0.25">
      <c r="A323" s="43" t="str">
        <f t="shared" si="20"/>
        <v xml:space="preserve"> </v>
      </c>
      <c r="D323" s="42"/>
      <c r="E323" s="42"/>
      <c r="J323" s="17">
        <f t="shared" si="23"/>
        <v>0</v>
      </c>
      <c r="K323" s="2" t="str">
        <f t="shared" si="24"/>
        <v xml:space="preserve"> </v>
      </c>
      <c r="L323" s="2" t="str">
        <f t="shared" si="21"/>
        <v xml:space="preserve"> </v>
      </c>
      <c r="M323" s="2" t="str">
        <f t="shared" si="22"/>
        <v xml:space="preserve"> </v>
      </c>
    </row>
    <row r="324" spans="1:13" x14ac:dyDescent="0.25">
      <c r="A324" s="43" t="str">
        <f t="shared" si="20"/>
        <v xml:space="preserve"> </v>
      </c>
      <c r="D324" s="42"/>
      <c r="E324" s="42"/>
      <c r="J324" s="17">
        <f t="shared" si="23"/>
        <v>0</v>
      </c>
      <c r="K324" s="2" t="str">
        <f t="shared" si="24"/>
        <v xml:space="preserve"> </v>
      </c>
      <c r="L324" s="2" t="str">
        <f t="shared" si="21"/>
        <v xml:space="preserve"> </v>
      </c>
      <c r="M324" s="2" t="str">
        <f t="shared" si="22"/>
        <v xml:space="preserve"> </v>
      </c>
    </row>
    <row r="325" spans="1:13" x14ac:dyDescent="0.25">
      <c r="A325" s="43" t="str">
        <f t="shared" si="20"/>
        <v xml:space="preserve"> </v>
      </c>
      <c r="D325" s="42"/>
      <c r="E325" s="42"/>
      <c r="J325" s="17">
        <f t="shared" si="23"/>
        <v>0</v>
      </c>
      <c r="K325" s="2" t="str">
        <f t="shared" si="24"/>
        <v xml:space="preserve"> </v>
      </c>
      <c r="L325" s="2" t="str">
        <f t="shared" si="21"/>
        <v xml:space="preserve"> </v>
      </c>
      <c r="M325" s="2" t="str">
        <f t="shared" si="22"/>
        <v xml:space="preserve"> </v>
      </c>
    </row>
    <row r="326" spans="1:13" x14ac:dyDescent="0.25">
      <c r="A326" s="43" t="str">
        <f t="shared" si="20"/>
        <v xml:space="preserve"> </v>
      </c>
      <c r="D326" s="42"/>
      <c r="E326" s="42"/>
      <c r="J326" s="17">
        <f t="shared" si="23"/>
        <v>0</v>
      </c>
      <c r="K326" s="2" t="str">
        <f t="shared" si="24"/>
        <v xml:space="preserve"> </v>
      </c>
      <c r="L326" s="2" t="str">
        <f t="shared" si="21"/>
        <v xml:space="preserve"> </v>
      </c>
      <c r="M326" s="2" t="str">
        <f t="shared" si="22"/>
        <v xml:space="preserve"> </v>
      </c>
    </row>
    <row r="327" spans="1:13" x14ac:dyDescent="0.25">
      <c r="A327" s="43" t="str">
        <f t="shared" si="20"/>
        <v xml:space="preserve"> </v>
      </c>
      <c r="D327" s="42"/>
      <c r="E327" s="42"/>
      <c r="J327" s="17">
        <f t="shared" si="23"/>
        <v>0</v>
      </c>
      <c r="K327" s="2" t="str">
        <f t="shared" si="24"/>
        <v xml:space="preserve"> </v>
      </c>
      <c r="L327" s="2" t="str">
        <f t="shared" si="21"/>
        <v xml:space="preserve"> </v>
      </c>
      <c r="M327" s="2" t="str">
        <f t="shared" si="22"/>
        <v xml:space="preserve"> </v>
      </c>
    </row>
    <row r="328" spans="1:13" x14ac:dyDescent="0.25">
      <c r="A328" s="43" t="str">
        <f t="shared" si="20"/>
        <v xml:space="preserve"> </v>
      </c>
      <c r="D328" s="42"/>
      <c r="E328" s="42"/>
      <c r="J328" s="17">
        <f t="shared" si="23"/>
        <v>0</v>
      </c>
      <c r="K328" s="2" t="str">
        <f t="shared" si="24"/>
        <v xml:space="preserve"> </v>
      </c>
      <c r="L328" s="2" t="str">
        <f t="shared" si="21"/>
        <v xml:space="preserve"> </v>
      </c>
      <c r="M328" s="2" t="str">
        <f t="shared" si="22"/>
        <v xml:space="preserve"> </v>
      </c>
    </row>
    <row r="329" spans="1:13" x14ac:dyDescent="0.25">
      <c r="A329" s="43" t="str">
        <f t="shared" si="20"/>
        <v xml:space="preserve"> </v>
      </c>
      <c r="D329" s="42"/>
      <c r="E329" s="42"/>
      <c r="J329" s="17">
        <f t="shared" si="23"/>
        <v>0</v>
      </c>
      <c r="K329" s="2" t="str">
        <f t="shared" si="24"/>
        <v xml:space="preserve"> </v>
      </c>
      <c r="L329" s="2" t="str">
        <f t="shared" si="21"/>
        <v xml:space="preserve"> </v>
      </c>
      <c r="M329" s="2" t="str">
        <f t="shared" si="22"/>
        <v xml:space="preserve"> </v>
      </c>
    </row>
    <row r="330" spans="1:13" x14ac:dyDescent="0.25">
      <c r="A330" s="43" t="str">
        <f t="shared" si="20"/>
        <v xml:space="preserve"> </v>
      </c>
      <c r="D330" s="42"/>
      <c r="E330" s="42"/>
      <c r="J330" s="17">
        <f t="shared" si="23"/>
        <v>0</v>
      </c>
      <c r="K330" s="2" t="str">
        <f t="shared" si="24"/>
        <v xml:space="preserve"> </v>
      </c>
      <c r="L330" s="2" t="str">
        <f t="shared" si="21"/>
        <v xml:space="preserve"> </v>
      </c>
      <c r="M330" s="2" t="str">
        <f t="shared" si="22"/>
        <v xml:space="preserve"> </v>
      </c>
    </row>
    <row r="331" spans="1:13" x14ac:dyDescent="0.25">
      <c r="A331" s="43" t="str">
        <f t="shared" si="20"/>
        <v xml:space="preserve"> </v>
      </c>
      <c r="D331" s="42"/>
      <c r="E331" s="42"/>
      <c r="J331" s="17">
        <f t="shared" si="23"/>
        <v>0</v>
      </c>
      <c r="K331" s="2" t="str">
        <f t="shared" si="24"/>
        <v xml:space="preserve"> </v>
      </c>
      <c r="L331" s="2" t="str">
        <f t="shared" si="21"/>
        <v xml:space="preserve"> </v>
      </c>
      <c r="M331" s="2" t="str">
        <f t="shared" si="22"/>
        <v xml:space="preserve"> </v>
      </c>
    </row>
    <row r="332" spans="1:13" x14ac:dyDescent="0.25">
      <c r="A332" s="43" t="str">
        <f t="shared" si="20"/>
        <v xml:space="preserve"> </v>
      </c>
      <c r="D332" s="42"/>
      <c r="E332" s="42"/>
      <c r="J332" s="17">
        <f t="shared" si="23"/>
        <v>0</v>
      </c>
      <c r="K332" s="2" t="str">
        <f t="shared" si="24"/>
        <v xml:space="preserve"> </v>
      </c>
      <c r="L332" s="2" t="str">
        <f t="shared" si="21"/>
        <v xml:space="preserve"> </v>
      </c>
      <c r="M332" s="2" t="str">
        <f t="shared" si="22"/>
        <v xml:space="preserve"> </v>
      </c>
    </row>
    <row r="333" spans="1:13" x14ac:dyDescent="0.25">
      <c r="A333" s="43" t="str">
        <f t="shared" si="20"/>
        <v xml:space="preserve"> </v>
      </c>
      <c r="D333" s="42"/>
      <c r="E333" s="42"/>
      <c r="J333" s="17">
        <f t="shared" si="23"/>
        <v>0</v>
      </c>
      <c r="K333" s="2" t="str">
        <f t="shared" si="24"/>
        <v xml:space="preserve"> </v>
      </c>
      <c r="L333" s="2" t="str">
        <f t="shared" si="21"/>
        <v xml:space="preserve"> </v>
      </c>
      <c r="M333" s="2" t="str">
        <f t="shared" si="22"/>
        <v xml:space="preserve"> </v>
      </c>
    </row>
    <row r="334" spans="1:13" x14ac:dyDescent="0.25">
      <c r="A334" s="43" t="str">
        <f t="shared" si="20"/>
        <v xml:space="preserve"> </v>
      </c>
      <c r="D334" s="42"/>
      <c r="E334" s="42"/>
      <c r="J334" s="17">
        <f t="shared" si="23"/>
        <v>0</v>
      </c>
      <c r="K334" s="2" t="str">
        <f t="shared" si="24"/>
        <v xml:space="preserve"> </v>
      </c>
      <c r="L334" s="2" t="str">
        <f t="shared" si="21"/>
        <v xml:space="preserve"> </v>
      </c>
      <c r="M334" s="2" t="str">
        <f t="shared" si="22"/>
        <v xml:space="preserve"> </v>
      </c>
    </row>
    <row r="335" spans="1:13" x14ac:dyDescent="0.25">
      <c r="A335" s="43" t="str">
        <f t="shared" ref="A335:A398" si="25">IF(COUNTIF(K335:M335,"ERROR")&gt;0,"ERROR"," ")</f>
        <v xml:space="preserve"> </v>
      </c>
      <c r="D335" s="42"/>
      <c r="E335" s="42"/>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43" t="str">
        <f t="shared" si="25"/>
        <v xml:space="preserve"> </v>
      </c>
      <c r="D336" s="42"/>
      <c r="E336" s="42"/>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3" t="str">
        <f t="shared" si="25"/>
        <v xml:space="preserve"> </v>
      </c>
      <c r="D337" s="42"/>
      <c r="E337" s="42"/>
      <c r="J337" s="17">
        <f t="shared" si="28"/>
        <v>0</v>
      </c>
      <c r="K337" s="2" t="str">
        <f t="shared" si="29"/>
        <v xml:space="preserve"> </v>
      </c>
      <c r="L337" s="2" t="str">
        <f t="shared" si="26"/>
        <v xml:space="preserve"> </v>
      </c>
      <c r="M337" s="2" t="str">
        <f t="shared" si="27"/>
        <v xml:space="preserve"> </v>
      </c>
    </row>
    <row r="338" spans="1:13" x14ac:dyDescent="0.25">
      <c r="A338" s="43" t="str">
        <f t="shared" si="25"/>
        <v xml:space="preserve"> </v>
      </c>
      <c r="D338" s="42"/>
      <c r="E338" s="42"/>
      <c r="J338" s="17">
        <f t="shared" si="28"/>
        <v>0</v>
      </c>
      <c r="K338" s="2" t="str">
        <f t="shared" si="29"/>
        <v xml:space="preserve"> </v>
      </c>
      <c r="L338" s="2" t="str">
        <f t="shared" si="26"/>
        <v xml:space="preserve"> </v>
      </c>
      <c r="M338" s="2" t="str">
        <f t="shared" si="27"/>
        <v xml:space="preserve"> </v>
      </c>
    </row>
    <row r="339" spans="1:13" x14ac:dyDescent="0.25">
      <c r="A339" s="43" t="str">
        <f t="shared" si="25"/>
        <v xml:space="preserve"> </v>
      </c>
      <c r="D339" s="42"/>
      <c r="E339" s="42"/>
      <c r="J339" s="17">
        <f t="shared" si="28"/>
        <v>0</v>
      </c>
      <c r="K339" s="2" t="str">
        <f t="shared" si="29"/>
        <v xml:space="preserve"> </v>
      </c>
      <c r="L339" s="2" t="str">
        <f t="shared" si="26"/>
        <v xml:space="preserve"> </v>
      </c>
      <c r="M339" s="2" t="str">
        <f t="shared" si="27"/>
        <v xml:space="preserve"> </v>
      </c>
    </row>
    <row r="340" spans="1:13" x14ac:dyDescent="0.25">
      <c r="A340" s="43" t="str">
        <f t="shared" si="25"/>
        <v xml:space="preserve"> </v>
      </c>
      <c r="D340" s="42"/>
      <c r="E340" s="42"/>
      <c r="J340" s="17">
        <f t="shared" si="28"/>
        <v>0</v>
      </c>
      <c r="K340" s="2" t="str">
        <f t="shared" si="29"/>
        <v xml:space="preserve"> </v>
      </c>
      <c r="L340" s="2" t="str">
        <f t="shared" si="26"/>
        <v xml:space="preserve"> </v>
      </c>
      <c r="M340" s="2" t="str">
        <f t="shared" si="27"/>
        <v xml:space="preserve"> </v>
      </c>
    </row>
    <row r="341" spans="1:13" x14ac:dyDescent="0.25">
      <c r="A341" s="43" t="str">
        <f t="shared" si="25"/>
        <v xml:space="preserve"> </v>
      </c>
      <c r="D341" s="42"/>
      <c r="E341" s="42"/>
      <c r="J341" s="17">
        <f t="shared" si="28"/>
        <v>0</v>
      </c>
      <c r="K341" s="2" t="str">
        <f t="shared" si="29"/>
        <v xml:space="preserve"> </v>
      </c>
      <c r="L341" s="2" t="str">
        <f t="shared" si="26"/>
        <v xml:space="preserve"> </v>
      </c>
      <c r="M341" s="2" t="str">
        <f t="shared" si="27"/>
        <v xml:space="preserve"> </v>
      </c>
    </row>
    <row r="342" spans="1:13" x14ac:dyDescent="0.25">
      <c r="A342" s="43" t="str">
        <f t="shared" si="25"/>
        <v xml:space="preserve"> </v>
      </c>
      <c r="D342" s="42"/>
      <c r="E342" s="42"/>
      <c r="J342" s="17">
        <f t="shared" si="28"/>
        <v>0</v>
      </c>
      <c r="K342" s="2" t="str">
        <f t="shared" si="29"/>
        <v xml:space="preserve"> </v>
      </c>
      <c r="L342" s="2" t="str">
        <f t="shared" si="26"/>
        <v xml:space="preserve"> </v>
      </c>
      <c r="M342" s="2" t="str">
        <f t="shared" si="27"/>
        <v xml:space="preserve"> </v>
      </c>
    </row>
    <row r="343" spans="1:13" x14ac:dyDescent="0.25">
      <c r="A343" s="43" t="str">
        <f t="shared" si="25"/>
        <v xml:space="preserve"> </v>
      </c>
      <c r="D343" s="42"/>
      <c r="E343" s="42"/>
      <c r="J343" s="17">
        <f t="shared" si="28"/>
        <v>0</v>
      </c>
      <c r="K343" s="2" t="str">
        <f t="shared" si="29"/>
        <v xml:space="preserve"> </v>
      </c>
      <c r="L343" s="2" t="str">
        <f t="shared" si="26"/>
        <v xml:space="preserve"> </v>
      </c>
      <c r="M343" s="2" t="str">
        <f t="shared" si="27"/>
        <v xml:space="preserve"> </v>
      </c>
    </row>
    <row r="344" spans="1:13" x14ac:dyDescent="0.25">
      <c r="A344" s="43" t="str">
        <f t="shared" si="25"/>
        <v xml:space="preserve"> </v>
      </c>
      <c r="D344" s="42"/>
      <c r="E344" s="42"/>
      <c r="J344" s="17">
        <f t="shared" si="28"/>
        <v>0</v>
      </c>
      <c r="K344" s="2" t="str">
        <f t="shared" si="29"/>
        <v xml:space="preserve"> </v>
      </c>
      <c r="L344" s="2" t="str">
        <f t="shared" si="26"/>
        <v xml:space="preserve"> </v>
      </c>
      <c r="M344" s="2" t="str">
        <f t="shared" si="27"/>
        <v xml:space="preserve"> </v>
      </c>
    </row>
    <row r="345" spans="1:13" x14ac:dyDescent="0.25">
      <c r="A345" s="43" t="str">
        <f t="shared" si="25"/>
        <v xml:space="preserve"> </v>
      </c>
      <c r="D345" s="42"/>
      <c r="E345" s="42"/>
      <c r="J345" s="17">
        <f t="shared" si="28"/>
        <v>0</v>
      </c>
      <c r="K345" s="2" t="str">
        <f t="shared" si="29"/>
        <v xml:space="preserve"> </v>
      </c>
      <c r="L345" s="2" t="str">
        <f t="shared" si="26"/>
        <v xml:space="preserve"> </v>
      </c>
      <c r="M345" s="2" t="str">
        <f t="shared" si="27"/>
        <v xml:space="preserve"> </v>
      </c>
    </row>
    <row r="346" spans="1:13" x14ac:dyDescent="0.25">
      <c r="A346" s="43" t="str">
        <f t="shared" si="25"/>
        <v xml:space="preserve"> </v>
      </c>
      <c r="D346" s="42"/>
      <c r="E346" s="42"/>
      <c r="J346" s="17">
        <f t="shared" si="28"/>
        <v>0</v>
      </c>
      <c r="K346" s="2" t="str">
        <f t="shared" si="29"/>
        <v xml:space="preserve"> </v>
      </c>
      <c r="L346" s="2" t="str">
        <f t="shared" si="26"/>
        <v xml:space="preserve"> </v>
      </c>
      <c r="M346" s="2" t="str">
        <f t="shared" si="27"/>
        <v xml:space="preserve"> </v>
      </c>
    </row>
    <row r="347" spans="1:13" x14ac:dyDescent="0.25">
      <c r="A347" s="43" t="str">
        <f t="shared" si="25"/>
        <v xml:space="preserve"> </v>
      </c>
      <c r="D347" s="42"/>
      <c r="E347" s="42"/>
      <c r="J347" s="17">
        <f t="shared" si="28"/>
        <v>0</v>
      </c>
      <c r="K347" s="2" t="str">
        <f t="shared" si="29"/>
        <v xml:space="preserve"> </v>
      </c>
      <c r="L347" s="2" t="str">
        <f t="shared" si="26"/>
        <v xml:space="preserve"> </v>
      </c>
      <c r="M347" s="2" t="str">
        <f t="shared" si="27"/>
        <v xml:space="preserve"> </v>
      </c>
    </row>
    <row r="348" spans="1:13" x14ac:dyDescent="0.25">
      <c r="A348" s="43" t="str">
        <f t="shared" si="25"/>
        <v xml:space="preserve"> </v>
      </c>
      <c r="D348" s="42"/>
      <c r="E348" s="42"/>
      <c r="J348" s="17">
        <f t="shared" si="28"/>
        <v>0</v>
      </c>
      <c r="K348" s="2" t="str">
        <f t="shared" si="29"/>
        <v xml:space="preserve"> </v>
      </c>
      <c r="L348" s="2" t="str">
        <f t="shared" si="26"/>
        <v xml:space="preserve"> </v>
      </c>
      <c r="M348" s="2" t="str">
        <f t="shared" si="27"/>
        <v xml:space="preserve"> </v>
      </c>
    </row>
    <row r="349" spans="1:13" x14ac:dyDescent="0.25">
      <c r="A349" s="43" t="str">
        <f t="shared" si="25"/>
        <v xml:space="preserve"> </v>
      </c>
      <c r="D349" s="42"/>
      <c r="E349" s="42"/>
      <c r="J349" s="17">
        <f t="shared" si="28"/>
        <v>0</v>
      </c>
      <c r="K349" s="2" t="str">
        <f t="shared" si="29"/>
        <v xml:space="preserve"> </v>
      </c>
      <c r="L349" s="2" t="str">
        <f t="shared" si="26"/>
        <v xml:space="preserve"> </v>
      </c>
      <c r="M349" s="2" t="str">
        <f t="shared" si="27"/>
        <v xml:space="preserve"> </v>
      </c>
    </row>
    <row r="350" spans="1:13" x14ac:dyDescent="0.25">
      <c r="A350" s="43" t="str">
        <f t="shared" si="25"/>
        <v xml:space="preserve"> </v>
      </c>
      <c r="D350" s="42"/>
      <c r="E350" s="42"/>
      <c r="J350" s="17">
        <f t="shared" si="28"/>
        <v>0</v>
      </c>
      <c r="K350" s="2" t="str">
        <f t="shared" si="29"/>
        <v xml:space="preserve"> </v>
      </c>
      <c r="L350" s="2" t="str">
        <f t="shared" si="26"/>
        <v xml:space="preserve"> </v>
      </c>
      <c r="M350" s="2" t="str">
        <f t="shared" si="27"/>
        <v xml:space="preserve"> </v>
      </c>
    </row>
    <row r="351" spans="1:13" x14ac:dyDescent="0.25">
      <c r="A351" s="43" t="str">
        <f t="shared" si="25"/>
        <v xml:space="preserve"> </v>
      </c>
      <c r="D351" s="42"/>
      <c r="E351" s="42"/>
      <c r="J351" s="17">
        <f t="shared" si="28"/>
        <v>0</v>
      </c>
      <c r="K351" s="2" t="str">
        <f t="shared" si="29"/>
        <v xml:space="preserve"> </v>
      </c>
      <c r="L351" s="2" t="str">
        <f t="shared" si="26"/>
        <v xml:space="preserve"> </v>
      </c>
      <c r="M351" s="2" t="str">
        <f t="shared" si="27"/>
        <v xml:space="preserve"> </v>
      </c>
    </row>
    <row r="352" spans="1:13" x14ac:dyDescent="0.25">
      <c r="A352" s="43" t="str">
        <f t="shared" si="25"/>
        <v xml:space="preserve"> </v>
      </c>
      <c r="D352" s="42"/>
      <c r="E352" s="42"/>
      <c r="J352" s="17">
        <f t="shared" si="28"/>
        <v>0</v>
      </c>
      <c r="K352" s="2" t="str">
        <f t="shared" si="29"/>
        <v xml:space="preserve"> </v>
      </c>
      <c r="L352" s="2" t="str">
        <f t="shared" si="26"/>
        <v xml:space="preserve"> </v>
      </c>
      <c r="M352" s="2" t="str">
        <f t="shared" si="27"/>
        <v xml:space="preserve"> </v>
      </c>
    </row>
    <row r="353" spans="1:13" x14ac:dyDescent="0.25">
      <c r="A353" s="43" t="str">
        <f t="shared" si="25"/>
        <v xml:space="preserve"> </v>
      </c>
      <c r="D353" s="42"/>
      <c r="E353" s="42"/>
      <c r="J353" s="17">
        <f t="shared" si="28"/>
        <v>0</v>
      </c>
      <c r="K353" s="2" t="str">
        <f t="shared" si="29"/>
        <v xml:space="preserve"> </v>
      </c>
      <c r="L353" s="2" t="str">
        <f t="shared" si="26"/>
        <v xml:space="preserve"> </v>
      </c>
      <c r="M353" s="2" t="str">
        <f t="shared" si="27"/>
        <v xml:space="preserve"> </v>
      </c>
    </row>
    <row r="354" spans="1:13" x14ac:dyDescent="0.25">
      <c r="A354" s="43" t="str">
        <f t="shared" si="25"/>
        <v xml:space="preserve"> </v>
      </c>
      <c r="D354" s="42"/>
      <c r="E354" s="42"/>
      <c r="J354" s="17">
        <f t="shared" si="28"/>
        <v>0</v>
      </c>
      <c r="K354" s="2" t="str">
        <f t="shared" si="29"/>
        <v xml:space="preserve"> </v>
      </c>
      <c r="L354" s="2" t="str">
        <f t="shared" si="26"/>
        <v xml:space="preserve"> </v>
      </c>
      <c r="M354" s="2" t="str">
        <f t="shared" si="27"/>
        <v xml:space="preserve"> </v>
      </c>
    </row>
    <row r="355" spans="1:13" x14ac:dyDescent="0.25">
      <c r="A355" s="43" t="str">
        <f t="shared" si="25"/>
        <v xml:space="preserve"> </v>
      </c>
      <c r="D355" s="42"/>
      <c r="E355" s="42"/>
      <c r="J355" s="17">
        <f t="shared" si="28"/>
        <v>0</v>
      </c>
      <c r="K355" s="2" t="str">
        <f t="shared" si="29"/>
        <v xml:space="preserve"> </v>
      </c>
      <c r="L355" s="2" t="str">
        <f t="shared" si="26"/>
        <v xml:space="preserve"> </v>
      </c>
      <c r="M355" s="2" t="str">
        <f t="shared" si="27"/>
        <v xml:space="preserve"> </v>
      </c>
    </row>
    <row r="356" spans="1:13" x14ac:dyDescent="0.25">
      <c r="A356" s="43" t="str">
        <f t="shared" si="25"/>
        <v xml:space="preserve"> </v>
      </c>
      <c r="D356" s="42"/>
      <c r="E356" s="42"/>
      <c r="J356" s="17">
        <f t="shared" si="28"/>
        <v>0</v>
      </c>
      <c r="K356" s="2" t="str">
        <f t="shared" si="29"/>
        <v xml:space="preserve"> </v>
      </c>
      <c r="L356" s="2" t="str">
        <f t="shared" si="26"/>
        <v xml:space="preserve"> </v>
      </c>
      <c r="M356" s="2" t="str">
        <f t="shared" si="27"/>
        <v xml:space="preserve"> </v>
      </c>
    </row>
    <row r="357" spans="1:13" x14ac:dyDescent="0.25">
      <c r="A357" s="43" t="str">
        <f t="shared" si="25"/>
        <v xml:space="preserve"> </v>
      </c>
      <c r="D357" s="42"/>
      <c r="E357" s="42"/>
      <c r="J357" s="17">
        <f t="shared" si="28"/>
        <v>0</v>
      </c>
      <c r="K357" s="2" t="str">
        <f t="shared" si="29"/>
        <v xml:space="preserve"> </v>
      </c>
      <c r="L357" s="2" t="str">
        <f t="shared" si="26"/>
        <v xml:space="preserve"> </v>
      </c>
      <c r="M357" s="2" t="str">
        <f t="shared" si="27"/>
        <v xml:space="preserve"> </v>
      </c>
    </row>
    <row r="358" spans="1:13" x14ac:dyDescent="0.25">
      <c r="A358" s="43" t="str">
        <f t="shared" si="25"/>
        <v xml:space="preserve"> </v>
      </c>
      <c r="D358" s="42"/>
      <c r="E358" s="42"/>
      <c r="J358" s="17">
        <f t="shared" si="28"/>
        <v>0</v>
      </c>
      <c r="K358" s="2" t="str">
        <f t="shared" si="29"/>
        <v xml:space="preserve"> </v>
      </c>
      <c r="L358" s="2" t="str">
        <f t="shared" si="26"/>
        <v xml:space="preserve"> </v>
      </c>
      <c r="M358" s="2" t="str">
        <f t="shared" si="27"/>
        <v xml:space="preserve"> </v>
      </c>
    </row>
    <row r="359" spans="1:13" x14ac:dyDescent="0.25">
      <c r="A359" s="43" t="str">
        <f t="shared" si="25"/>
        <v xml:space="preserve"> </v>
      </c>
      <c r="D359" s="42"/>
      <c r="E359" s="42"/>
      <c r="J359" s="17">
        <f t="shared" si="28"/>
        <v>0</v>
      </c>
      <c r="K359" s="2" t="str">
        <f t="shared" si="29"/>
        <v xml:space="preserve"> </v>
      </c>
      <c r="L359" s="2" t="str">
        <f t="shared" si="26"/>
        <v xml:space="preserve"> </v>
      </c>
      <c r="M359" s="2" t="str">
        <f t="shared" si="27"/>
        <v xml:space="preserve"> </v>
      </c>
    </row>
    <row r="360" spans="1:13" x14ac:dyDescent="0.25">
      <c r="A360" s="43" t="str">
        <f t="shared" si="25"/>
        <v xml:space="preserve"> </v>
      </c>
      <c r="D360" s="42"/>
      <c r="E360" s="42"/>
      <c r="J360" s="17">
        <f t="shared" si="28"/>
        <v>0</v>
      </c>
      <c r="K360" s="2" t="str">
        <f t="shared" si="29"/>
        <v xml:space="preserve"> </v>
      </c>
      <c r="L360" s="2" t="str">
        <f t="shared" si="26"/>
        <v xml:space="preserve"> </v>
      </c>
      <c r="M360" s="2" t="str">
        <f t="shared" si="27"/>
        <v xml:space="preserve"> </v>
      </c>
    </row>
    <row r="361" spans="1:13" x14ac:dyDescent="0.25">
      <c r="A361" s="43" t="str">
        <f t="shared" si="25"/>
        <v xml:space="preserve"> </v>
      </c>
      <c r="D361" s="42"/>
      <c r="E361" s="42"/>
      <c r="J361" s="17">
        <f t="shared" si="28"/>
        <v>0</v>
      </c>
      <c r="K361" s="2" t="str">
        <f t="shared" si="29"/>
        <v xml:space="preserve"> </v>
      </c>
      <c r="L361" s="2" t="str">
        <f t="shared" si="26"/>
        <v xml:space="preserve"> </v>
      </c>
      <c r="M361" s="2" t="str">
        <f t="shared" si="27"/>
        <v xml:space="preserve"> </v>
      </c>
    </row>
    <row r="362" spans="1:13" x14ac:dyDescent="0.25">
      <c r="A362" s="43" t="str">
        <f t="shared" si="25"/>
        <v xml:space="preserve"> </v>
      </c>
      <c r="D362" s="42"/>
      <c r="E362" s="42"/>
      <c r="J362" s="17">
        <f t="shared" si="28"/>
        <v>0</v>
      </c>
      <c r="K362" s="2" t="str">
        <f t="shared" si="29"/>
        <v xml:space="preserve"> </v>
      </c>
      <c r="L362" s="2" t="str">
        <f t="shared" si="26"/>
        <v xml:space="preserve"> </v>
      </c>
      <c r="M362" s="2" t="str">
        <f t="shared" si="27"/>
        <v xml:space="preserve"> </v>
      </c>
    </row>
    <row r="363" spans="1:13" x14ac:dyDescent="0.25">
      <c r="A363" s="43" t="str">
        <f t="shared" si="25"/>
        <v xml:space="preserve"> </v>
      </c>
      <c r="D363" s="42"/>
      <c r="E363" s="42"/>
      <c r="J363" s="17">
        <f t="shared" si="28"/>
        <v>0</v>
      </c>
      <c r="K363" s="2" t="str">
        <f t="shared" si="29"/>
        <v xml:space="preserve"> </v>
      </c>
      <c r="L363" s="2" t="str">
        <f t="shared" si="26"/>
        <v xml:space="preserve"> </v>
      </c>
      <c r="M363" s="2" t="str">
        <f t="shared" si="27"/>
        <v xml:space="preserve"> </v>
      </c>
    </row>
    <row r="364" spans="1:13" x14ac:dyDescent="0.25">
      <c r="A364" s="43" t="str">
        <f t="shared" si="25"/>
        <v xml:space="preserve"> </v>
      </c>
      <c r="D364" s="42"/>
      <c r="E364" s="42"/>
      <c r="J364" s="17">
        <f t="shared" si="28"/>
        <v>0</v>
      </c>
      <c r="K364" s="2" t="str">
        <f t="shared" si="29"/>
        <v xml:space="preserve"> </v>
      </c>
      <c r="L364" s="2" t="str">
        <f t="shared" si="26"/>
        <v xml:space="preserve"> </v>
      </c>
      <c r="M364" s="2" t="str">
        <f t="shared" si="27"/>
        <v xml:space="preserve"> </v>
      </c>
    </row>
    <row r="365" spans="1:13" x14ac:dyDescent="0.25">
      <c r="A365" s="43" t="str">
        <f t="shared" si="25"/>
        <v xml:space="preserve"> </v>
      </c>
      <c r="D365" s="42"/>
      <c r="E365" s="42"/>
      <c r="J365" s="17">
        <f t="shared" si="28"/>
        <v>0</v>
      </c>
      <c r="K365" s="2" t="str">
        <f t="shared" si="29"/>
        <v xml:space="preserve"> </v>
      </c>
      <c r="L365" s="2" t="str">
        <f t="shared" si="26"/>
        <v xml:space="preserve"> </v>
      </c>
      <c r="M365" s="2" t="str">
        <f t="shared" si="27"/>
        <v xml:space="preserve"> </v>
      </c>
    </row>
    <row r="366" spans="1:13" x14ac:dyDescent="0.25">
      <c r="A366" s="43" t="str">
        <f t="shared" si="25"/>
        <v xml:space="preserve"> </v>
      </c>
      <c r="D366" s="42"/>
      <c r="E366" s="42"/>
      <c r="J366" s="17">
        <f t="shared" si="28"/>
        <v>0</v>
      </c>
      <c r="K366" s="2" t="str">
        <f t="shared" si="29"/>
        <v xml:space="preserve"> </v>
      </c>
      <c r="L366" s="2" t="str">
        <f t="shared" si="26"/>
        <v xml:space="preserve"> </v>
      </c>
      <c r="M366" s="2" t="str">
        <f t="shared" si="27"/>
        <v xml:space="preserve"> </v>
      </c>
    </row>
    <row r="367" spans="1:13" x14ac:dyDescent="0.25">
      <c r="A367" s="43" t="str">
        <f t="shared" si="25"/>
        <v xml:space="preserve"> </v>
      </c>
      <c r="D367" s="42"/>
      <c r="E367" s="42"/>
      <c r="J367" s="17">
        <f t="shared" si="28"/>
        <v>0</v>
      </c>
      <c r="K367" s="2" t="str">
        <f t="shared" si="29"/>
        <v xml:space="preserve"> </v>
      </c>
      <c r="L367" s="2" t="str">
        <f t="shared" si="26"/>
        <v xml:space="preserve"> </v>
      </c>
      <c r="M367" s="2" t="str">
        <f t="shared" si="27"/>
        <v xml:space="preserve"> </v>
      </c>
    </row>
    <row r="368" spans="1:13" x14ac:dyDescent="0.25">
      <c r="A368" s="43" t="str">
        <f t="shared" si="25"/>
        <v xml:space="preserve"> </v>
      </c>
      <c r="D368" s="42"/>
      <c r="E368" s="42"/>
      <c r="J368" s="17">
        <f t="shared" si="28"/>
        <v>0</v>
      </c>
      <c r="K368" s="2" t="str">
        <f t="shared" si="29"/>
        <v xml:space="preserve"> </v>
      </c>
      <c r="L368" s="2" t="str">
        <f t="shared" si="26"/>
        <v xml:space="preserve"> </v>
      </c>
      <c r="M368" s="2" t="str">
        <f t="shared" si="27"/>
        <v xml:space="preserve"> </v>
      </c>
    </row>
    <row r="369" spans="1:13" x14ac:dyDescent="0.25">
      <c r="A369" s="43" t="str">
        <f t="shared" si="25"/>
        <v xml:space="preserve"> </v>
      </c>
      <c r="D369" s="42"/>
      <c r="E369" s="42"/>
      <c r="J369" s="17">
        <f t="shared" si="28"/>
        <v>0</v>
      </c>
      <c r="K369" s="2" t="str">
        <f t="shared" si="29"/>
        <v xml:space="preserve"> </v>
      </c>
      <c r="L369" s="2" t="str">
        <f t="shared" si="26"/>
        <v xml:space="preserve"> </v>
      </c>
      <c r="M369" s="2" t="str">
        <f t="shared" si="27"/>
        <v xml:space="preserve"> </v>
      </c>
    </row>
    <row r="370" spans="1:13" x14ac:dyDescent="0.25">
      <c r="A370" s="43" t="str">
        <f t="shared" si="25"/>
        <v xml:space="preserve"> </v>
      </c>
      <c r="D370" s="42"/>
      <c r="E370" s="42"/>
      <c r="J370" s="17">
        <f t="shared" si="28"/>
        <v>0</v>
      </c>
      <c r="K370" s="2" t="str">
        <f t="shared" si="29"/>
        <v xml:space="preserve"> </v>
      </c>
      <c r="L370" s="2" t="str">
        <f t="shared" si="26"/>
        <v xml:space="preserve"> </v>
      </c>
      <c r="M370" s="2" t="str">
        <f t="shared" si="27"/>
        <v xml:space="preserve"> </v>
      </c>
    </row>
    <row r="371" spans="1:13" x14ac:dyDescent="0.25">
      <c r="A371" s="43" t="str">
        <f t="shared" si="25"/>
        <v xml:space="preserve"> </v>
      </c>
      <c r="D371" s="42"/>
      <c r="E371" s="42"/>
      <c r="J371" s="17">
        <f t="shared" si="28"/>
        <v>0</v>
      </c>
      <c r="K371" s="2" t="str">
        <f t="shared" si="29"/>
        <v xml:space="preserve"> </v>
      </c>
      <c r="L371" s="2" t="str">
        <f t="shared" si="26"/>
        <v xml:space="preserve"> </v>
      </c>
      <c r="M371" s="2" t="str">
        <f t="shared" si="27"/>
        <v xml:space="preserve"> </v>
      </c>
    </row>
    <row r="372" spans="1:13" x14ac:dyDescent="0.25">
      <c r="A372" s="43" t="str">
        <f t="shared" si="25"/>
        <v xml:space="preserve"> </v>
      </c>
      <c r="D372" s="42"/>
      <c r="E372" s="42"/>
      <c r="J372" s="17">
        <f t="shared" si="28"/>
        <v>0</v>
      </c>
      <c r="K372" s="2" t="str">
        <f t="shared" si="29"/>
        <v xml:space="preserve"> </v>
      </c>
      <c r="L372" s="2" t="str">
        <f t="shared" si="26"/>
        <v xml:space="preserve"> </v>
      </c>
      <c r="M372" s="2" t="str">
        <f t="shared" si="27"/>
        <v xml:space="preserve"> </v>
      </c>
    </row>
    <row r="373" spans="1:13" x14ac:dyDescent="0.25">
      <c r="A373" s="43" t="str">
        <f t="shared" si="25"/>
        <v xml:space="preserve"> </v>
      </c>
      <c r="D373" s="42"/>
      <c r="E373" s="42"/>
      <c r="J373" s="17">
        <f t="shared" si="28"/>
        <v>0</v>
      </c>
      <c r="K373" s="2" t="str">
        <f t="shared" si="29"/>
        <v xml:space="preserve"> </v>
      </c>
      <c r="L373" s="2" t="str">
        <f t="shared" si="26"/>
        <v xml:space="preserve"> </v>
      </c>
      <c r="M373" s="2" t="str">
        <f t="shared" si="27"/>
        <v xml:space="preserve"> </v>
      </c>
    </row>
    <row r="374" spans="1:13" x14ac:dyDescent="0.25">
      <c r="A374" s="43" t="str">
        <f t="shared" si="25"/>
        <v xml:space="preserve"> </v>
      </c>
      <c r="D374" s="42"/>
      <c r="E374" s="42"/>
      <c r="J374" s="17">
        <f t="shared" si="28"/>
        <v>0</v>
      </c>
      <c r="K374" s="2" t="str">
        <f t="shared" si="29"/>
        <v xml:space="preserve"> </v>
      </c>
      <c r="L374" s="2" t="str">
        <f t="shared" si="26"/>
        <v xml:space="preserve"> </v>
      </c>
      <c r="M374" s="2" t="str">
        <f t="shared" si="27"/>
        <v xml:space="preserve"> </v>
      </c>
    </row>
    <row r="375" spans="1:13" x14ac:dyDescent="0.25">
      <c r="A375" s="43" t="str">
        <f t="shared" si="25"/>
        <v xml:space="preserve"> </v>
      </c>
      <c r="D375" s="42"/>
      <c r="E375" s="42"/>
      <c r="J375" s="17">
        <f t="shared" si="28"/>
        <v>0</v>
      </c>
      <c r="K375" s="2" t="str">
        <f t="shared" si="29"/>
        <v xml:space="preserve"> </v>
      </c>
      <c r="L375" s="2" t="str">
        <f t="shared" si="26"/>
        <v xml:space="preserve"> </v>
      </c>
      <c r="M375" s="2" t="str">
        <f t="shared" si="27"/>
        <v xml:space="preserve"> </v>
      </c>
    </row>
    <row r="376" spans="1:13" x14ac:dyDescent="0.25">
      <c r="A376" s="43" t="str">
        <f t="shared" si="25"/>
        <v xml:space="preserve"> </v>
      </c>
      <c r="D376" s="42"/>
      <c r="E376" s="42"/>
      <c r="J376" s="17">
        <f t="shared" si="28"/>
        <v>0</v>
      </c>
      <c r="K376" s="2" t="str">
        <f t="shared" si="29"/>
        <v xml:space="preserve"> </v>
      </c>
      <c r="L376" s="2" t="str">
        <f t="shared" si="26"/>
        <v xml:space="preserve"> </v>
      </c>
      <c r="M376" s="2" t="str">
        <f t="shared" si="27"/>
        <v xml:space="preserve"> </v>
      </c>
    </row>
    <row r="377" spans="1:13" x14ac:dyDescent="0.25">
      <c r="A377" s="43" t="str">
        <f t="shared" si="25"/>
        <v xml:space="preserve"> </v>
      </c>
      <c r="D377" s="42"/>
      <c r="E377" s="42"/>
      <c r="J377" s="17">
        <f t="shared" si="28"/>
        <v>0</v>
      </c>
      <c r="K377" s="2" t="str">
        <f t="shared" si="29"/>
        <v xml:space="preserve"> </v>
      </c>
      <c r="L377" s="2" t="str">
        <f t="shared" si="26"/>
        <v xml:space="preserve"> </v>
      </c>
      <c r="M377" s="2" t="str">
        <f t="shared" si="27"/>
        <v xml:space="preserve"> </v>
      </c>
    </row>
    <row r="378" spans="1:13" x14ac:dyDescent="0.25">
      <c r="A378" s="43" t="str">
        <f t="shared" si="25"/>
        <v xml:space="preserve"> </v>
      </c>
      <c r="D378" s="42"/>
      <c r="E378" s="42"/>
      <c r="J378" s="17">
        <f t="shared" si="28"/>
        <v>0</v>
      </c>
      <c r="K378" s="2" t="str">
        <f t="shared" si="29"/>
        <v xml:space="preserve"> </v>
      </c>
      <c r="L378" s="2" t="str">
        <f t="shared" si="26"/>
        <v xml:space="preserve"> </v>
      </c>
      <c r="M378" s="2" t="str">
        <f t="shared" si="27"/>
        <v xml:space="preserve"> </v>
      </c>
    </row>
    <row r="379" spans="1:13" x14ac:dyDescent="0.25">
      <c r="A379" s="43" t="str">
        <f t="shared" si="25"/>
        <v xml:space="preserve"> </v>
      </c>
      <c r="D379" s="42"/>
      <c r="E379" s="42"/>
      <c r="J379" s="17">
        <f t="shared" si="28"/>
        <v>0</v>
      </c>
      <c r="K379" s="2" t="str">
        <f t="shared" si="29"/>
        <v xml:space="preserve"> </v>
      </c>
      <c r="L379" s="2" t="str">
        <f t="shared" si="26"/>
        <v xml:space="preserve"> </v>
      </c>
      <c r="M379" s="2" t="str">
        <f t="shared" si="27"/>
        <v xml:space="preserve"> </v>
      </c>
    </row>
    <row r="380" spans="1:13" x14ac:dyDescent="0.25">
      <c r="A380" s="43" t="str">
        <f t="shared" si="25"/>
        <v xml:space="preserve"> </v>
      </c>
      <c r="D380" s="42"/>
      <c r="E380" s="42"/>
      <c r="J380" s="17">
        <f t="shared" si="28"/>
        <v>0</v>
      </c>
      <c r="K380" s="2" t="str">
        <f t="shared" si="29"/>
        <v xml:space="preserve"> </v>
      </c>
      <c r="L380" s="2" t="str">
        <f t="shared" si="26"/>
        <v xml:space="preserve"> </v>
      </c>
      <c r="M380" s="2" t="str">
        <f t="shared" si="27"/>
        <v xml:space="preserve"> </v>
      </c>
    </row>
    <row r="381" spans="1:13" x14ac:dyDescent="0.25">
      <c r="A381" s="43" t="str">
        <f t="shared" si="25"/>
        <v xml:space="preserve"> </v>
      </c>
      <c r="D381" s="42"/>
      <c r="E381" s="42"/>
      <c r="J381" s="17">
        <f t="shared" si="28"/>
        <v>0</v>
      </c>
      <c r="K381" s="2" t="str">
        <f t="shared" si="29"/>
        <v xml:space="preserve"> </v>
      </c>
      <c r="L381" s="2" t="str">
        <f t="shared" si="26"/>
        <v xml:space="preserve"> </v>
      </c>
      <c r="M381" s="2" t="str">
        <f t="shared" si="27"/>
        <v xml:space="preserve"> </v>
      </c>
    </row>
    <row r="382" spans="1:13" x14ac:dyDescent="0.25">
      <c r="A382" s="43" t="str">
        <f t="shared" si="25"/>
        <v xml:space="preserve"> </v>
      </c>
      <c r="D382" s="42"/>
      <c r="E382" s="42"/>
      <c r="J382" s="17">
        <f t="shared" si="28"/>
        <v>0</v>
      </c>
      <c r="K382" s="2" t="str">
        <f t="shared" si="29"/>
        <v xml:space="preserve"> </v>
      </c>
      <c r="L382" s="2" t="str">
        <f t="shared" si="26"/>
        <v xml:space="preserve"> </v>
      </c>
      <c r="M382" s="2" t="str">
        <f t="shared" si="27"/>
        <v xml:space="preserve"> </v>
      </c>
    </row>
    <row r="383" spans="1:13" x14ac:dyDescent="0.25">
      <c r="A383" s="43" t="str">
        <f t="shared" si="25"/>
        <v xml:space="preserve"> </v>
      </c>
      <c r="D383" s="42"/>
      <c r="E383" s="42"/>
      <c r="J383" s="17">
        <f t="shared" si="28"/>
        <v>0</v>
      </c>
      <c r="K383" s="2" t="str">
        <f t="shared" si="29"/>
        <v xml:space="preserve"> </v>
      </c>
      <c r="L383" s="2" t="str">
        <f t="shared" si="26"/>
        <v xml:space="preserve"> </v>
      </c>
      <c r="M383" s="2" t="str">
        <f t="shared" si="27"/>
        <v xml:space="preserve"> </v>
      </c>
    </row>
    <row r="384" spans="1:13" x14ac:dyDescent="0.25">
      <c r="A384" s="43" t="str">
        <f t="shared" si="25"/>
        <v xml:space="preserve"> </v>
      </c>
      <c r="D384" s="42"/>
      <c r="E384" s="42"/>
      <c r="J384" s="17">
        <f t="shared" si="28"/>
        <v>0</v>
      </c>
      <c r="K384" s="2" t="str">
        <f t="shared" si="29"/>
        <v xml:space="preserve"> </v>
      </c>
      <c r="L384" s="2" t="str">
        <f t="shared" si="26"/>
        <v xml:space="preserve"> </v>
      </c>
      <c r="M384" s="2" t="str">
        <f t="shared" si="27"/>
        <v xml:space="preserve"> </v>
      </c>
    </row>
    <row r="385" spans="1:13" x14ac:dyDescent="0.25">
      <c r="A385" s="43" t="str">
        <f t="shared" si="25"/>
        <v xml:space="preserve"> </v>
      </c>
      <c r="D385" s="42"/>
      <c r="E385" s="42"/>
      <c r="J385" s="17">
        <f t="shared" si="28"/>
        <v>0</v>
      </c>
      <c r="K385" s="2" t="str">
        <f t="shared" si="29"/>
        <v xml:space="preserve"> </v>
      </c>
      <c r="L385" s="2" t="str">
        <f t="shared" si="26"/>
        <v xml:space="preserve"> </v>
      </c>
      <c r="M385" s="2" t="str">
        <f t="shared" si="27"/>
        <v xml:space="preserve"> </v>
      </c>
    </row>
    <row r="386" spans="1:13" x14ac:dyDescent="0.25">
      <c r="A386" s="43" t="str">
        <f t="shared" si="25"/>
        <v xml:space="preserve"> </v>
      </c>
      <c r="D386" s="42"/>
      <c r="E386" s="42"/>
      <c r="J386" s="17">
        <f t="shared" si="28"/>
        <v>0</v>
      </c>
      <c r="K386" s="2" t="str">
        <f t="shared" si="29"/>
        <v xml:space="preserve"> </v>
      </c>
      <c r="L386" s="2" t="str">
        <f t="shared" si="26"/>
        <v xml:space="preserve"> </v>
      </c>
      <c r="M386" s="2" t="str">
        <f t="shared" si="27"/>
        <v xml:space="preserve"> </v>
      </c>
    </row>
    <row r="387" spans="1:13" x14ac:dyDescent="0.25">
      <c r="A387" s="43" t="str">
        <f t="shared" si="25"/>
        <v xml:space="preserve"> </v>
      </c>
      <c r="D387" s="42"/>
      <c r="E387" s="42"/>
      <c r="J387" s="17">
        <f t="shared" si="28"/>
        <v>0</v>
      </c>
      <c r="K387" s="2" t="str">
        <f t="shared" si="29"/>
        <v xml:space="preserve"> </v>
      </c>
      <c r="L387" s="2" t="str">
        <f t="shared" si="26"/>
        <v xml:space="preserve"> </v>
      </c>
      <c r="M387" s="2" t="str">
        <f t="shared" si="27"/>
        <v xml:space="preserve"> </v>
      </c>
    </row>
    <row r="388" spans="1:13" x14ac:dyDescent="0.25">
      <c r="A388" s="43" t="str">
        <f t="shared" si="25"/>
        <v xml:space="preserve"> </v>
      </c>
      <c r="D388" s="42"/>
      <c r="E388" s="42"/>
      <c r="J388" s="17">
        <f t="shared" si="28"/>
        <v>0</v>
      </c>
      <c r="K388" s="2" t="str">
        <f t="shared" si="29"/>
        <v xml:space="preserve"> </v>
      </c>
      <c r="L388" s="2" t="str">
        <f t="shared" si="26"/>
        <v xml:space="preserve"> </v>
      </c>
      <c r="M388" s="2" t="str">
        <f t="shared" si="27"/>
        <v xml:space="preserve"> </v>
      </c>
    </row>
    <row r="389" spans="1:13" x14ac:dyDescent="0.25">
      <c r="A389" s="43" t="str">
        <f t="shared" si="25"/>
        <v xml:space="preserve"> </v>
      </c>
      <c r="D389" s="42"/>
      <c r="E389" s="42"/>
      <c r="J389" s="17">
        <f t="shared" si="28"/>
        <v>0</v>
      </c>
      <c r="K389" s="2" t="str">
        <f t="shared" si="29"/>
        <v xml:space="preserve"> </v>
      </c>
      <c r="L389" s="2" t="str">
        <f t="shared" si="26"/>
        <v xml:space="preserve"> </v>
      </c>
      <c r="M389" s="2" t="str">
        <f t="shared" si="27"/>
        <v xml:space="preserve"> </v>
      </c>
    </row>
    <row r="390" spans="1:13" x14ac:dyDescent="0.25">
      <c r="A390" s="43" t="str">
        <f t="shared" si="25"/>
        <v xml:space="preserve"> </v>
      </c>
      <c r="D390" s="42"/>
      <c r="E390" s="42"/>
      <c r="J390" s="17">
        <f t="shared" si="28"/>
        <v>0</v>
      </c>
      <c r="K390" s="2" t="str">
        <f t="shared" si="29"/>
        <v xml:space="preserve"> </v>
      </c>
      <c r="L390" s="2" t="str">
        <f t="shared" si="26"/>
        <v xml:space="preserve"> </v>
      </c>
      <c r="M390" s="2" t="str">
        <f t="shared" si="27"/>
        <v xml:space="preserve"> </v>
      </c>
    </row>
    <row r="391" spans="1:13" x14ac:dyDescent="0.25">
      <c r="A391" s="43" t="str">
        <f t="shared" si="25"/>
        <v xml:space="preserve"> </v>
      </c>
      <c r="D391" s="42"/>
      <c r="E391" s="42"/>
      <c r="J391" s="17">
        <f t="shared" si="28"/>
        <v>0</v>
      </c>
      <c r="K391" s="2" t="str">
        <f t="shared" si="29"/>
        <v xml:space="preserve"> </v>
      </c>
      <c r="L391" s="2" t="str">
        <f t="shared" si="26"/>
        <v xml:space="preserve"> </v>
      </c>
      <c r="M391" s="2" t="str">
        <f t="shared" si="27"/>
        <v xml:space="preserve"> </v>
      </c>
    </row>
    <row r="392" spans="1:13" x14ac:dyDescent="0.25">
      <c r="A392" s="43" t="str">
        <f t="shared" si="25"/>
        <v xml:space="preserve"> </v>
      </c>
      <c r="D392" s="42"/>
      <c r="E392" s="42"/>
      <c r="J392" s="17">
        <f t="shared" si="28"/>
        <v>0</v>
      </c>
      <c r="K392" s="2" t="str">
        <f t="shared" si="29"/>
        <v xml:space="preserve"> </v>
      </c>
      <c r="L392" s="2" t="str">
        <f t="shared" si="26"/>
        <v xml:space="preserve"> </v>
      </c>
      <c r="M392" s="2" t="str">
        <f t="shared" si="27"/>
        <v xml:space="preserve"> </v>
      </c>
    </row>
    <row r="393" spans="1:13" x14ac:dyDescent="0.25">
      <c r="A393" s="43" t="str">
        <f t="shared" si="25"/>
        <v xml:space="preserve"> </v>
      </c>
      <c r="D393" s="42"/>
      <c r="E393" s="42"/>
      <c r="J393" s="17">
        <f t="shared" si="28"/>
        <v>0</v>
      </c>
      <c r="K393" s="2" t="str">
        <f t="shared" si="29"/>
        <v xml:space="preserve"> </v>
      </c>
      <c r="L393" s="2" t="str">
        <f t="shared" si="26"/>
        <v xml:space="preserve"> </v>
      </c>
      <c r="M393" s="2" t="str">
        <f t="shared" si="27"/>
        <v xml:space="preserve"> </v>
      </c>
    </row>
    <row r="394" spans="1:13" x14ac:dyDescent="0.25">
      <c r="A394" s="43" t="str">
        <f t="shared" si="25"/>
        <v xml:space="preserve"> </v>
      </c>
      <c r="D394" s="42"/>
      <c r="E394" s="42"/>
      <c r="J394" s="17">
        <f t="shared" si="28"/>
        <v>0</v>
      </c>
      <c r="K394" s="2" t="str">
        <f t="shared" si="29"/>
        <v xml:space="preserve"> </v>
      </c>
      <c r="L394" s="2" t="str">
        <f t="shared" si="26"/>
        <v xml:space="preserve"> </v>
      </c>
      <c r="M394" s="2" t="str">
        <f t="shared" si="27"/>
        <v xml:space="preserve"> </v>
      </c>
    </row>
    <row r="395" spans="1:13" x14ac:dyDescent="0.25">
      <c r="A395" s="43" t="str">
        <f t="shared" si="25"/>
        <v xml:space="preserve"> </v>
      </c>
      <c r="D395" s="42"/>
      <c r="E395" s="42"/>
      <c r="J395" s="17">
        <f t="shared" si="28"/>
        <v>0</v>
      </c>
      <c r="K395" s="2" t="str">
        <f t="shared" si="29"/>
        <v xml:space="preserve"> </v>
      </c>
      <c r="L395" s="2" t="str">
        <f t="shared" si="26"/>
        <v xml:space="preserve"> </v>
      </c>
      <c r="M395" s="2" t="str">
        <f t="shared" si="27"/>
        <v xml:space="preserve"> </v>
      </c>
    </row>
    <row r="396" spans="1:13" x14ac:dyDescent="0.25">
      <c r="A396" s="43" t="str">
        <f t="shared" si="25"/>
        <v xml:space="preserve"> </v>
      </c>
      <c r="D396" s="42"/>
      <c r="E396" s="42"/>
      <c r="J396" s="17">
        <f t="shared" si="28"/>
        <v>0</v>
      </c>
      <c r="K396" s="2" t="str">
        <f t="shared" si="29"/>
        <v xml:space="preserve"> </v>
      </c>
      <c r="L396" s="2" t="str">
        <f t="shared" si="26"/>
        <v xml:space="preserve"> </v>
      </c>
      <c r="M396" s="2" t="str">
        <f t="shared" si="27"/>
        <v xml:space="preserve"> </v>
      </c>
    </row>
    <row r="397" spans="1:13" x14ac:dyDescent="0.25">
      <c r="A397" s="43" t="str">
        <f t="shared" si="25"/>
        <v xml:space="preserve"> </v>
      </c>
      <c r="D397" s="42"/>
      <c r="E397" s="42"/>
      <c r="J397" s="17">
        <f t="shared" si="28"/>
        <v>0</v>
      </c>
      <c r="K397" s="2" t="str">
        <f t="shared" si="29"/>
        <v xml:space="preserve"> </v>
      </c>
      <c r="L397" s="2" t="str">
        <f t="shared" si="26"/>
        <v xml:space="preserve"> </v>
      </c>
      <c r="M397" s="2" t="str">
        <f t="shared" si="27"/>
        <v xml:space="preserve"> </v>
      </c>
    </row>
    <row r="398" spans="1:13" x14ac:dyDescent="0.25">
      <c r="A398" s="43" t="str">
        <f t="shared" si="25"/>
        <v xml:space="preserve"> </v>
      </c>
      <c r="D398" s="42"/>
      <c r="E398" s="42"/>
      <c r="J398" s="17">
        <f t="shared" si="28"/>
        <v>0</v>
      </c>
      <c r="K398" s="2" t="str">
        <f t="shared" si="29"/>
        <v xml:space="preserve"> </v>
      </c>
      <c r="L398" s="2" t="str">
        <f t="shared" si="26"/>
        <v xml:space="preserve"> </v>
      </c>
      <c r="M398" s="2" t="str">
        <f t="shared" si="27"/>
        <v xml:space="preserve"> </v>
      </c>
    </row>
    <row r="399" spans="1:13" x14ac:dyDescent="0.25">
      <c r="A399" s="43" t="str">
        <f t="shared" ref="A399:A462" si="30">IF(COUNTIF(K399:M399,"ERROR")&gt;0,"ERROR"," ")</f>
        <v xml:space="preserve"> </v>
      </c>
      <c r="D399" s="42"/>
      <c r="E399" s="42"/>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43" t="str">
        <f t="shared" si="30"/>
        <v xml:space="preserve"> </v>
      </c>
      <c r="D400" s="42"/>
      <c r="E400" s="42"/>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3" t="str">
        <f t="shared" si="30"/>
        <v xml:space="preserve"> </v>
      </c>
      <c r="D401" s="42"/>
      <c r="E401" s="42"/>
      <c r="J401" s="17">
        <f t="shared" si="33"/>
        <v>0</v>
      </c>
      <c r="K401" s="2" t="str">
        <f t="shared" si="34"/>
        <v xml:space="preserve"> </v>
      </c>
      <c r="L401" s="2" t="str">
        <f t="shared" si="31"/>
        <v xml:space="preserve"> </v>
      </c>
      <c r="M401" s="2" t="str">
        <f t="shared" si="32"/>
        <v xml:space="preserve"> </v>
      </c>
    </row>
    <row r="402" spans="1:13" x14ac:dyDescent="0.25">
      <c r="A402" s="43" t="str">
        <f t="shared" si="30"/>
        <v xml:space="preserve"> </v>
      </c>
      <c r="D402" s="42"/>
      <c r="E402" s="42"/>
      <c r="J402" s="17">
        <f t="shared" si="33"/>
        <v>0</v>
      </c>
      <c r="K402" s="2" t="str">
        <f t="shared" si="34"/>
        <v xml:space="preserve"> </v>
      </c>
      <c r="L402" s="2" t="str">
        <f t="shared" si="31"/>
        <v xml:space="preserve"> </v>
      </c>
      <c r="M402" s="2" t="str">
        <f t="shared" si="32"/>
        <v xml:space="preserve"> </v>
      </c>
    </row>
    <row r="403" spans="1:13" x14ac:dyDescent="0.25">
      <c r="A403" s="43" t="str">
        <f t="shared" si="30"/>
        <v xml:space="preserve"> </v>
      </c>
      <c r="D403" s="42"/>
      <c r="E403" s="42"/>
      <c r="J403" s="17">
        <f t="shared" si="33"/>
        <v>0</v>
      </c>
      <c r="K403" s="2" t="str">
        <f t="shared" si="34"/>
        <v xml:space="preserve"> </v>
      </c>
      <c r="L403" s="2" t="str">
        <f t="shared" si="31"/>
        <v xml:space="preserve"> </v>
      </c>
      <c r="M403" s="2" t="str">
        <f t="shared" si="32"/>
        <v xml:space="preserve"> </v>
      </c>
    </row>
    <row r="404" spans="1:13" x14ac:dyDescent="0.25">
      <c r="A404" s="43" t="str">
        <f t="shared" si="30"/>
        <v xml:space="preserve"> </v>
      </c>
      <c r="D404" s="42"/>
      <c r="E404" s="42"/>
      <c r="J404" s="17">
        <f t="shared" si="33"/>
        <v>0</v>
      </c>
      <c r="K404" s="2" t="str">
        <f t="shared" si="34"/>
        <v xml:space="preserve"> </v>
      </c>
      <c r="L404" s="2" t="str">
        <f t="shared" si="31"/>
        <v xml:space="preserve"> </v>
      </c>
      <c r="M404" s="2" t="str">
        <f t="shared" si="32"/>
        <v xml:space="preserve"> </v>
      </c>
    </row>
    <row r="405" spans="1:13" x14ac:dyDescent="0.25">
      <c r="A405" s="43" t="str">
        <f t="shared" si="30"/>
        <v xml:space="preserve"> </v>
      </c>
      <c r="D405" s="42"/>
      <c r="E405" s="42"/>
      <c r="J405" s="17">
        <f t="shared" si="33"/>
        <v>0</v>
      </c>
      <c r="K405" s="2" t="str">
        <f t="shared" si="34"/>
        <v xml:space="preserve"> </v>
      </c>
      <c r="L405" s="2" t="str">
        <f t="shared" si="31"/>
        <v xml:space="preserve"> </v>
      </c>
      <c r="M405" s="2" t="str">
        <f t="shared" si="32"/>
        <v xml:space="preserve"> </v>
      </c>
    </row>
    <row r="406" spans="1:13" x14ac:dyDescent="0.25">
      <c r="A406" s="43" t="str">
        <f t="shared" si="30"/>
        <v xml:space="preserve"> </v>
      </c>
      <c r="D406" s="42"/>
      <c r="E406" s="42"/>
      <c r="J406" s="17">
        <f t="shared" si="33"/>
        <v>0</v>
      </c>
      <c r="K406" s="2" t="str">
        <f t="shared" si="34"/>
        <v xml:space="preserve"> </v>
      </c>
      <c r="L406" s="2" t="str">
        <f t="shared" si="31"/>
        <v xml:space="preserve"> </v>
      </c>
      <c r="M406" s="2" t="str">
        <f t="shared" si="32"/>
        <v xml:space="preserve"> </v>
      </c>
    </row>
    <row r="407" spans="1:13" x14ac:dyDescent="0.25">
      <c r="A407" s="43" t="str">
        <f t="shared" si="30"/>
        <v xml:space="preserve"> </v>
      </c>
      <c r="D407" s="42"/>
      <c r="E407" s="42"/>
      <c r="J407" s="17">
        <f t="shared" si="33"/>
        <v>0</v>
      </c>
      <c r="K407" s="2" t="str">
        <f t="shared" si="34"/>
        <v xml:space="preserve"> </v>
      </c>
      <c r="L407" s="2" t="str">
        <f t="shared" si="31"/>
        <v xml:space="preserve"> </v>
      </c>
      <c r="M407" s="2" t="str">
        <f t="shared" si="32"/>
        <v xml:space="preserve"> </v>
      </c>
    </row>
    <row r="408" spans="1:13" x14ac:dyDescent="0.25">
      <c r="A408" s="43" t="str">
        <f t="shared" si="30"/>
        <v xml:space="preserve"> </v>
      </c>
      <c r="D408" s="42"/>
      <c r="E408" s="42"/>
      <c r="J408" s="17">
        <f t="shared" si="33"/>
        <v>0</v>
      </c>
      <c r="K408" s="2" t="str">
        <f t="shared" si="34"/>
        <v xml:space="preserve"> </v>
      </c>
      <c r="L408" s="2" t="str">
        <f t="shared" si="31"/>
        <v xml:space="preserve"> </v>
      </c>
      <c r="M408" s="2" t="str">
        <f t="shared" si="32"/>
        <v xml:space="preserve"> </v>
      </c>
    </row>
    <row r="409" spans="1:13" x14ac:dyDescent="0.25">
      <c r="A409" s="43" t="str">
        <f t="shared" si="30"/>
        <v xml:space="preserve"> </v>
      </c>
      <c r="D409" s="42"/>
      <c r="E409" s="42"/>
      <c r="J409" s="17">
        <f t="shared" si="33"/>
        <v>0</v>
      </c>
      <c r="K409" s="2" t="str">
        <f t="shared" si="34"/>
        <v xml:space="preserve"> </v>
      </c>
      <c r="L409" s="2" t="str">
        <f t="shared" si="31"/>
        <v xml:space="preserve"> </v>
      </c>
      <c r="M409" s="2" t="str">
        <f t="shared" si="32"/>
        <v xml:space="preserve"> </v>
      </c>
    </row>
    <row r="410" spans="1:13" x14ac:dyDescent="0.25">
      <c r="A410" s="43" t="str">
        <f t="shared" si="30"/>
        <v xml:space="preserve"> </v>
      </c>
      <c r="D410" s="42"/>
      <c r="E410" s="42"/>
      <c r="J410" s="17">
        <f t="shared" si="33"/>
        <v>0</v>
      </c>
      <c r="K410" s="2" t="str">
        <f t="shared" si="34"/>
        <v xml:space="preserve"> </v>
      </c>
      <c r="L410" s="2" t="str">
        <f t="shared" si="31"/>
        <v xml:space="preserve"> </v>
      </c>
      <c r="M410" s="2" t="str">
        <f t="shared" si="32"/>
        <v xml:space="preserve"> </v>
      </c>
    </row>
    <row r="411" spans="1:13" x14ac:dyDescent="0.25">
      <c r="A411" s="43" t="str">
        <f t="shared" si="30"/>
        <v xml:space="preserve"> </v>
      </c>
      <c r="D411" s="42"/>
      <c r="E411" s="42"/>
      <c r="J411" s="17">
        <f t="shared" si="33"/>
        <v>0</v>
      </c>
      <c r="K411" s="2" t="str">
        <f t="shared" si="34"/>
        <v xml:space="preserve"> </v>
      </c>
      <c r="L411" s="2" t="str">
        <f t="shared" si="31"/>
        <v xml:space="preserve"> </v>
      </c>
      <c r="M411" s="2" t="str">
        <f t="shared" si="32"/>
        <v xml:space="preserve"> </v>
      </c>
    </row>
    <row r="412" spans="1:13" x14ac:dyDescent="0.25">
      <c r="A412" s="43" t="str">
        <f t="shared" si="30"/>
        <v xml:space="preserve"> </v>
      </c>
      <c r="D412" s="42"/>
      <c r="E412" s="42"/>
      <c r="J412" s="17">
        <f t="shared" si="33"/>
        <v>0</v>
      </c>
      <c r="K412" s="2" t="str">
        <f t="shared" si="34"/>
        <v xml:space="preserve"> </v>
      </c>
      <c r="L412" s="2" t="str">
        <f t="shared" si="31"/>
        <v xml:space="preserve"> </v>
      </c>
      <c r="M412" s="2" t="str">
        <f t="shared" si="32"/>
        <v xml:space="preserve"> </v>
      </c>
    </row>
    <row r="413" spans="1:13" x14ac:dyDescent="0.25">
      <c r="A413" s="43" t="str">
        <f t="shared" si="30"/>
        <v xml:space="preserve"> </v>
      </c>
      <c r="D413" s="42"/>
      <c r="E413" s="42"/>
      <c r="J413" s="17">
        <f t="shared" si="33"/>
        <v>0</v>
      </c>
      <c r="K413" s="2" t="str">
        <f t="shared" si="34"/>
        <v xml:space="preserve"> </v>
      </c>
      <c r="L413" s="2" t="str">
        <f t="shared" si="31"/>
        <v xml:space="preserve"> </v>
      </c>
      <c r="M413" s="2" t="str">
        <f t="shared" si="32"/>
        <v xml:space="preserve"> </v>
      </c>
    </row>
    <row r="414" spans="1:13" x14ac:dyDescent="0.25">
      <c r="A414" s="43" t="str">
        <f t="shared" si="30"/>
        <v xml:space="preserve"> </v>
      </c>
      <c r="D414" s="42"/>
      <c r="E414" s="42"/>
      <c r="J414" s="17">
        <f t="shared" si="33"/>
        <v>0</v>
      </c>
      <c r="K414" s="2" t="str">
        <f t="shared" si="34"/>
        <v xml:space="preserve"> </v>
      </c>
      <c r="L414" s="2" t="str">
        <f t="shared" si="31"/>
        <v xml:space="preserve"> </v>
      </c>
      <c r="M414" s="2" t="str">
        <f t="shared" si="32"/>
        <v xml:space="preserve"> </v>
      </c>
    </row>
    <row r="415" spans="1:13" x14ac:dyDescent="0.25">
      <c r="A415" s="43" t="str">
        <f t="shared" si="30"/>
        <v xml:space="preserve"> </v>
      </c>
      <c r="D415" s="42"/>
      <c r="E415" s="42"/>
      <c r="J415" s="17">
        <f t="shared" si="33"/>
        <v>0</v>
      </c>
      <c r="K415" s="2" t="str">
        <f t="shared" si="34"/>
        <v xml:space="preserve"> </v>
      </c>
      <c r="L415" s="2" t="str">
        <f t="shared" si="31"/>
        <v xml:space="preserve"> </v>
      </c>
      <c r="M415" s="2" t="str">
        <f t="shared" si="32"/>
        <v xml:space="preserve"> </v>
      </c>
    </row>
    <row r="416" spans="1:13" x14ac:dyDescent="0.25">
      <c r="A416" s="43" t="str">
        <f t="shared" si="30"/>
        <v xml:space="preserve"> </v>
      </c>
      <c r="D416" s="42"/>
      <c r="E416" s="42"/>
      <c r="J416" s="17">
        <f t="shared" si="33"/>
        <v>0</v>
      </c>
      <c r="K416" s="2" t="str">
        <f t="shared" si="34"/>
        <v xml:space="preserve"> </v>
      </c>
      <c r="L416" s="2" t="str">
        <f t="shared" si="31"/>
        <v xml:space="preserve"> </v>
      </c>
      <c r="M416" s="2" t="str">
        <f t="shared" si="32"/>
        <v xml:space="preserve"> </v>
      </c>
    </row>
    <row r="417" spans="1:13" x14ac:dyDescent="0.25">
      <c r="A417" s="43" t="str">
        <f t="shared" si="30"/>
        <v xml:space="preserve"> </v>
      </c>
      <c r="D417" s="42"/>
      <c r="E417" s="42"/>
      <c r="J417" s="17">
        <f t="shared" si="33"/>
        <v>0</v>
      </c>
      <c r="K417" s="2" t="str">
        <f t="shared" si="34"/>
        <v xml:space="preserve"> </v>
      </c>
      <c r="L417" s="2" t="str">
        <f t="shared" si="31"/>
        <v xml:space="preserve"> </v>
      </c>
      <c r="M417" s="2" t="str">
        <f t="shared" si="32"/>
        <v xml:space="preserve"> </v>
      </c>
    </row>
    <row r="418" spans="1:13" x14ac:dyDescent="0.25">
      <c r="A418" s="43" t="str">
        <f t="shared" si="30"/>
        <v xml:space="preserve"> </v>
      </c>
      <c r="D418" s="42"/>
      <c r="E418" s="42"/>
      <c r="J418" s="17">
        <f t="shared" si="33"/>
        <v>0</v>
      </c>
      <c r="K418" s="2" t="str">
        <f t="shared" si="34"/>
        <v xml:space="preserve"> </v>
      </c>
      <c r="L418" s="2" t="str">
        <f t="shared" si="31"/>
        <v xml:space="preserve"> </v>
      </c>
      <c r="M418" s="2" t="str">
        <f t="shared" si="32"/>
        <v xml:space="preserve"> </v>
      </c>
    </row>
    <row r="419" spans="1:13" x14ac:dyDescent="0.25">
      <c r="A419" s="43" t="str">
        <f t="shared" si="30"/>
        <v xml:space="preserve"> </v>
      </c>
      <c r="D419" s="42"/>
      <c r="E419" s="42"/>
      <c r="J419" s="17">
        <f t="shared" si="33"/>
        <v>0</v>
      </c>
      <c r="K419" s="2" t="str">
        <f t="shared" si="34"/>
        <v xml:space="preserve"> </v>
      </c>
      <c r="L419" s="2" t="str">
        <f t="shared" si="31"/>
        <v xml:space="preserve"> </v>
      </c>
      <c r="M419" s="2" t="str">
        <f t="shared" si="32"/>
        <v xml:space="preserve"> </v>
      </c>
    </row>
    <row r="420" spans="1:13" x14ac:dyDescent="0.25">
      <c r="A420" s="43" t="str">
        <f t="shared" si="30"/>
        <v xml:space="preserve"> </v>
      </c>
      <c r="D420" s="42"/>
      <c r="E420" s="42"/>
      <c r="J420" s="17">
        <f t="shared" si="33"/>
        <v>0</v>
      </c>
      <c r="K420" s="2" t="str">
        <f t="shared" si="34"/>
        <v xml:space="preserve"> </v>
      </c>
      <c r="L420" s="2" t="str">
        <f t="shared" si="31"/>
        <v xml:space="preserve"> </v>
      </c>
      <c r="M420" s="2" t="str">
        <f t="shared" si="32"/>
        <v xml:space="preserve"> </v>
      </c>
    </row>
    <row r="421" spans="1:13" x14ac:dyDescent="0.25">
      <c r="A421" s="43" t="str">
        <f t="shared" si="30"/>
        <v xml:space="preserve"> </v>
      </c>
      <c r="D421" s="42"/>
      <c r="E421" s="42"/>
      <c r="J421" s="17">
        <f t="shared" si="33"/>
        <v>0</v>
      </c>
      <c r="K421" s="2" t="str">
        <f t="shared" si="34"/>
        <v xml:space="preserve"> </v>
      </c>
      <c r="L421" s="2" t="str">
        <f t="shared" si="31"/>
        <v xml:space="preserve"> </v>
      </c>
      <c r="M421" s="2" t="str">
        <f t="shared" si="32"/>
        <v xml:space="preserve"> </v>
      </c>
    </row>
    <row r="422" spans="1:13" x14ac:dyDescent="0.25">
      <c r="A422" s="43" t="str">
        <f t="shared" si="30"/>
        <v xml:space="preserve"> </v>
      </c>
      <c r="D422" s="42"/>
      <c r="E422" s="42"/>
      <c r="J422" s="17">
        <f t="shared" si="33"/>
        <v>0</v>
      </c>
      <c r="K422" s="2" t="str">
        <f t="shared" si="34"/>
        <v xml:space="preserve"> </v>
      </c>
      <c r="L422" s="2" t="str">
        <f t="shared" si="31"/>
        <v xml:space="preserve"> </v>
      </c>
      <c r="M422" s="2" t="str">
        <f t="shared" si="32"/>
        <v xml:space="preserve"> </v>
      </c>
    </row>
    <row r="423" spans="1:13" x14ac:dyDescent="0.25">
      <c r="A423" s="43" t="str">
        <f t="shared" si="30"/>
        <v xml:space="preserve"> </v>
      </c>
      <c r="D423" s="42"/>
      <c r="E423" s="42"/>
      <c r="J423" s="17">
        <f t="shared" si="33"/>
        <v>0</v>
      </c>
      <c r="K423" s="2" t="str">
        <f t="shared" si="34"/>
        <v xml:space="preserve"> </v>
      </c>
      <c r="L423" s="2" t="str">
        <f t="shared" si="31"/>
        <v xml:space="preserve"> </v>
      </c>
      <c r="M423" s="2" t="str">
        <f t="shared" si="32"/>
        <v xml:space="preserve"> </v>
      </c>
    </row>
    <row r="424" spans="1:13" x14ac:dyDescent="0.25">
      <c r="A424" s="43" t="str">
        <f t="shared" si="30"/>
        <v xml:space="preserve"> </v>
      </c>
      <c r="D424" s="42"/>
      <c r="E424" s="42"/>
      <c r="J424" s="17">
        <f t="shared" si="33"/>
        <v>0</v>
      </c>
      <c r="K424" s="2" t="str">
        <f t="shared" si="34"/>
        <v xml:space="preserve"> </v>
      </c>
      <c r="L424" s="2" t="str">
        <f t="shared" si="31"/>
        <v xml:space="preserve"> </v>
      </c>
      <c r="M424" s="2" t="str">
        <f t="shared" si="32"/>
        <v xml:space="preserve"> </v>
      </c>
    </row>
    <row r="425" spans="1:13" x14ac:dyDescent="0.25">
      <c r="A425" s="43" t="str">
        <f t="shared" si="30"/>
        <v xml:space="preserve"> </v>
      </c>
      <c r="D425" s="42"/>
      <c r="E425" s="42"/>
      <c r="J425" s="17">
        <f t="shared" si="33"/>
        <v>0</v>
      </c>
      <c r="K425" s="2" t="str">
        <f t="shared" si="34"/>
        <v xml:space="preserve"> </v>
      </c>
      <c r="L425" s="2" t="str">
        <f t="shared" si="31"/>
        <v xml:space="preserve"> </v>
      </c>
      <c r="M425" s="2" t="str">
        <f t="shared" si="32"/>
        <v xml:space="preserve"> </v>
      </c>
    </row>
    <row r="426" spans="1:13" x14ac:dyDescent="0.25">
      <c r="A426" s="43" t="str">
        <f t="shared" si="30"/>
        <v xml:space="preserve"> </v>
      </c>
      <c r="D426" s="42"/>
      <c r="E426" s="42"/>
      <c r="J426" s="17">
        <f t="shared" si="33"/>
        <v>0</v>
      </c>
      <c r="K426" s="2" t="str">
        <f t="shared" si="34"/>
        <v xml:space="preserve"> </v>
      </c>
      <c r="L426" s="2" t="str">
        <f t="shared" si="31"/>
        <v xml:space="preserve"> </v>
      </c>
      <c r="M426" s="2" t="str">
        <f t="shared" si="32"/>
        <v xml:space="preserve"> </v>
      </c>
    </row>
    <row r="427" spans="1:13" x14ac:dyDescent="0.25">
      <c r="A427" s="43" t="str">
        <f t="shared" si="30"/>
        <v xml:space="preserve"> </v>
      </c>
      <c r="D427" s="42"/>
      <c r="E427" s="42"/>
      <c r="J427" s="17">
        <f t="shared" si="33"/>
        <v>0</v>
      </c>
      <c r="K427" s="2" t="str">
        <f t="shared" si="34"/>
        <v xml:space="preserve"> </v>
      </c>
      <c r="L427" s="2" t="str">
        <f t="shared" si="31"/>
        <v xml:space="preserve"> </v>
      </c>
      <c r="M427" s="2" t="str">
        <f t="shared" si="32"/>
        <v xml:space="preserve"> </v>
      </c>
    </row>
    <row r="428" spans="1:13" x14ac:dyDescent="0.25">
      <c r="A428" s="43" t="str">
        <f t="shared" si="30"/>
        <v xml:space="preserve"> </v>
      </c>
      <c r="D428" s="42"/>
      <c r="E428" s="42"/>
      <c r="J428" s="17">
        <f t="shared" si="33"/>
        <v>0</v>
      </c>
      <c r="K428" s="2" t="str">
        <f t="shared" si="34"/>
        <v xml:space="preserve"> </v>
      </c>
      <c r="L428" s="2" t="str">
        <f t="shared" si="31"/>
        <v xml:space="preserve"> </v>
      </c>
      <c r="M428" s="2" t="str">
        <f t="shared" si="32"/>
        <v xml:space="preserve"> </v>
      </c>
    </row>
    <row r="429" spans="1:13" x14ac:dyDescent="0.25">
      <c r="A429" s="43" t="str">
        <f t="shared" si="30"/>
        <v xml:space="preserve"> </v>
      </c>
      <c r="D429" s="42"/>
      <c r="E429" s="42"/>
      <c r="J429" s="17">
        <f t="shared" si="33"/>
        <v>0</v>
      </c>
      <c r="K429" s="2" t="str">
        <f t="shared" si="34"/>
        <v xml:space="preserve"> </v>
      </c>
      <c r="L429" s="2" t="str">
        <f t="shared" si="31"/>
        <v xml:space="preserve"> </v>
      </c>
      <c r="M429" s="2" t="str">
        <f t="shared" si="32"/>
        <v xml:space="preserve"> </v>
      </c>
    </row>
    <row r="430" spans="1:13" x14ac:dyDescent="0.25">
      <c r="A430" s="43" t="str">
        <f t="shared" si="30"/>
        <v xml:space="preserve"> </v>
      </c>
      <c r="D430" s="42"/>
      <c r="E430" s="42"/>
      <c r="J430" s="17">
        <f t="shared" si="33"/>
        <v>0</v>
      </c>
      <c r="K430" s="2" t="str">
        <f t="shared" si="34"/>
        <v xml:space="preserve"> </v>
      </c>
      <c r="L430" s="2" t="str">
        <f t="shared" si="31"/>
        <v xml:space="preserve"> </v>
      </c>
      <c r="M430" s="2" t="str">
        <f t="shared" si="32"/>
        <v xml:space="preserve"> </v>
      </c>
    </row>
    <row r="431" spans="1:13" x14ac:dyDescent="0.25">
      <c r="A431" s="43" t="str">
        <f t="shared" si="30"/>
        <v xml:space="preserve"> </v>
      </c>
      <c r="D431" s="42"/>
      <c r="E431" s="42"/>
      <c r="J431" s="17">
        <f t="shared" si="33"/>
        <v>0</v>
      </c>
      <c r="K431" s="2" t="str">
        <f t="shared" si="34"/>
        <v xml:space="preserve"> </v>
      </c>
      <c r="L431" s="2" t="str">
        <f t="shared" si="31"/>
        <v xml:space="preserve"> </v>
      </c>
      <c r="M431" s="2" t="str">
        <f t="shared" si="32"/>
        <v xml:space="preserve"> </v>
      </c>
    </row>
    <row r="432" spans="1:13" x14ac:dyDescent="0.25">
      <c r="A432" s="43" t="str">
        <f t="shared" si="30"/>
        <v xml:space="preserve"> </v>
      </c>
      <c r="D432" s="42"/>
      <c r="E432" s="42"/>
      <c r="J432" s="17">
        <f t="shared" si="33"/>
        <v>0</v>
      </c>
      <c r="K432" s="2" t="str">
        <f t="shared" si="34"/>
        <v xml:space="preserve"> </v>
      </c>
      <c r="L432" s="2" t="str">
        <f t="shared" si="31"/>
        <v xml:space="preserve"> </v>
      </c>
      <c r="M432" s="2" t="str">
        <f t="shared" si="32"/>
        <v xml:space="preserve"> </v>
      </c>
    </row>
    <row r="433" spans="1:13" x14ac:dyDescent="0.25">
      <c r="A433" s="43" t="str">
        <f t="shared" si="30"/>
        <v xml:space="preserve"> </v>
      </c>
      <c r="D433" s="42"/>
      <c r="E433" s="42"/>
      <c r="J433" s="17">
        <f t="shared" si="33"/>
        <v>0</v>
      </c>
      <c r="K433" s="2" t="str">
        <f t="shared" si="34"/>
        <v xml:space="preserve"> </v>
      </c>
      <c r="L433" s="2" t="str">
        <f t="shared" si="31"/>
        <v xml:space="preserve"> </v>
      </c>
      <c r="M433" s="2" t="str">
        <f t="shared" si="32"/>
        <v xml:space="preserve"> </v>
      </c>
    </row>
    <row r="434" spans="1:13" x14ac:dyDescent="0.25">
      <c r="A434" s="43" t="str">
        <f t="shared" si="30"/>
        <v xml:space="preserve"> </v>
      </c>
      <c r="D434" s="42"/>
      <c r="E434" s="42"/>
      <c r="J434" s="17">
        <f t="shared" si="33"/>
        <v>0</v>
      </c>
      <c r="K434" s="2" t="str">
        <f t="shared" si="34"/>
        <v xml:space="preserve"> </v>
      </c>
      <c r="L434" s="2" t="str">
        <f t="shared" si="31"/>
        <v xml:space="preserve"> </v>
      </c>
      <c r="M434" s="2" t="str">
        <f t="shared" si="32"/>
        <v xml:space="preserve"> </v>
      </c>
    </row>
    <row r="435" spans="1:13" x14ac:dyDescent="0.25">
      <c r="A435" s="43" t="str">
        <f t="shared" si="30"/>
        <v xml:space="preserve"> </v>
      </c>
      <c r="D435" s="42"/>
      <c r="E435" s="42"/>
      <c r="J435" s="17">
        <f t="shared" si="33"/>
        <v>0</v>
      </c>
      <c r="K435" s="2" t="str">
        <f t="shared" si="34"/>
        <v xml:space="preserve"> </v>
      </c>
      <c r="L435" s="2" t="str">
        <f t="shared" si="31"/>
        <v xml:space="preserve"> </v>
      </c>
      <c r="M435" s="2" t="str">
        <f t="shared" si="32"/>
        <v xml:space="preserve"> </v>
      </c>
    </row>
    <row r="436" spans="1:13" x14ac:dyDescent="0.25">
      <c r="A436" s="43" t="str">
        <f t="shared" si="30"/>
        <v xml:space="preserve"> </v>
      </c>
      <c r="D436" s="42"/>
      <c r="E436" s="42"/>
      <c r="J436" s="17">
        <f t="shared" si="33"/>
        <v>0</v>
      </c>
      <c r="K436" s="2" t="str">
        <f t="shared" si="34"/>
        <v xml:space="preserve"> </v>
      </c>
      <c r="L436" s="2" t="str">
        <f t="shared" si="31"/>
        <v xml:space="preserve"> </v>
      </c>
      <c r="M436" s="2" t="str">
        <f t="shared" si="32"/>
        <v xml:space="preserve"> </v>
      </c>
    </row>
    <row r="437" spans="1:13" x14ac:dyDescent="0.25">
      <c r="A437" s="43" t="str">
        <f t="shared" si="30"/>
        <v xml:space="preserve"> </v>
      </c>
      <c r="D437" s="42"/>
      <c r="E437" s="42"/>
      <c r="J437" s="17">
        <f t="shared" si="33"/>
        <v>0</v>
      </c>
      <c r="K437" s="2" t="str">
        <f t="shared" si="34"/>
        <v xml:space="preserve"> </v>
      </c>
      <c r="L437" s="2" t="str">
        <f t="shared" si="31"/>
        <v xml:space="preserve"> </v>
      </c>
      <c r="M437" s="2" t="str">
        <f t="shared" si="32"/>
        <v xml:space="preserve"> </v>
      </c>
    </row>
    <row r="438" spans="1:13" x14ac:dyDescent="0.25">
      <c r="A438" s="43" t="str">
        <f t="shared" si="30"/>
        <v xml:space="preserve"> </v>
      </c>
      <c r="D438" s="42"/>
      <c r="E438" s="42"/>
      <c r="J438" s="17">
        <f t="shared" si="33"/>
        <v>0</v>
      </c>
      <c r="K438" s="2" t="str">
        <f t="shared" si="34"/>
        <v xml:space="preserve"> </v>
      </c>
      <c r="L438" s="2" t="str">
        <f t="shared" si="31"/>
        <v xml:space="preserve"> </v>
      </c>
      <c r="M438" s="2" t="str">
        <f t="shared" si="32"/>
        <v xml:space="preserve"> </v>
      </c>
    </row>
    <row r="439" spans="1:13" x14ac:dyDescent="0.25">
      <c r="A439" s="43" t="str">
        <f t="shared" si="30"/>
        <v xml:space="preserve"> </v>
      </c>
      <c r="D439" s="42"/>
      <c r="E439" s="42"/>
      <c r="J439" s="17">
        <f t="shared" si="33"/>
        <v>0</v>
      </c>
      <c r="K439" s="2" t="str">
        <f t="shared" si="34"/>
        <v xml:space="preserve"> </v>
      </c>
      <c r="L439" s="2" t="str">
        <f t="shared" si="31"/>
        <v xml:space="preserve"> </v>
      </c>
      <c r="M439" s="2" t="str">
        <f t="shared" si="32"/>
        <v xml:space="preserve"> </v>
      </c>
    </row>
    <row r="440" spans="1:13" x14ac:dyDescent="0.25">
      <c r="A440" s="43" t="str">
        <f t="shared" si="30"/>
        <v xml:space="preserve"> </v>
      </c>
      <c r="D440" s="42"/>
      <c r="E440" s="42"/>
      <c r="J440" s="17">
        <f t="shared" si="33"/>
        <v>0</v>
      </c>
      <c r="K440" s="2" t="str">
        <f t="shared" si="34"/>
        <v xml:space="preserve"> </v>
      </c>
      <c r="L440" s="2" t="str">
        <f t="shared" si="31"/>
        <v xml:space="preserve"> </v>
      </c>
      <c r="M440" s="2" t="str">
        <f t="shared" si="32"/>
        <v xml:space="preserve"> </v>
      </c>
    </row>
    <row r="441" spans="1:13" x14ac:dyDescent="0.25">
      <c r="A441" s="43" t="str">
        <f t="shared" si="30"/>
        <v xml:space="preserve"> </v>
      </c>
      <c r="D441" s="42"/>
      <c r="E441" s="42"/>
      <c r="J441" s="17">
        <f t="shared" si="33"/>
        <v>0</v>
      </c>
      <c r="K441" s="2" t="str">
        <f t="shared" si="34"/>
        <v xml:space="preserve"> </v>
      </c>
      <c r="L441" s="2" t="str">
        <f t="shared" si="31"/>
        <v xml:space="preserve"> </v>
      </c>
      <c r="M441" s="2" t="str">
        <f t="shared" si="32"/>
        <v xml:space="preserve"> </v>
      </c>
    </row>
    <row r="442" spans="1:13" x14ac:dyDescent="0.25">
      <c r="A442" s="43" t="str">
        <f t="shared" si="30"/>
        <v xml:space="preserve"> </v>
      </c>
      <c r="D442" s="42"/>
      <c r="E442" s="42"/>
      <c r="J442" s="17">
        <f t="shared" si="33"/>
        <v>0</v>
      </c>
      <c r="K442" s="2" t="str">
        <f t="shared" si="34"/>
        <v xml:space="preserve"> </v>
      </c>
      <c r="L442" s="2" t="str">
        <f t="shared" si="31"/>
        <v xml:space="preserve"> </v>
      </c>
      <c r="M442" s="2" t="str">
        <f t="shared" si="32"/>
        <v xml:space="preserve"> </v>
      </c>
    </row>
    <row r="443" spans="1:13" x14ac:dyDescent="0.25">
      <c r="A443" s="43" t="str">
        <f t="shared" si="30"/>
        <v xml:space="preserve"> </v>
      </c>
      <c r="D443" s="42"/>
      <c r="E443" s="42"/>
      <c r="J443" s="17">
        <f t="shared" si="33"/>
        <v>0</v>
      </c>
      <c r="K443" s="2" t="str">
        <f t="shared" si="34"/>
        <v xml:space="preserve"> </v>
      </c>
      <c r="L443" s="2" t="str">
        <f t="shared" si="31"/>
        <v xml:space="preserve"> </v>
      </c>
      <c r="M443" s="2" t="str">
        <f t="shared" si="32"/>
        <v xml:space="preserve"> </v>
      </c>
    </row>
    <row r="444" spans="1:13" x14ac:dyDescent="0.25">
      <c r="A444" s="43" t="str">
        <f t="shared" si="30"/>
        <v xml:space="preserve"> </v>
      </c>
      <c r="D444" s="42"/>
      <c r="E444" s="42"/>
      <c r="J444" s="17">
        <f t="shared" si="33"/>
        <v>0</v>
      </c>
      <c r="K444" s="2" t="str">
        <f t="shared" si="34"/>
        <v xml:space="preserve"> </v>
      </c>
      <c r="L444" s="2" t="str">
        <f t="shared" si="31"/>
        <v xml:space="preserve"> </v>
      </c>
      <c r="M444" s="2" t="str">
        <f t="shared" si="32"/>
        <v xml:space="preserve"> </v>
      </c>
    </row>
    <row r="445" spans="1:13" x14ac:dyDescent="0.25">
      <c r="A445" s="43" t="str">
        <f t="shared" si="30"/>
        <v xml:space="preserve"> </v>
      </c>
      <c r="D445" s="42"/>
      <c r="E445" s="42"/>
      <c r="J445" s="17">
        <f t="shared" si="33"/>
        <v>0</v>
      </c>
      <c r="K445" s="2" t="str">
        <f t="shared" si="34"/>
        <v xml:space="preserve"> </v>
      </c>
      <c r="L445" s="2" t="str">
        <f t="shared" si="31"/>
        <v xml:space="preserve"> </v>
      </c>
      <c r="M445" s="2" t="str">
        <f t="shared" si="32"/>
        <v xml:space="preserve"> </v>
      </c>
    </row>
    <row r="446" spans="1:13" x14ac:dyDescent="0.25">
      <c r="A446" s="43" t="str">
        <f t="shared" si="30"/>
        <v xml:space="preserve"> </v>
      </c>
      <c r="D446" s="42"/>
      <c r="E446" s="42"/>
      <c r="J446" s="17">
        <f t="shared" si="33"/>
        <v>0</v>
      </c>
      <c r="K446" s="2" t="str">
        <f t="shared" si="34"/>
        <v xml:space="preserve"> </v>
      </c>
      <c r="L446" s="2" t="str">
        <f t="shared" si="31"/>
        <v xml:space="preserve"> </v>
      </c>
      <c r="M446" s="2" t="str">
        <f t="shared" si="32"/>
        <v xml:space="preserve"> </v>
      </c>
    </row>
    <row r="447" spans="1:13" x14ac:dyDescent="0.25">
      <c r="A447" s="43" t="str">
        <f t="shared" si="30"/>
        <v xml:space="preserve"> </v>
      </c>
      <c r="D447" s="42"/>
      <c r="E447" s="42"/>
      <c r="J447" s="17">
        <f t="shared" si="33"/>
        <v>0</v>
      </c>
      <c r="K447" s="2" t="str">
        <f t="shared" si="34"/>
        <v xml:space="preserve"> </v>
      </c>
      <c r="L447" s="2" t="str">
        <f t="shared" si="31"/>
        <v xml:space="preserve"> </v>
      </c>
      <c r="M447" s="2" t="str">
        <f t="shared" si="32"/>
        <v xml:space="preserve"> </v>
      </c>
    </row>
    <row r="448" spans="1:13" x14ac:dyDescent="0.25">
      <c r="A448" s="43" t="str">
        <f t="shared" si="30"/>
        <v xml:space="preserve"> </v>
      </c>
      <c r="D448" s="42"/>
      <c r="E448" s="42"/>
      <c r="J448" s="17">
        <f t="shared" si="33"/>
        <v>0</v>
      </c>
      <c r="K448" s="2" t="str">
        <f t="shared" si="34"/>
        <v xml:space="preserve"> </v>
      </c>
      <c r="L448" s="2" t="str">
        <f t="shared" si="31"/>
        <v xml:space="preserve"> </v>
      </c>
      <c r="M448" s="2" t="str">
        <f t="shared" si="32"/>
        <v xml:space="preserve"> </v>
      </c>
    </row>
    <row r="449" spans="1:13" x14ac:dyDescent="0.25">
      <c r="A449" s="43" t="str">
        <f t="shared" si="30"/>
        <v xml:space="preserve"> </v>
      </c>
      <c r="D449" s="42"/>
      <c r="E449" s="42"/>
      <c r="J449" s="17">
        <f t="shared" si="33"/>
        <v>0</v>
      </c>
      <c r="K449" s="2" t="str">
        <f t="shared" si="34"/>
        <v xml:space="preserve"> </v>
      </c>
      <c r="L449" s="2" t="str">
        <f t="shared" si="31"/>
        <v xml:space="preserve"> </v>
      </c>
      <c r="M449" s="2" t="str">
        <f t="shared" si="32"/>
        <v xml:space="preserve"> </v>
      </c>
    </row>
    <row r="450" spans="1:13" x14ac:dyDescent="0.25">
      <c r="A450" s="43" t="str">
        <f t="shared" si="30"/>
        <v xml:space="preserve"> </v>
      </c>
      <c r="D450" s="42"/>
      <c r="E450" s="42"/>
      <c r="J450" s="17">
        <f t="shared" si="33"/>
        <v>0</v>
      </c>
      <c r="K450" s="2" t="str">
        <f t="shared" si="34"/>
        <v xml:space="preserve"> </v>
      </c>
      <c r="L450" s="2" t="str">
        <f t="shared" si="31"/>
        <v xml:space="preserve"> </v>
      </c>
      <c r="M450" s="2" t="str">
        <f t="shared" si="32"/>
        <v xml:space="preserve"> </v>
      </c>
    </row>
    <row r="451" spans="1:13" x14ac:dyDescent="0.25">
      <c r="A451" s="43" t="str">
        <f t="shared" si="30"/>
        <v xml:space="preserve"> </v>
      </c>
      <c r="D451" s="42"/>
      <c r="E451" s="42"/>
      <c r="J451" s="17">
        <f t="shared" si="33"/>
        <v>0</v>
      </c>
      <c r="K451" s="2" t="str">
        <f t="shared" si="34"/>
        <v xml:space="preserve"> </v>
      </c>
      <c r="L451" s="2" t="str">
        <f t="shared" si="31"/>
        <v xml:space="preserve"> </v>
      </c>
      <c r="M451" s="2" t="str">
        <f t="shared" si="32"/>
        <v xml:space="preserve"> </v>
      </c>
    </row>
    <row r="452" spans="1:13" x14ac:dyDescent="0.25">
      <c r="A452" s="43" t="str">
        <f t="shared" si="30"/>
        <v xml:space="preserve"> </v>
      </c>
      <c r="D452" s="42"/>
      <c r="E452" s="42"/>
      <c r="J452" s="17">
        <f t="shared" si="33"/>
        <v>0</v>
      </c>
      <c r="K452" s="2" t="str">
        <f t="shared" si="34"/>
        <v xml:space="preserve"> </v>
      </c>
      <c r="L452" s="2" t="str">
        <f t="shared" si="31"/>
        <v xml:space="preserve"> </v>
      </c>
      <c r="M452" s="2" t="str">
        <f t="shared" si="32"/>
        <v xml:space="preserve"> </v>
      </c>
    </row>
    <row r="453" spans="1:13" x14ac:dyDescent="0.25">
      <c r="A453" s="43" t="str">
        <f t="shared" si="30"/>
        <v xml:space="preserve"> </v>
      </c>
      <c r="D453" s="42"/>
      <c r="E453" s="42"/>
      <c r="J453" s="17">
        <f t="shared" si="33"/>
        <v>0</v>
      </c>
      <c r="K453" s="2" t="str">
        <f t="shared" si="34"/>
        <v xml:space="preserve"> </v>
      </c>
      <c r="L453" s="2" t="str">
        <f t="shared" si="31"/>
        <v xml:space="preserve"> </v>
      </c>
      <c r="M453" s="2" t="str">
        <f t="shared" si="32"/>
        <v xml:space="preserve"> </v>
      </c>
    </row>
    <row r="454" spans="1:13" x14ac:dyDescent="0.25">
      <c r="A454" s="43" t="str">
        <f t="shared" si="30"/>
        <v xml:space="preserve"> </v>
      </c>
      <c r="D454" s="42"/>
      <c r="E454" s="42"/>
      <c r="J454" s="17">
        <f t="shared" si="33"/>
        <v>0</v>
      </c>
      <c r="K454" s="2" t="str">
        <f t="shared" si="34"/>
        <v xml:space="preserve"> </v>
      </c>
      <c r="L454" s="2" t="str">
        <f t="shared" si="31"/>
        <v xml:space="preserve"> </v>
      </c>
      <c r="M454" s="2" t="str">
        <f t="shared" si="32"/>
        <v xml:space="preserve"> </v>
      </c>
    </row>
    <row r="455" spans="1:13" x14ac:dyDescent="0.25">
      <c r="A455" s="43" t="str">
        <f t="shared" si="30"/>
        <v xml:space="preserve"> </v>
      </c>
      <c r="D455" s="42"/>
      <c r="E455" s="42"/>
      <c r="J455" s="17">
        <f t="shared" si="33"/>
        <v>0</v>
      </c>
      <c r="K455" s="2" t="str">
        <f t="shared" si="34"/>
        <v xml:space="preserve"> </v>
      </c>
      <c r="L455" s="2" t="str">
        <f t="shared" si="31"/>
        <v xml:space="preserve"> </v>
      </c>
      <c r="M455" s="2" t="str">
        <f t="shared" si="32"/>
        <v xml:space="preserve"> </v>
      </c>
    </row>
    <row r="456" spans="1:13" x14ac:dyDescent="0.25">
      <c r="A456" s="43" t="str">
        <f t="shared" si="30"/>
        <v xml:space="preserve"> </v>
      </c>
      <c r="D456" s="42"/>
      <c r="E456" s="42"/>
      <c r="J456" s="17">
        <f t="shared" si="33"/>
        <v>0</v>
      </c>
      <c r="K456" s="2" t="str">
        <f t="shared" si="34"/>
        <v xml:space="preserve"> </v>
      </c>
      <c r="L456" s="2" t="str">
        <f t="shared" si="31"/>
        <v xml:space="preserve"> </v>
      </c>
      <c r="M456" s="2" t="str">
        <f t="shared" si="32"/>
        <v xml:space="preserve"> </v>
      </c>
    </row>
    <row r="457" spans="1:13" x14ac:dyDescent="0.25">
      <c r="A457" s="43" t="str">
        <f t="shared" si="30"/>
        <v xml:space="preserve"> </v>
      </c>
      <c r="D457" s="42"/>
      <c r="E457" s="42"/>
      <c r="J457" s="17">
        <f t="shared" si="33"/>
        <v>0</v>
      </c>
      <c r="K457" s="2" t="str">
        <f t="shared" si="34"/>
        <v xml:space="preserve"> </v>
      </c>
      <c r="L457" s="2" t="str">
        <f t="shared" si="31"/>
        <v xml:space="preserve"> </v>
      </c>
      <c r="M457" s="2" t="str">
        <f t="shared" si="32"/>
        <v xml:space="preserve"> </v>
      </c>
    </row>
    <row r="458" spans="1:13" x14ac:dyDescent="0.25">
      <c r="A458" s="43" t="str">
        <f t="shared" si="30"/>
        <v xml:space="preserve"> </v>
      </c>
      <c r="D458" s="42"/>
      <c r="E458" s="42"/>
      <c r="J458" s="17">
        <f t="shared" si="33"/>
        <v>0</v>
      </c>
      <c r="K458" s="2" t="str">
        <f t="shared" si="34"/>
        <v xml:space="preserve"> </v>
      </c>
      <c r="L458" s="2" t="str">
        <f t="shared" si="31"/>
        <v xml:space="preserve"> </v>
      </c>
      <c r="M458" s="2" t="str">
        <f t="shared" si="32"/>
        <v xml:space="preserve"> </v>
      </c>
    </row>
    <row r="459" spans="1:13" x14ac:dyDescent="0.25">
      <c r="A459" s="43" t="str">
        <f t="shared" si="30"/>
        <v xml:space="preserve"> </v>
      </c>
      <c r="D459" s="42"/>
      <c r="E459" s="42"/>
      <c r="J459" s="17">
        <f t="shared" si="33"/>
        <v>0</v>
      </c>
      <c r="K459" s="2" t="str">
        <f t="shared" si="34"/>
        <v xml:space="preserve"> </v>
      </c>
      <c r="L459" s="2" t="str">
        <f t="shared" si="31"/>
        <v xml:space="preserve"> </v>
      </c>
      <c r="M459" s="2" t="str">
        <f t="shared" si="32"/>
        <v xml:space="preserve"> </v>
      </c>
    </row>
    <row r="460" spans="1:13" x14ac:dyDescent="0.25">
      <c r="A460" s="43" t="str">
        <f t="shared" si="30"/>
        <v xml:space="preserve"> </v>
      </c>
      <c r="D460" s="42"/>
      <c r="E460" s="42"/>
      <c r="J460" s="17">
        <f t="shared" si="33"/>
        <v>0</v>
      </c>
      <c r="K460" s="2" t="str">
        <f t="shared" si="34"/>
        <v xml:space="preserve"> </v>
      </c>
      <c r="L460" s="2" t="str">
        <f t="shared" si="31"/>
        <v xml:space="preserve"> </v>
      </c>
      <c r="M460" s="2" t="str">
        <f t="shared" si="32"/>
        <v xml:space="preserve"> </v>
      </c>
    </row>
    <row r="461" spans="1:13" x14ac:dyDescent="0.25">
      <c r="A461" s="43" t="str">
        <f t="shared" si="30"/>
        <v xml:space="preserve"> </v>
      </c>
      <c r="D461" s="42"/>
      <c r="E461" s="42"/>
      <c r="J461" s="17">
        <f t="shared" si="33"/>
        <v>0</v>
      </c>
      <c r="K461" s="2" t="str">
        <f t="shared" si="34"/>
        <v xml:space="preserve"> </v>
      </c>
      <c r="L461" s="2" t="str">
        <f t="shared" si="31"/>
        <v xml:space="preserve"> </v>
      </c>
      <c r="M461" s="2" t="str">
        <f t="shared" si="32"/>
        <v xml:space="preserve"> </v>
      </c>
    </row>
    <row r="462" spans="1:13" x14ac:dyDescent="0.25">
      <c r="A462" s="43" t="str">
        <f t="shared" si="30"/>
        <v xml:space="preserve"> </v>
      </c>
      <c r="D462" s="42"/>
      <c r="E462" s="42"/>
      <c r="J462" s="17">
        <f t="shared" si="33"/>
        <v>0</v>
      </c>
      <c r="K462" s="2" t="str">
        <f t="shared" si="34"/>
        <v xml:space="preserve"> </v>
      </c>
      <c r="L462" s="2" t="str">
        <f t="shared" si="31"/>
        <v xml:space="preserve"> </v>
      </c>
      <c r="M462" s="2" t="str">
        <f t="shared" si="32"/>
        <v xml:space="preserve"> </v>
      </c>
    </row>
    <row r="463" spans="1:13" x14ac:dyDescent="0.25">
      <c r="A463" s="43" t="str">
        <f t="shared" ref="A463:A482" si="35">IF(COUNTIF(K463:M463,"ERROR")&gt;0,"ERROR"," ")</f>
        <v xml:space="preserve"> </v>
      </c>
      <c r="D463" s="42"/>
      <c r="E463" s="42"/>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43" t="str">
        <f t="shared" si="35"/>
        <v xml:space="preserve"> </v>
      </c>
      <c r="D464" s="42"/>
      <c r="E464" s="42"/>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3" t="str">
        <f t="shared" si="35"/>
        <v xml:space="preserve"> </v>
      </c>
      <c r="D465" s="42"/>
      <c r="E465" s="42"/>
      <c r="J465" s="17">
        <f t="shared" si="38"/>
        <v>0</v>
      </c>
      <c r="K465" s="2" t="str">
        <f t="shared" si="39"/>
        <v xml:space="preserve"> </v>
      </c>
      <c r="L465" s="2" t="str">
        <f t="shared" si="36"/>
        <v xml:space="preserve"> </v>
      </c>
      <c r="M465" s="2" t="str">
        <f t="shared" si="37"/>
        <v xml:space="preserve"> </v>
      </c>
    </row>
    <row r="466" spans="1:13" x14ac:dyDescent="0.25">
      <c r="A466" s="43" t="str">
        <f t="shared" si="35"/>
        <v xml:space="preserve"> </v>
      </c>
      <c r="D466" s="42"/>
      <c r="E466" s="42"/>
      <c r="J466" s="17">
        <f t="shared" si="38"/>
        <v>0</v>
      </c>
      <c r="K466" s="2" t="str">
        <f t="shared" si="39"/>
        <v xml:space="preserve"> </v>
      </c>
      <c r="L466" s="2" t="str">
        <f t="shared" si="36"/>
        <v xml:space="preserve"> </v>
      </c>
      <c r="M466" s="2" t="str">
        <f t="shared" si="37"/>
        <v xml:space="preserve"> </v>
      </c>
    </row>
    <row r="467" spans="1:13" x14ac:dyDescent="0.25">
      <c r="A467" s="43" t="str">
        <f t="shared" si="35"/>
        <v xml:space="preserve"> </v>
      </c>
      <c r="D467" s="42"/>
      <c r="E467" s="42"/>
      <c r="J467" s="17">
        <f t="shared" si="38"/>
        <v>0</v>
      </c>
      <c r="K467" s="2" t="str">
        <f t="shared" si="39"/>
        <v xml:space="preserve"> </v>
      </c>
      <c r="L467" s="2" t="str">
        <f t="shared" si="36"/>
        <v xml:space="preserve"> </v>
      </c>
      <c r="M467" s="2" t="str">
        <f t="shared" si="37"/>
        <v xml:space="preserve"> </v>
      </c>
    </row>
    <row r="468" spans="1:13" x14ac:dyDescent="0.25">
      <c r="A468" s="43" t="str">
        <f t="shared" si="35"/>
        <v xml:space="preserve"> </v>
      </c>
      <c r="D468" s="42"/>
      <c r="E468" s="42"/>
      <c r="J468" s="17">
        <f t="shared" si="38"/>
        <v>0</v>
      </c>
      <c r="K468" s="2" t="str">
        <f t="shared" si="39"/>
        <v xml:space="preserve"> </v>
      </c>
      <c r="L468" s="2" t="str">
        <f t="shared" si="36"/>
        <v xml:space="preserve"> </v>
      </c>
      <c r="M468" s="2" t="str">
        <f t="shared" si="37"/>
        <v xml:space="preserve"> </v>
      </c>
    </row>
    <row r="469" spans="1:13" x14ac:dyDescent="0.25">
      <c r="A469" s="43" t="str">
        <f t="shared" si="35"/>
        <v xml:space="preserve"> </v>
      </c>
      <c r="D469" s="42"/>
      <c r="E469" s="42"/>
      <c r="J469" s="17">
        <f t="shared" si="38"/>
        <v>0</v>
      </c>
      <c r="K469" s="2" t="str">
        <f t="shared" si="39"/>
        <v xml:space="preserve"> </v>
      </c>
      <c r="L469" s="2" t="str">
        <f t="shared" si="36"/>
        <v xml:space="preserve"> </v>
      </c>
      <c r="M469" s="2" t="str">
        <f t="shared" si="37"/>
        <v xml:space="preserve"> </v>
      </c>
    </row>
    <row r="470" spans="1:13" x14ac:dyDescent="0.25">
      <c r="A470" s="43" t="str">
        <f t="shared" si="35"/>
        <v xml:space="preserve"> </v>
      </c>
      <c r="D470" s="42"/>
      <c r="E470" s="42"/>
      <c r="J470" s="17">
        <f t="shared" si="38"/>
        <v>0</v>
      </c>
      <c r="K470" s="2" t="str">
        <f t="shared" si="39"/>
        <v xml:space="preserve"> </v>
      </c>
      <c r="L470" s="2" t="str">
        <f t="shared" si="36"/>
        <v xml:space="preserve"> </v>
      </c>
      <c r="M470" s="2" t="str">
        <f t="shared" si="37"/>
        <v xml:space="preserve"> </v>
      </c>
    </row>
    <row r="471" spans="1:13" x14ac:dyDescent="0.25">
      <c r="A471" s="43" t="str">
        <f t="shared" si="35"/>
        <v xml:space="preserve"> </v>
      </c>
      <c r="D471" s="42"/>
      <c r="E471" s="42"/>
      <c r="J471" s="17">
        <f t="shared" si="38"/>
        <v>0</v>
      </c>
      <c r="K471" s="2" t="str">
        <f t="shared" si="39"/>
        <v xml:space="preserve"> </v>
      </c>
      <c r="L471" s="2" t="str">
        <f t="shared" si="36"/>
        <v xml:space="preserve"> </v>
      </c>
      <c r="M471" s="2" t="str">
        <f t="shared" si="37"/>
        <v xml:space="preserve"> </v>
      </c>
    </row>
    <row r="472" spans="1:13" x14ac:dyDescent="0.25">
      <c r="A472" s="43" t="str">
        <f t="shared" si="35"/>
        <v xml:space="preserve"> </v>
      </c>
      <c r="D472" s="42"/>
      <c r="E472" s="42"/>
      <c r="J472" s="17">
        <f t="shared" si="38"/>
        <v>0</v>
      </c>
      <c r="K472" s="2" t="str">
        <f t="shared" si="39"/>
        <v xml:space="preserve"> </v>
      </c>
      <c r="L472" s="2" t="str">
        <f t="shared" si="36"/>
        <v xml:space="preserve"> </v>
      </c>
      <c r="M472" s="2" t="str">
        <f t="shared" si="37"/>
        <v xml:space="preserve"> </v>
      </c>
    </row>
    <row r="473" spans="1:13" x14ac:dyDescent="0.25">
      <c r="A473" s="43" t="str">
        <f t="shared" si="35"/>
        <v xml:space="preserve"> </v>
      </c>
      <c r="D473" s="42"/>
      <c r="E473" s="42"/>
      <c r="J473" s="17">
        <f t="shared" si="38"/>
        <v>0</v>
      </c>
      <c r="K473" s="2" t="str">
        <f t="shared" si="39"/>
        <v xml:space="preserve"> </v>
      </c>
      <c r="L473" s="2" t="str">
        <f t="shared" si="36"/>
        <v xml:space="preserve"> </v>
      </c>
      <c r="M473" s="2" t="str">
        <f t="shared" si="37"/>
        <v xml:space="preserve"> </v>
      </c>
    </row>
    <row r="474" spans="1:13" x14ac:dyDescent="0.25">
      <c r="A474" s="43" t="str">
        <f t="shared" si="35"/>
        <v xml:space="preserve"> </v>
      </c>
      <c r="D474" s="42"/>
      <c r="E474" s="42"/>
      <c r="J474" s="17">
        <f t="shared" si="38"/>
        <v>0</v>
      </c>
      <c r="K474" s="2" t="str">
        <f t="shared" si="39"/>
        <v xml:space="preserve"> </v>
      </c>
      <c r="L474" s="2" t="str">
        <f t="shared" si="36"/>
        <v xml:space="preserve"> </v>
      </c>
      <c r="M474" s="2" t="str">
        <f t="shared" si="37"/>
        <v xml:space="preserve"> </v>
      </c>
    </row>
    <row r="475" spans="1:13" x14ac:dyDescent="0.25">
      <c r="A475" s="43" t="str">
        <f t="shared" si="35"/>
        <v xml:space="preserve"> </v>
      </c>
      <c r="D475" s="42"/>
      <c r="E475" s="42"/>
      <c r="J475" s="17">
        <f t="shared" si="38"/>
        <v>0</v>
      </c>
      <c r="K475" s="2" t="str">
        <f t="shared" si="39"/>
        <v xml:space="preserve"> </v>
      </c>
      <c r="L475" s="2" t="str">
        <f t="shared" si="36"/>
        <v xml:space="preserve"> </v>
      </c>
      <c r="M475" s="2" t="str">
        <f t="shared" si="37"/>
        <v xml:space="preserve"> </v>
      </c>
    </row>
    <row r="476" spans="1:13" x14ac:dyDescent="0.25">
      <c r="A476" s="43" t="str">
        <f t="shared" si="35"/>
        <v xml:space="preserve"> </v>
      </c>
      <c r="D476" s="42"/>
      <c r="E476" s="42"/>
      <c r="J476" s="17">
        <f t="shared" si="38"/>
        <v>0</v>
      </c>
      <c r="K476" s="2" t="str">
        <f t="shared" si="39"/>
        <v xml:space="preserve"> </v>
      </c>
      <c r="L476" s="2" t="str">
        <f t="shared" si="36"/>
        <v xml:space="preserve"> </v>
      </c>
      <c r="M476" s="2" t="str">
        <f t="shared" si="37"/>
        <v xml:space="preserve"> </v>
      </c>
    </row>
    <row r="477" spans="1:13" x14ac:dyDescent="0.25">
      <c r="A477" s="43" t="str">
        <f t="shared" si="35"/>
        <v xml:space="preserve"> </v>
      </c>
      <c r="D477" s="42"/>
      <c r="E477" s="42"/>
      <c r="J477" s="17">
        <f t="shared" si="38"/>
        <v>0</v>
      </c>
      <c r="K477" s="2" t="str">
        <f t="shared" si="39"/>
        <v xml:space="preserve"> </v>
      </c>
      <c r="L477" s="2" t="str">
        <f t="shared" si="36"/>
        <v xml:space="preserve"> </v>
      </c>
      <c r="M477" s="2" t="str">
        <f t="shared" si="37"/>
        <v xml:space="preserve"> </v>
      </c>
    </row>
    <row r="478" spans="1:13" x14ac:dyDescent="0.25">
      <c r="A478" s="43" t="str">
        <f t="shared" si="35"/>
        <v xml:space="preserve"> </v>
      </c>
      <c r="D478" s="42"/>
      <c r="E478" s="42"/>
      <c r="J478" s="17">
        <f t="shared" si="38"/>
        <v>0</v>
      </c>
      <c r="K478" s="2" t="str">
        <f t="shared" si="39"/>
        <v xml:space="preserve"> </v>
      </c>
      <c r="L478" s="2" t="str">
        <f t="shared" si="36"/>
        <v xml:space="preserve"> </v>
      </c>
      <c r="M478" s="2" t="str">
        <f t="shared" si="37"/>
        <v xml:space="preserve"> </v>
      </c>
    </row>
    <row r="479" spans="1:13" x14ac:dyDescent="0.25">
      <c r="A479" s="43" t="str">
        <f t="shared" si="35"/>
        <v xml:space="preserve"> </v>
      </c>
      <c r="D479" s="42"/>
      <c r="E479" s="42"/>
      <c r="J479" s="17">
        <f t="shared" si="38"/>
        <v>0</v>
      </c>
      <c r="K479" s="2" t="str">
        <f t="shared" si="39"/>
        <v xml:space="preserve"> </v>
      </c>
      <c r="L479" s="2" t="str">
        <f t="shared" si="36"/>
        <v xml:space="preserve"> </v>
      </c>
      <c r="M479" s="2" t="str">
        <f t="shared" si="37"/>
        <v xml:space="preserve"> </v>
      </c>
    </row>
    <row r="480" spans="1:13" x14ac:dyDescent="0.25">
      <c r="A480" s="43" t="str">
        <f t="shared" si="35"/>
        <v xml:space="preserve"> </v>
      </c>
      <c r="D480" s="42"/>
      <c r="E480" s="42"/>
      <c r="J480" s="17">
        <f t="shared" si="38"/>
        <v>0</v>
      </c>
      <c r="K480" s="2" t="str">
        <f t="shared" si="39"/>
        <v xml:space="preserve"> </v>
      </c>
      <c r="L480" s="2" t="str">
        <f t="shared" si="36"/>
        <v xml:space="preserve"> </v>
      </c>
      <c r="M480" s="2" t="str">
        <f t="shared" si="37"/>
        <v xml:space="preserve"> </v>
      </c>
    </row>
    <row r="481" spans="1:13" x14ac:dyDescent="0.25">
      <c r="A481" s="43" t="str">
        <f t="shared" si="35"/>
        <v xml:space="preserve"> </v>
      </c>
      <c r="D481" s="42"/>
      <c r="E481" s="42"/>
      <c r="J481" s="17">
        <f t="shared" si="38"/>
        <v>0</v>
      </c>
      <c r="K481" s="2" t="str">
        <f t="shared" si="39"/>
        <v xml:space="preserve"> </v>
      </c>
      <c r="L481" s="2" t="str">
        <f t="shared" si="36"/>
        <v xml:space="preserve"> </v>
      </c>
      <c r="M481" s="2" t="str">
        <f t="shared" si="37"/>
        <v xml:space="preserve"> </v>
      </c>
    </row>
    <row r="482" spans="1:13" x14ac:dyDescent="0.25">
      <c r="A482" s="43" t="str">
        <f t="shared" si="35"/>
        <v xml:space="preserve"> </v>
      </c>
      <c r="D482" s="42"/>
      <c r="E482" s="42"/>
      <c r="J482" s="17">
        <f t="shared" si="38"/>
        <v>0</v>
      </c>
      <c r="K482" s="2" t="str">
        <f t="shared" si="39"/>
        <v xml:space="preserve"> </v>
      </c>
      <c r="L482" s="2" t="str">
        <f t="shared" si="36"/>
        <v xml:space="preserve"> </v>
      </c>
      <c r="M482" s="2" t="str">
        <f t="shared" si="37"/>
        <v xml:space="preserve"> </v>
      </c>
    </row>
    <row r="483" spans="1:13" x14ac:dyDescent="0.25">
      <c r="A483" s="43"/>
    </row>
    <row r="484" spans="1:13" ht="16.5" thickBot="1" x14ac:dyDescent="0.3">
      <c r="A484" s="43"/>
      <c r="F484" s="19">
        <f>SUM(F14:F483)</f>
        <v>0</v>
      </c>
      <c r="G484" s="19">
        <f>SUM(G14:G483)</f>
        <v>0</v>
      </c>
      <c r="H484" s="19">
        <f>SUM(H14:H483)</f>
        <v>0</v>
      </c>
      <c r="I484" s="19">
        <f>SUM(I14:I483)</f>
        <v>0</v>
      </c>
    </row>
    <row r="485" spans="1:13" ht="16.5" thickTop="1" x14ac:dyDescent="0.25">
      <c r="A485" s="43"/>
    </row>
    <row r="486" spans="1:13" x14ac:dyDescent="0.25">
      <c r="A486" s="43"/>
      <c r="C486" s="2" t="s">
        <v>354</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1"/>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4" customWidth="1"/>
    <col min="3" max="3" width="46.42578125" style="15" bestFit="1" customWidth="1"/>
    <col min="4" max="5" width="15.42578125" style="16" bestFit="1" customWidth="1"/>
    <col min="6" max="6" width="15.42578125" style="16" customWidth="1"/>
    <col min="7" max="7" width="13.7109375" style="16" customWidth="1"/>
    <col min="8" max="8" width="15.28515625" style="16" bestFit="1" customWidth="1"/>
    <col min="9" max="9" width="16" style="85" customWidth="1"/>
    <col min="10" max="10" width="3.85546875" style="85" customWidth="1"/>
    <col min="11" max="11" width="16.140625" bestFit="1" customWidth="1"/>
    <col min="12" max="12" width="4.140625" customWidth="1"/>
    <col min="13" max="13" width="8.85546875" customWidth="1"/>
    <col min="14" max="14" width="15.28515625" style="51" bestFit="1" customWidth="1"/>
    <col min="15" max="15" width="14.28515625" bestFit="1" customWidth="1"/>
    <col min="16" max="17" width="13.140625" bestFit="1" customWidth="1"/>
    <col min="18" max="18" width="13.85546875" bestFit="1" customWidth="1"/>
  </cols>
  <sheetData>
    <row r="1" spans="1:18" x14ac:dyDescent="0.2">
      <c r="A1" s="413"/>
      <c r="B1" s="414"/>
      <c r="C1" s="444">
        <f>Criteria!E16</f>
        <v>0</v>
      </c>
      <c r="D1" s="440"/>
      <c r="E1" s="440"/>
      <c r="F1" s="415"/>
      <c r="G1" s="416" t="s">
        <v>202</v>
      </c>
      <c r="H1" s="416"/>
      <c r="I1" s="417">
        <f>Criteria!E22</f>
        <v>2024</v>
      </c>
      <c r="J1" s="417"/>
      <c r="K1" s="417">
        <f>Criteria!E27</f>
        <v>2023</v>
      </c>
      <c r="L1" s="414"/>
      <c r="M1" s="414"/>
      <c r="N1" s="400" t="s">
        <v>415</v>
      </c>
      <c r="O1" s="71"/>
      <c r="P1" s="71"/>
    </row>
    <row r="2" spans="1:18" x14ac:dyDescent="0.2">
      <c r="A2" s="418" t="s">
        <v>1437</v>
      </c>
      <c r="B2" s="414"/>
      <c r="C2" s="414"/>
      <c r="D2" s="715">
        <f>D403-E403</f>
        <v>0</v>
      </c>
      <c r="E2" s="715"/>
      <c r="F2" s="420" t="s">
        <v>521</v>
      </c>
      <c r="G2" s="415">
        <f>G403</f>
        <v>0</v>
      </c>
      <c r="H2" s="415">
        <f>D2-E2</f>
        <v>0</v>
      </c>
      <c r="I2" s="423">
        <f>I403</f>
        <v>0</v>
      </c>
      <c r="J2" s="423"/>
      <c r="K2" s="424">
        <f>K403</f>
        <v>0</v>
      </c>
      <c r="L2" s="414"/>
      <c r="M2" s="414"/>
      <c r="N2" s="424">
        <f>SUM(I5:I164)</f>
        <v>0</v>
      </c>
      <c r="O2" s="72"/>
      <c r="P2" s="72"/>
    </row>
    <row r="3" spans="1:18" x14ac:dyDescent="0.2">
      <c r="A3" s="418" t="s">
        <v>727</v>
      </c>
      <c r="B3" s="445" t="s">
        <v>283</v>
      </c>
      <c r="C3" s="425" t="s">
        <v>284</v>
      </c>
      <c r="D3" s="418" t="s">
        <v>285</v>
      </c>
      <c r="E3" s="418" t="s">
        <v>286</v>
      </c>
      <c r="F3" s="426" t="s">
        <v>166</v>
      </c>
      <c r="G3" s="413"/>
      <c r="H3" s="413"/>
      <c r="I3" s="428"/>
      <c r="J3" s="428"/>
      <c r="K3" s="414"/>
      <c r="L3" s="414"/>
      <c r="M3" s="414"/>
      <c r="N3" s="396"/>
    </row>
    <row r="4" spans="1:18" x14ac:dyDescent="0.2">
      <c r="A4" s="166"/>
      <c r="B4" s="114" t="s">
        <v>287</v>
      </c>
      <c r="C4" s="397" t="s">
        <v>137</v>
      </c>
      <c r="D4" s="92"/>
      <c r="E4" s="60"/>
      <c r="F4" s="60"/>
      <c r="G4" s="47"/>
      <c r="H4" s="47"/>
      <c r="I4" s="68"/>
      <c r="J4" s="68"/>
      <c r="K4" s="55" t="s">
        <v>284</v>
      </c>
      <c r="N4" s="52"/>
    </row>
    <row r="5" spans="1:18" x14ac:dyDescent="0.2">
      <c r="A5" s="394"/>
      <c r="B5" s="13" t="s">
        <v>288</v>
      </c>
      <c r="C5" s="398" t="s">
        <v>1308</v>
      </c>
      <c r="D5" s="438"/>
      <c r="E5" s="435"/>
      <c r="F5" s="88"/>
      <c r="G5" s="56">
        <f>SUMIF(JournalsC!D$14:D$920,TrialBalanceC!M5,JournalsC!J$14:J$920)+SUMIF(JournalsC!E$14:E$920,TrialBalanceC!M5,JournalsC!J$14:J$920)</f>
        <v>0</v>
      </c>
      <c r="H5" s="443"/>
      <c r="I5" s="448">
        <f t="shared" ref="I5:I72" si="0">ROUND(D5-E5+G5+F5,0)</f>
        <v>0</v>
      </c>
      <c r="J5" s="84"/>
      <c r="K5" s="57">
        <f t="shared" ref="K5:K72" si="1">ROUND(SUM(A5),0)</f>
        <v>0</v>
      </c>
      <c r="M5" s="197" t="str">
        <f t="shared" ref="M5:M72" si="2">CONCATENATE(B5,C5)</f>
        <v>1000/001Sale of goods</v>
      </c>
      <c r="N5" s="79"/>
      <c r="P5" s="80"/>
      <c r="Q5" s="60"/>
      <c r="R5" s="34"/>
    </row>
    <row r="6" spans="1:18" x14ac:dyDescent="0.2">
      <c r="A6" s="394"/>
      <c r="B6" s="114" t="s">
        <v>289</v>
      </c>
      <c r="C6" s="398" t="s">
        <v>1309</v>
      </c>
      <c r="D6" s="438"/>
      <c r="E6" s="435"/>
      <c r="F6" s="88"/>
      <c r="G6" s="56">
        <f>SUMIF(JournalsC!D$14:D$920,TrialBalanceC!M6,JournalsC!J$14:J$920)+SUMIF(JournalsC!E$14:E$920,TrialBalanceC!M6,JournalsC!J$14:J$920)</f>
        <v>0</v>
      </c>
      <c r="H6" s="443"/>
      <c r="I6" s="448">
        <f t="shared" ref="I6:I9" si="3">ROUND(D6-E6+G6+F6,0)</f>
        <v>0</v>
      </c>
      <c r="J6" s="84"/>
      <c r="K6" s="57">
        <f t="shared" ref="K6:K9" si="4">ROUND(SUM(A6),0)</f>
        <v>0</v>
      </c>
      <c r="M6" s="197" t="str">
        <f t="shared" ref="M6:M9" si="5">CONCATENATE(B6,C6)</f>
        <v>1000/002Rendering of services</v>
      </c>
      <c r="N6" s="79"/>
      <c r="P6" s="80"/>
      <c r="Q6" s="60"/>
      <c r="R6" s="34"/>
    </row>
    <row r="7" spans="1:18" x14ac:dyDescent="0.2">
      <c r="A7" s="394"/>
      <c r="B7" s="114" t="s">
        <v>290</v>
      </c>
      <c r="C7" s="398" t="s">
        <v>1310</v>
      </c>
      <c r="D7" s="438"/>
      <c r="E7" s="435"/>
      <c r="F7" s="88"/>
      <c r="G7" s="56">
        <f>SUMIF(JournalsC!D$14:D$920,TrialBalanceC!M7,JournalsC!J$14:J$920)+SUMIF(JournalsC!E$14:E$920,TrialBalanceC!M7,JournalsC!J$14:J$920)</f>
        <v>0</v>
      </c>
      <c r="H7" s="443"/>
      <c r="I7" s="448">
        <f t="shared" si="3"/>
        <v>0</v>
      </c>
      <c r="J7" s="84"/>
      <c r="K7" s="57">
        <f t="shared" si="4"/>
        <v>0</v>
      </c>
      <c r="M7" s="197" t="str">
        <f t="shared" si="5"/>
        <v>1000/003Commissions received</v>
      </c>
      <c r="N7" s="79"/>
      <c r="P7" s="80"/>
      <c r="Q7" s="60"/>
      <c r="R7" s="34"/>
    </row>
    <row r="8" spans="1:18" x14ac:dyDescent="0.2">
      <c r="A8" s="394"/>
      <c r="B8" s="114" t="s">
        <v>1311</v>
      </c>
      <c r="C8" s="430">
        <f>TrialBalance!C8</f>
        <v>0</v>
      </c>
      <c r="D8" s="438"/>
      <c r="E8" s="435"/>
      <c r="F8" s="88"/>
      <c r="G8" s="56">
        <f>SUMIF(JournalsC!D$14:D$920,TrialBalanceC!M8,JournalsC!J$14:J$920)+SUMIF(JournalsC!E$14:E$920,TrialBalanceC!M8,JournalsC!J$14:J$920)</f>
        <v>0</v>
      </c>
      <c r="H8" s="443"/>
      <c r="I8" s="448">
        <f t="shared" si="3"/>
        <v>0</v>
      </c>
      <c r="J8" s="84"/>
      <c r="K8" s="57">
        <f t="shared" si="4"/>
        <v>0</v>
      </c>
      <c r="M8" s="197" t="str">
        <f t="shared" si="5"/>
        <v>1000/0040</v>
      </c>
      <c r="N8" s="79"/>
      <c r="P8" s="80"/>
      <c r="Q8" s="60"/>
      <c r="R8" s="34"/>
    </row>
    <row r="9" spans="1:18" x14ac:dyDescent="0.2">
      <c r="A9" s="394"/>
      <c r="B9" s="114" t="s">
        <v>1312</v>
      </c>
      <c r="C9" s="430">
        <f>TrialBalance!C9</f>
        <v>0</v>
      </c>
      <c r="D9" s="438"/>
      <c r="E9" s="435"/>
      <c r="F9" s="88"/>
      <c r="G9" s="56">
        <f>SUMIF(JournalsC!D$14:D$920,TrialBalanceC!M9,JournalsC!J$14:J$920)+SUMIF(JournalsC!E$14:E$920,TrialBalanceC!M9,JournalsC!J$14:J$920)</f>
        <v>0</v>
      </c>
      <c r="H9" s="443"/>
      <c r="I9" s="448">
        <f t="shared" si="3"/>
        <v>0</v>
      </c>
      <c r="J9" s="84"/>
      <c r="K9" s="57">
        <f t="shared" si="4"/>
        <v>0</v>
      </c>
      <c r="M9" s="197" t="str">
        <f t="shared" si="5"/>
        <v>1000/0050</v>
      </c>
      <c r="N9" s="79"/>
      <c r="P9" s="80"/>
      <c r="Q9" s="60"/>
      <c r="R9" s="34"/>
    </row>
    <row r="10" spans="1:18" x14ac:dyDescent="0.2">
      <c r="A10" s="394"/>
      <c r="B10" s="114" t="s">
        <v>1313</v>
      </c>
      <c r="C10" s="430">
        <f>TrialBalance!C10</f>
        <v>0</v>
      </c>
      <c r="D10" s="436"/>
      <c r="E10" s="435"/>
      <c r="F10" s="88"/>
      <c r="G10" s="56">
        <f>SUMIF(JournalsC!D$14:D$920,TrialBalanceC!M10,JournalsC!J$14:J$920)+SUMIF(JournalsC!E$14:E$920,TrialBalanceC!M10,JournalsC!J$14:J$920)</f>
        <v>0</v>
      </c>
      <c r="H10" s="443"/>
      <c r="I10" s="448">
        <f t="shared" si="0"/>
        <v>0</v>
      </c>
      <c r="J10" s="84"/>
      <c r="K10" s="57">
        <f t="shared" si="1"/>
        <v>0</v>
      </c>
      <c r="M10" s="197" t="str">
        <f t="shared" si="2"/>
        <v>1000/0060</v>
      </c>
      <c r="N10" s="79"/>
      <c r="P10" s="80"/>
      <c r="Q10" s="60"/>
      <c r="R10" s="34"/>
    </row>
    <row r="11" spans="1:18" x14ac:dyDescent="0.2">
      <c r="A11" s="394"/>
      <c r="B11" s="114" t="s">
        <v>1314</v>
      </c>
      <c r="C11" s="396" t="s">
        <v>433</v>
      </c>
      <c r="D11" s="435"/>
      <c r="E11" s="435"/>
      <c r="F11" s="88"/>
      <c r="G11" s="56">
        <f>SUMIF(JournalsC!D$14:D$920,TrialBalanceC!M11,JournalsC!J$14:J$920)+SUMIF(JournalsC!E$14:E$920,TrialBalanceC!M11,JournalsC!J$14:J$920)</f>
        <v>0</v>
      </c>
      <c r="H11" s="443"/>
      <c r="I11" s="448">
        <f t="shared" si="0"/>
        <v>0</v>
      </c>
      <c r="J11" s="84"/>
      <c r="K11" s="57">
        <f t="shared" si="1"/>
        <v>0</v>
      </c>
      <c r="M11" s="197" t="str">
        <f t="shared" si="2"/>
        <v>1000/007Rent received</v>
      </c>
      <c r="N11" s="79"/>
      <c r="P11" s="80"/>
      <c r="Q11" s="60"/>
      <c r="R11" s="34"/>
    </row>
    <row r="12" spans="1:18" x14ac:dyDescent="0.2">
      <c r="A12" s="394"/>
      <c r="B12" s="63" t="s">
        <v>291</v>
      </c>
      <c r="C12" s="397" t="s">
        <v>138</v>
      </c>
      <c r="D12" s="437"/>
      <c r="E12" s="435"/>
      <c r="F12" s="88"/>
      <c r="G12" s="56">
        <f>SUMIF(JournalsC!D$14:D$920,TrialBalanceC!M12,JournalsC!J$14:J$920)+SUMIF(JournalsC!E$14:E$920,TrialBalanceC!M12,JournalsC!J$14:J$920)</f>
        <v>0</v>
      </c>
      <c r="H12" s="443"/>
      <c r="I12" s="448">
        <f t="shared" si="0"/>
        <v>0</v>
      </c>
      <c r="J12" s="84"/>
      <c r="K12" s="57">
        <f t="shared" si="1"/>
        <v>0</v>
      </c>
      <c r="M12" s="197" t="str">
        <f t="shared" si="2"/>
        <v>2000/000COST OF SALES</v>
      </c>
      <c r="N12" s="79"/>
      <c r="P12" s="80"/>
      <c r="Q12" s="60"/>
      <c r="R12" s="34"/>
    </row>
    <row r="13" spans="1:18" x14ac:dyDescent="0.2">
      <c r="A13" s="394"/>
      <c r="B13" s="63" t="s">
        <v>292</v>
      </c>
      <c r="C13" s="398" t="s">
        <v>773</v>
      </c>
      <c r="D13" s="438"/>
      <c r="E13" s="435"/>
      <c r="F13" s="88"/>
      <c r="G13" s="56">
        <f>SUMIF(JournalsC!D$14:D$920,TrialBalanceC!M13,JournalsC!J$14:J$920)+SUMIF(JournalsC!E$14:E$920,TrialBalanceC!M13,JournalsC!J$14:J$920)</f>
        <v>0</v>
      </c>
      <c r="H13" s="443"/>
      <c r="I13" s="448">
        <f t="shared" si="0"/>
        <v>0</v>
      </c>
      <c r="J13" s="84"/>
      <c r="K13" s="57">
        <f t="shared" si="1"/>
        <v>0</v>
      </c>
      <c r="M13" s="197" t="str">
        <f t="shared" si="2"/>
        <v>2000/001Opening stock - Raw materials</v>
      </c>
      <c r="N13" s="79"/>
      <c r="P13" s="80"/>
      <c r="Q13" s="60"/>
      <c r="R13" s="34"/>
    </row>
    <row r="14" spans="1:18" x14ac:dyDescent="0.2">
      <c r="A14" s="394"/>
      <c r="B14" s="63" t="s">
        <v>462</v>
      </c>
      <c r="C14" s="395" t="s">
        <v>463</v>
      </c>
      <c r="D14" s="436"/>
      <c r="E14" s="435"/>
      <c r="F14" s="88"/>
      <c r="G14" s="56">
        <f>SUMIF(JournalsC!D$14:D$920,TrialBalanceC!M14,JournalsC!J$14:J$920)+SUMIF(JournalsC!E$14:E$920,TrialBalanceC!M14,JournalsC!J$14:J$920)</f>
        <v>0</v>
      </c>
      <c r="H14" s="443"/>
      <c r="I14" s="448">
        <f t="shared" si="0"/>
        <v>0</v>
      </c>
      <c r="J14" s="84"/>
      <c r="K14" s="57">
        <f t="shared" si="1"/>
        <v>0</v>
      </c>
      <c r="M14" s="197" t="str">
        <f t="shared" si="2"/>
        <v>2000/002Opening stock - WIP</v>
      </c>
      <c r="N14" s="79"/>
      <c r="P14" s="80"/>
      <c r="Q14" s="60"/>
      <c r="R14" s="34"/>
    </row>
    <row r="15" spans="1:18" x14ac:dyDescent="0.2">
      <c r="A15" s="394"/>
      <c r="B15" s="63" t="s">
        <v>464</v>
      </c>
      <c r="C15" s="395" t="s">
        <v>465</v>
      </c>
      <c r="D15" s="436"/>
      <c r="E15" s="435"/>
      <c r="F15" s="88"/>
      <c r="G15" s="56">
        <f>SUMIF(JournalsC!D$14:D$920,TrialBalanceC!M15,JournalsC!J$14:J$920)+SUMIF(JournalsC!E$14:E$920,TrialBalanceC!M15,JournalsC!J$14:J$920)</f>
        <v>0</v>
      </c>
      <c r="H15" s="443"/>
      <c r="I15" s="448">
        <f t="shared" si="0"/>
        <v>0</v>
      </c>
      <c r="J15" s="84"/>
      <c r="K15" s="57">
        <f t="shared" si="1"/>
        <v>0</v>
      </c>
      <c r="M15" s="197" t="str">
        <f t="shared" si="2"/>
        <v>2000/003Opening stock - Finished goods</v>
      </c>
      <c r="N15" s="79"/>
      <c r="P15" s="80"/>
      <c r="Q15" s="60"/>
      <c r="R15" s="34"/>
    </row>
    <row r="16" spans="1:18" x14ac:dyDescent="0.2">
      <c r="A16" s="394"/>
      <c r="B16" s="63" t="s">
        <v>466</v>
      </c>
      <c r="C16" s="395" t="s">
        <v>467</v>
      </c>
      <c r="D16" s="436"/>
      <c r="E16" s="435"/>
      <c r="F16" s="88"/>
      <c r="G16" s="56">
        <f>SUMIF(JournalsC!D$14:D$920,TrialBalanceC!M16,JournalsC!J$14:J$920)+SUMIF(JournalsC!E$14:E$920,TrialBalanceC!M16,JournalsC!J$14:J$920)</f>
        <v>0</v>
      </c>
      <c r="H16" s="443"/>
      <c r="I16" s="448">
        <f t="shared" si="0"/>
        <v>0</v>
      </c>
      <c r="J16" s="84"/>
      <c r="K16" s="57">
        <f t="shared" si="1"/>
        <v>0</v>
      </c>
      <c r="M16" s="197" t="str">
        <f t="shared" si="2"/>
        <v>2000/004Opening stock - Trading stock</v>
      </c>
      <c r="N16" s="79"/>
      <c r="P16" s="80"/>
      <c r="Q16" s="60"/>
      <c r="R16" s="34"/>
    </row>
    <row r="17" spans="1:18" x14ac:dyDescent="0.2">
      <c r="A17" s="394"/>
      <c r="B17" s="13" t="s">
        <v>468</v>
      </c>
      <c r="C17" s="395" t="s">
        <v>334</v>
      </c>
      <c r="D17" s="436"/>
      <c r="E17" s="435"/>
      <c r="F17" s="88"/>
      <c r="G17" s="56">
        <f>SUMIF(JournalsC!D$14:D$920,TrialBalanceC!M17,JournalsC!J$14:J$920)+SUMIF(JournalsC!E$14:E$920,TrialBalanceC!M17,JournalsC!J$14:J$920)</f>
        <v>0</v>
      </c>
      <c r="H17" s="443"/>
      <c r="I17" s="448">
        <f t="shared" si="0"/>
        <v>0</v>
      </c>
      <c r="J17" s="84"/>
      <c r="K17" s="57">
        <f t="shared" si="1"/>
        <v>0</v>
      </c>
      <c r="M17" s="197" t="str">
        <f t="shared" si="2"/>
        <v>2000/010Purchases</v>
      </c>
      <c r="N17" s="79"/>
      <c r="P17" s="80"/>
      <c r="Q17" s="60"/>
      <c r="R17" s="34"/>
    </row>
    <row r="18" spans="1:18" x14ac:dyDescent="0.2">
      <c r="A18" s="394"/>
      <c r="B18" s="13" t="s">
        <v>469</v>
      </c>
      <c r="C18" s="430"/>
      <c r="D18" s="435"/>
      <c r="E18" s="435"/>
      <c r="F18" s="88"/>
      <c r="G18" s="56">
        <f>SUMIF(JournalsC!D$14:D$920,TrialBalanceC!M18,JournalsC!J$14:J$920)+SUMIF(JournalsC!E$14:E$920,TrialBalanceC!M18,JournalsC!J$14:J$920)</f>
        <v>0</v>
      </c>
      <c r="H18" s="443"/>
      <c r="I18" s="448">
        <f t="shared" si="0"/>
        <v>0</v>
      </c>
      <c r="J18" s="84"/>
      <c r="K18" s="57">
        <f t="shared" si="1"/>
        <v>0</v>
      </c>
      <c r="M18" s="197" t="str">
        <f t="shared" si="2"/>
        <v>2000/011</v>
      </c>
      <c r="N18" s="79"/>
      <c r="O18" s="34"/>
      <c r="P18" s="80"/>
      <c r="Q18" s="60"/>
      <c r="R18" s="34"/>
    </row>
    <row r="19" spans="1:18" x14ac:dyDescent="0.2">
      <c r="A19" s="394"/>
      <c r="B19" s="63" t="s">
        <v>470</v>
      </c>
      <c r="C19" s="430"/>
      <c r="D19" s="428"/>
      <c r="E19" s="435"/>
      <c r="F19" s="88"/>
      <c r="G19" s="56">
        <f>SUMIF(JournalsC!D$14:D$920,TrialBalanceC!M19,JournalsC!J$14:J$920)+SUMIF(JournalsC!E$14:E$920,TrialBalanceC!M19,JournalsC!J$14:J$920)</f>
        <v>0</v>
      </c>
      <c r="H19" s="443"/>
      <c r="I19" s="448">
        <f t="shared" si="0"/>
        <v>0</v>
      </c>
      <c r="J19" s="84"/>
      <c r="K19" s="57">
        <f t="shared" si="1"/>
        <v>0</v>
      </c>
      <c r="M19" s="197" t="str">
        <f t="shared" si="2"/>
        <v>2000/012</v>
      </c>
      <c r="N19" s="79"/>
      <c r="P19" s="80"/>
      <c r="Q19" s="60"/>
      <c r="R19" s="34"/>
    </row>
    <row r="20" spans="1:18" x14ac:dyDescent="0.2">
      <c r="A20" s="394"/>
      <c r="B20" s="63" t="s">
        <v>471</v>
      </c>
      <c r="C20" s="431"/>
      <c r="D20" s="428"/>
      <c r="E20" s="435"/>
      <c r="F20" s="88"/>
      <c r="G20" s="56">
        <f>SUMIF(JournalsC!D$14:D$920,TrialBalanceC!M20,JournalsC!J$14:J$920)+SUMIF(JournalsC!E$14:E$920,TrialBalanceC!M20,JournalsC!J$14:J$920)</f>
        <v>0</v>
      </c>
      <c r="H20" s="443"/>
      <c r="I20" s="448">
        <f t="shared" si="0"/>
        <v>0</v>
      </c>
      <c r="J20" s="84"/>
      <c r="K20" s="57">
        <f t="shared" si="1"/>
        <v>0</v>
      </c>
      <c r="M20" s="197" t="str">
        <f t="shared" si="2"/>
        <v>2000/013</v>
      </c>
      <c r="N20" s="79"/>
      <c r="P20" s="80"/>
      <c r="Q20" s="60"/>
      <c r="R20" s="34"/>
    </row>
    <row r="21" spans="1:18" x14ac:dyDescent="0.2">
      <c r="A21" s="394"/>
      <c r="B21" s="63" t="s">
        <v>472</v>
      </c>
      <c r="C21" s="431"/>
      <c r="D21" s="428"/>
      <c r="E21" s="435"/>
      <c r="F21" s="88"/>
      <c r="G21" s="56">
        <f>SUMIF(JournalsC!D$14:D$920,TrialBalanceC!M21,JournalsC!J$14:J$920)+SUMIF(JournalsC!E$14:E$920,TrialBalanceC!M21,JournalsC!J$14:J$920)</f>
        <v>0</v>
      </c>
      <c r="H21" s="443"/>
      <c r="I21" s="448">
        <f t="shared" si="0"/>
        <v>0</v>
      </c>
      <c r="J21" s="84"/>
      <c r="K21" s="57">
        <f t="shared" si="1"/>
        <v>0</v>
      </c>
      <c r="M21" s="197" t="str">
        <f t="shared" si="2"/>
        <v>2000/014</v>
      </c>
      <c r="N21" s="79"/>
      <c r="P21" s="80"/>
      <c r="Q21" s="60"/>
      <c r="R21" s="34"/>
    </row>
    <row r="22" spans="1:18" x14ac:dyDescent="0.2">
      <c r="A22" s="394"/>
      <c r="B22" s="63" t="s">
        <v>473</v>
      </c>
      <c r="C22" s="431"/>
      <c r="D22" s="428"/>
      <c r="E22" s="435"/>
      <c r="F22" s="88"/>
      <c r="G22" s="56">
        <f>SUMIF(JournalsC!D$14:D$920,TrialBalanceC!M22,JournalsC!J$14:J$920)+SUMIF(JournalsC!E$14:E$920,TrialBalanceC!M22,JournalsC!J$14:J$920)</f>
        <v>0</v>
      </c>
      <c r="H22" s="443"/>
      <c r="I22" s="448">
        <f t="shared" si="0"/>
        <v>0</v>
      </c>
      <c r="J22" s="84"/>
      <c r="K22" s="57">
        <f t="shared" si="1"/>
        <v>0</v>
      </c>
      <c r="M22" s="197" t="str">
        <f t="shared" si="2"/>
        <v>2000/015</v>
      </c>
      <c r="N22" s="79"/>
      <c r="P22" s="80"/>
      <c r="Q22" s="60"/>
      <c r="R22" s="34"/>
    </row>
    <row r="23" spans="1:18" x14ac:dyDescent="0.2">
      <c r="A23" s="394"/>
      <c r="B23" s="63" t="s">
        <v>474</v>
      </c>
      <c r="C23" s="395" t="s">
        <v>475</v>
      </c>
      <c r="D23" s="436"/>
      <c r="E23" s="435"/>
      <c r="F23" s="88"/>
      <c r="G23" s="56">
        <f>SUMIF(JournalsC!D$14:D$920,TrialBalanceC!M23,JournalsC!J$14:J$920)+SUMIF(JournalsC!E$14:E$920,TrialBalanceC!M23,JournalsC!J$14:J$920)</f>
        <v>0</v>
      </c>
      <c r="H23" s="443"/>
      <c r="I23" s="448">
        <f t="shared" si="0"/>
        <v>0</v>
      </c>
      <c r="J23" s="84"/>
      <c r="K23" s="57">
        <f t="shared" si="1"/>
        <v>0</v>
      </c>
      <c r="M23" s="197" t="str">
        <f t="shared" si="2"/>
        <v>2000/050Closing stock - Raw materials</v>
      </c>
      <c r="N23" s="79"/>
      <c r="P23" s="80"/>
      <c r="Q23" s="60"/>
      <c r="R23" s="34"/>
    </row>
    <row r="24" spans="1:18" x14ac:dyDescent="0.2">
      <c r="A24" s="394"/>
      <c r="B24" s="63" t="s">
        <v>476</v>
      </c>
      <c r="C24" s="395" t="s">
        <v>477</v>
      </c>
      <c r="D24" s="436"/>
      <c r="E24" s="435"/>
      <c r="F24" s="88"/>
      <c r="G24" s="56">
        <f>SUMIF(JournalsC!D$14:D$920,TrialBalanceC!M24,JournalsC!J$14:J$920)+SUMIF(JournalsC!E$14:E$920,TrialBalanceC!M24,JournalsC!J$14:J$920)</f>
        <v>0</v>
      </c>
      <c r="H24" s="443"/>
      <c r="I24" s="448">
        <f t="shared" si="0"/>
        <v>0</v>
      </c>
      <c r="J24" s="84"/>
      <c r="K24" s="57">
        <f t="shared" si="1"/>
        <v>0</v>
      </c>
      <c r="M24" s="197" t="str">
        <f t="shared" si="2"/>
        <v>2000/051Closing stock - WIP</v>
      </c>
      <c r="N24" s="79"/>
      <c r="P24" s="80"/>
      <c r="Q24" s="60"/>
      <c r="R24" s="34"/>
    </row>
    <row r="25" spans="1:18" x14ac:dyDescent="0.2">
      <c r="A25" s="394"/>
      <c r="B25" s="63" t="s">
        <v>478</v>
      </c>
      <c r="C25" s="395" t="s">
        <v>479</v>
      </c>
      <c r="D25" s="436"/>
      <c r="E25" s="435"/>
      <c r="F25" s="88"/>
      <c r="G25" s="56">
        <f>SUMIF(JournalsC!D$14:D$920,TrialBalanceC!M25,JournalsC!J$14:J$920)+SUMIF(JournalsC!E$14:E$920,TrialBalanceC!M25,JournalsC!J$14:J$920)</f>
        <v>0</v>
      </c>
      <c r="H25" s="443"/>
      <c r="I25" s="448">
        <f t="shared" si="0"/>
        <v>0</v>
      </c>
      <c r="J25" s="84"/>
      <c r="K25" s="57">
        <f t="shared" si="1"/>
        <v>0</v>
      </c>
      <c r="M25" s="197" t="str">
        <f t="shared" si="2"/>
        <v>2000/052Closing stock - Finished goods</v>
      </c>
      <c r="N25" s="79"/>
      <c r="P25" s="80"/>
      <c r="Q25" s="60"/>
      <c r="R25" s="34"/>
    </row>
    <row r="26" spans="1:18" x14ac:dyDescent="0.2">
      <c r="A26" s="394"/>
      <c r="B26" s="63" t="s">
        <v>480</v>
      </c>
      <c r="C26" s="395" t="s">
        <v>481</v>
      </c>
      <c r="D26" s="436"/>
      <c r="E26" s="435"/>
      <c r="F26" s="88"/>
      <c r="G26" s="56">
        <f>SUMIF(JournalsC!D$14:D$920,TrialBalanceC!M26,JournalsC!J$14:J$920)+SUMIF(JournalsC!E$14:E$920,TrialBalanceC!M26,JournalsC!J$14:J$920)</f>
        <v>0</v>
      </c>
      <c r="H26" s="443"/>
      <c r="I26" s="448">
        <f t="shared" si="0"/>
        <v>0</v>
      </c>
      <c r="J26" s="84"/>
      <c r="K26" s="57">
        <f t="shared" si="1"/>
        <v>0</v>
      </c>
      <c r="M26" s="197" t="str">
        <f t="shared" si="2"/>
        <v>2000/053Closing stock - Trading stock</v>
      </c>
      <c r="N26" s="79"/>
      <c r="P26" s="80"/>
      <c r="Q26" s="60"/>
      <c r="R26" s="34"/>
    </row>
    <row r="27" spans="1:18" x14ac:dyDescent="0.2">
      <c r="A27" s="394"/>
      <c r="B27" s="65" t="s">
        <v>386</v>
      </c>
      <c r="C27" s="400" t="s">
        <v>385</v>
      </c>
      <c r="D27" s="426"/>
      <c r="E27" s="435"/>
      <c r="F27" s="88"/>
      <c r="G27" s="56">
        <f>SUMIF(JournalsC!D$14:D$920,TrialBalanceC!M27,JournalsC!J$14:J$920)+SUMIF(JournalsC!E$14:E$920,TrialBalanceC!M27,JournalsC!J$14:J$920)</f>
        <v>0</v>
      </c>
      <c r="H27" s="443"/>
      <c r="I27" s="448">
        <f t="shared" si="0"/>
        <v>0</v>
      </c>
      <c r="J27" s="84"/>
      <c r="K27" s="57">
        <f t="shared" si="1"/>
        <v>0</v>
      </c>
      <c r="M27" s="197" t="str">
        <f t="shared" si="2"/>
        <v>2050/000OTHER OPERATING INCOME</v>
      </c>
      <c r="N27" s="79"/>
      <c r="P27" s="80"/>
      <c r="Q27" s="60"/>
      <c r="R27" s="34"/>
    </row>
    <row r="28" spans="1:18" x14ac:dyDescent="0.2">
      <c r="A28" s="394"/>
      <c r="B28" s="65" t="s">
        <v>387</v>
      </c>
      <c r="C28" s="396" t="str">
        <f>CONCATENATE("Insurance claims - ",Criteria!H16)</f>
        <v xml:space="preserve">Insurance claims - </v>
      </c>
      <c r="D28" s="435"/>
      <c r="E28" s="435"/>
      <c r="F28" s="88"/>
      <c r="G28" s="56">
        <f>SUMIF(JournalsC!D$14:D$920,TrialBalanceC!M28,JournalsC!J$14:J$920)+SUMIF(JournalsC!E$14:E$920,TrialBalanceC!M28,JournalsC!J$14:J$920)</f>
        <v>0</v>
      </c>
      <c r="H28" s="443"/>
      <c r="I28" s="448">
        <f t="shared" si="0"/>
        <v>0</v>
      </c>
      <c r="J28" s="84"/>
      <c r="K28" s="57">
        <f t="shared" si="1"/>
        <v>0</v>
      </c>
      <c r="M28" s="197" t="str">
        <f t="shared" si="2"/>
        <v xml:space="preserve">2050/001Insurance claims - </v>
      </c>
      <c r="N28" s="79"/>
      <c r="P28" s="80"/>
      <c r="Q28" s="60"/>
      <c r="R28" s="34"/>
    </row>
    <row r="29" spans="1:18" x14ac:dyDescent="0.2">
      <c r="A29" s="394"/>
      <c r="B29" s="65" t="s">
        <v>388</v>
      </c>
      <c r="C29" s="396" t="s">
        <v>1079</v>
      </c>
      <c r="D29" s="428"/>
      <c r="E29" s="435"/>
      <c r="F29" s="88"/>
      <c r="G29" s="56">
        <f>SUMIF(JournalsC!D$14:D$920,TrialBalanceC!M29,JournalsC!J$14:J$920)+SUMIF(JournalsC!E$14:E$920,TrialBalanceC!M29,JournalsC!J$14:J$920)</f>
        <v>0</v>
      </c>
      <c r="H29" s="443"/>
      <c r="I29" s="448">
        <f t="shared" si="0"/>
        <v>0</v>
      </c>
      <c r="J29" s="84"/>
      <c r="K29" s="57">
        <f t="shared" si="1"/>
        <v>0</v>
      </c>
      <c r="M29" s="197" t="str">
        <f t="shared" si="2"/>
        <v>2050/002Government grants received</v>
      </c>
      <c r="N29" s="79"/>
      <c r="P29" s="80"/>
      <c r="Q29" s="60"/>
      <c r="R29" s="34"/>
    </row>
    <row r="30" spans="1:18" x14ac:dyDescent="0.2">
      <c r="A30" s="394"/>
      <c r="B30" s="65" t="s">
        <v>389</v>
      </c>
      <c r="C30" s="431"/>
      <c r="D30" s="428"/>
      <c r="E30" s="435"/>
      <c r="F30" s="88"/>
      <c r="G30" s="56">
        <f>SUMIF(JournalsC!D$14:D$920,TrialBalanceC!M30,JournalsC!J$14:J$920)+SUMIF(JournalsC!E$14:E$920,TrialBalanceC!M30,JournalsC!J$14:J$920)</f>
        <v>0</v>
      </c>
      <c r="H30" s="443"/>
      <c r="I30" s="448">
        <f t="shared" si="0"/>
        <v>0</v>
      </c>
      <c r="J30" s="84"/>
      <c r="K30" s="57">
        <f t="shared" si="1"/>
        <v>0</v>
      </c>
      <c r="M30" s="197" t="str">
        <f t="shared" si="2"/>
        <v>2050/003</v>
      </c>
      <c r="N30" s="79"/>
      <c r="P30" s="80"/>
      <c r="Q30" s="60"/>
      <c r="R30" s="34"/>
    </row>
    <row r="31" spans="1:18" x14ac:dyDescent="0.2">
      <c r="A31" s="394"/>
      <c r="B31" s="65" t="s">
        <v>390</v>
      </c>
      <c r="C31" s="431"/>
      <c r="D31" s="428"/>
      <c r="E31" s="435"/>
      <c r="F31" s="88"/>
      <c r="G31" s="56">
        <f>SUMIF(JournalsC!D$14:D$920,TrialBalanceC!M31,JournalsC!J$14:J$920)+SUMIF(JournalsC!E$14:E$920,TrialBalanceC!M31,JournalsC!J$14:J$920)</f>
        <v>0</v>
      </c>
      <c r="H31" s="443"/>
      <c r="I31" s="448">
        <f t="shared" si="0"/>
        <v>0</v>
      </c>
      <c r="J31" s="84"/>
      <c r="K31" s="57">
        <f t="shared" si="1"/>
        <v>0</v>
      </c>
      <c r="M31" s="197" t="str">
        <f t="shared" si="2"/>
        <v>2050/004</v>
      </c>
      <c r="N31" s="79"/>
      <c r="P31" s="80"/>
      <c r="Q31" s="60"/>
      <c r="R31" s="34"/>
    </row>
    <row r="32" spans="1:18" x14ac:dyDescent="0.2">
      <c r="A32" s="394"/>
      <c r="B32" s="65" t="s">
        <v>391</v>
      </c>
      <c r="C32" s="431"/>
      <c r="D32" s="428"/>
      <c r="E32" s="435"/>
      <c r="F32" s="88"/>
      <c r="G32" s="56">
        <f>SUMIF(JournalsC!D$14:D$920,TrialBalanceC!M32,JournalsC!J$14:J$920)+SUMIF(JournalsC!E$14:E$920,TrialBalanceC!M32,JournalsC!J$14:J$920)</f>
        <v>0</v>
      </c>
      <c r="H32" s="443"/>
      <c r="I32" s="448">
        <f t="shared" si="0"/>
        <v>0</v>
      </c>
      <c r="J32" s="84"/>
      <c r="K32" s="57">
        <f t="shared" si="1"/>
        <v>0</v>
      </c>
      <c r="M32" s="197" t="str">
        <f t="shared" si="2"/>
        <v>2050/005</v>
      </c>
      <c r="N32" s="79"/>
      <c r="P32" s="80"/>
      <c r="Q32" s="60"/>
      <c r="R32" s="34"/>
    </row>
    <row r="33" spans="1:18" x14ac:dyDescent="0.2">
      <c r="A33" s="394"/>
      <c r="B33" s="52" t="s">
        <v>1544</v>
      </c>
      <c r="C33" s="396" t="s">
        <v>1545</v>
      </c>
      <c r="D33" s="428"/>
      <c r="E33" s="435"/>
      <c r="F33" s="88"/>
      <c r="G33" s="56">
        <f>SUMIF(JournalsC!D$14:D$920,TrialBalanceC!M33,JournalsC!J$14:J$920)+SUMIF(JournalsC!E$14:E$920,TrialBalanceC!M33,JournalsC!J$14:J$920)</f>
        <v>0</v>
      </c>
      <c r="H33" s="443"/>
      <c r="I33" s="448">
        <f t="shared" ref="I33" si="6">ROUND(D33-E33+G33+F33,0)</f>
        <v>0</v>
      </c>
      <c r="J33" s="84"/>
      <c r="K33" s="57">
        <f t="shared" ref="K33" si="7">ROUND(SUM(A33),0)</f>
        <v>0</v>
      </c>
      <c r="M33" s="197" t="str">
        <f t="shared" ref="M33" si="8">CONCATENATE(B33,C33)</f>
        <v>2050/006Recoupment of depreciation</v>
      </c>
      <c r="N33" s="79"/>
      <c r="P33" s="80"/>
      <c r="Q33" s="60"/>
      <c r="R33" s="34"/>
    </row>
    <row r="34" spans="1:18" x14ac:dyDescent="0.2">
      <c r="A34" s="394"/>
      <c r="B34" s="52" t="s">
        <v>775</v>
      </c>
      <c r="C34" s="400" t="s">
        <v>774</v>
      </c>
      <c r="D34" s="426"/>
      <c r="E34" s="435"/>
      <c r="F34" s="88"/>
      <c r="G34" s="56">
        <f>SUMIF(JournalsC!D$14:D$920,TrialBalanceC!M34,JournalsC!J$14:J$920)+SUMIF(JournalsC!E$14:E$920,TrialBalanceC!M34,JournalsC!J$14:J$920)</f>
        <v>0</v>
      </c>
      <c r="H34" s="443"/>
      <c r="I34" s="448">
        <f t="shared" si="0"/>
        <v>0</v>
      </c>
      <c r="J34" s="84"/>
      <c r="K34" s="57">
        <f t="shared" si="1"/>
        <v>0</v>
      </c>
      <c r="M34" s="197" t="str">
        <f t="shared" si="2"/>
        <v>2060/000NET (PROFIT)/LOSS OTHER</v>
      </c>
      <c r="N34" s="79"/>
      <c r="P34" s="80"/>
      <c r="Q34" s="60"/>
      <c r="R34" s="34"/>
    </row>
    <row r="35" spans="1:18" x14ac:dyDescent="0.2">
      <c r="A35" s="394"/>
      <c r="B35" s="52" t="s">
        <v>671</v>
      </c>
      <c r="C35" s="396"/>
      <c r="D35" s="435"/>
      <c r="E35" s="435"/>
      <c r="F35" s="88"/>
      <c r="G35" s="56">
        <f>SUMIF(JournalsC!D$14:D$920,TrialBalanceC!M35,JournalsC!J$14:J$920)+SUMIF(JournalsC!E$14:E$920,TrialBalanceC!M35,JournalsC!J$14:J$920)</f>
        <v>0</v>
      </c>
      <c r="H35" s="443"/>
      <c r="I35" s="448">
        <f t="shared" si="0"/>
        <v>0</v>
      </c>
      <c r="J35" s="84"/>
      <c r="K35" s="57">
        <f t="shared" si="1"/>
        <v>0</v>
      </c>
      <c r="M35" s="197" t="str">
        <f t="shared" si="2"/>
        <v>2060/001</v>
      </c>
      <c r="N35" s="79"/>
      <c r="P35" s="80"/>
      <c r="Q35" s="60"/>
      <c r="R35" s="34"/>
    </row>
    <row r="36" spans="1:18" x14ac:dyDescent="0.2">
      <c r="A36" s="394"/>
      <c r="B36" s="52" t="s">
        <v>672</v>
      </c>
      <c r="C36" s="402"/>
      <c r="D36" s="428"/>
      <c r="E36" s="435"/>
      <c r="F36" s="88"/>
      <c r="G36" s="56">
        <f>SUMIF(JournalsC!D$14:D$920,TrialBalanceC!M36,JournalsC!J$14:J$920)+SUMIF(JournalsC!E$14:E$920,TrialBalanceC!M36,JournalsC!J$14:J$920)</f>
        <v>0</v>
      </c>
      <c r="H36" s="443"/>
      <c r="I36" s="448">
        <f t="shared" si="0"/>
        <v>0</v>
      </c>
      <c r="J36" s="84"/>
      <c r="K36" s="57">
        <f t="shared" si="1"/>
        <v>0</v>
      </c>
      <c r="M36" s="197" t="str">
        <f t="shared" si="2"/>
        <v>2060/002</v>
      </c>
      <c r="N36" s="79"/>
      <c r="P36" s="80"/>
      <c r="Q36" s="60"/>
      <c r="R36" s="34"/>
    </row>
    <row r="37" spans="1:18" x14ac:dyDescent="0.2">
      <c r="A37" s="394"/>
      <c r="B37" s="52" t="s">
        <v>673</v>
      </c>
      <c r="C37" s="402"/>
      <c r="D37" s="428"/>
      <c r="E37" s="435"/>
      <c r="F37" s="88"/>
      <c r="G37" s="56">
        <f>SUMIF(JournalsC!D$14:D$920,TrialBalanceC!M37,JournalsC!J$14:J$920)+SUMIF(JournalsC!E$14:E$920,TrialBalanceC!M37,JournalsC!J$14:J$920)</f>
        <v>0</v>
      </c>
      <c r="H37" s="443"/>
      <c r="I37" s="448">
        <f t="shared" si="0"/>
        <v>0</v>
      </c>
      <c r="J37" s="84"/>
      <c r="K37" s="57">
        <f t="shared" si="1"/>
        <v>0</v>
      </c>
      <c r="M37" s="197" t="str">
        <f t="shared" si="2"/>
        <v>2060/003</v>
      </c>
      <c r="N37" s="79"/>
      <c r="P37" s="80"/>
      <c r="Q37" s="60"/>
      <c r="R37" s="34"/>
    </row>
    <row r="38" spans="1:18" x14ac:dyDescent="0.2">
      <c r="A38" s="394"/>
      <c r="B38" s="52" t="s">
        <v>674</v>
      </c>
      <c r="C38" s="402"/>
      <c r="D38" s="428"/>
      <c r="E38" s="435"/>
      <c r="F38" s="88"/>
      <c r="G38" s="56">
        <f>SUMIF(JournalsC!D$14:D$920,TrialBalanceC!M38,JournalsC!J$14:J$920)+SUMIF(JournalsC!E$14:E$920,TrialBalanceC!M38,JournalsC!J$14:J$920)</f>
        <v>0</v>
      </c>
      <c r="H38" s="443"/>
      <c r="I38" s="448">
        <f t="shared" si="0"/>
        <v>0</v>
      </c>
      <c r="J38" s="84"/>
      <c r="K38" s="57">
        <f t="shared" si="1"/>
        <v>0</v>
      </c>
      <c r="M38" s="197" t="str">
        <f t="shared" si="2"/>
        <v>2060/004</v>
      </c>
      <c r="N38" s="79"/>
      <c r="P38" s="80"/>
      <c r="Q38" s="60"/>
      <c r="R38" s="34"/>
    </row>
    <row r="39" spans="1:18" x14ac:dyDescent="0.2">
      <c r="A39" s="394"/>
      <c r="B39" s="63" t="s">
        <v>482</v>
      </c>
      <c r="C39" s="397" t="s">
        <v>1415</v>
      </c>
      <c r="D39" s="437"/>
      <c r="E39" s="435"/>
      <c r="F39" s="88"/>
      <c r="G39" s="56">
        <f>SUMIF(JournalsC!D$14:D$920,TrialBalanceC!M39,JournalsC!J$14:J$920)+SUMIF(JournalsC!E$14:E$920,TrialBalanceC!M39,JournalsC!J$14:J$920)</f>
        <v>0</v>
      </c>
      <c r="H39" s="443"/>
      <c r="I39" s="448">
        <f t="shared" si="0"/>
        <v>0</v>
      </c>
      <c r="J39" s="84"/>
      <c r="K39" s="57">
        <f t="shared" si="1"/>
        <v>0</v>
      </c>
      <c r="M39" s="197" t="str">
        <f t="shared" si="2"/>
        <v>2100/000OPERATING EXPENSES</v>
      </c>
      <c r="N39" s="79"/>
      <c r="P39" s="80"/>
      <c r="Q39" s="60"/>
      <c r="R39" s="34"/>
    </row>
    <row r="40" spans="1:18" x14ac:dyDescent="0.2">
      <c r="A40" s="394"/>
      <c r="B40" s="63" t="s">
        <v>483</v>
      </c>
      <c r="C40" s="395" t="s">
        <v>335</v>
      </c>
      <c r="D40" s="436"/>
      <c r="E40" s="435"/>
      <c r="F40" s="88"/>
      <c r="G40" s="56">
        <f>SUMIF(JournalsC!D$14:D$920,TrialBalanceC!M40,JournalsC!J$14:J$920)+SUMIF(JournalsC!E$14:E$920,TrialBalanceC!M40,JournalsC!J$14:J$920)</f>
        <v>0</v>
      </c>
      <c r="H40" s="443"/>
      <c r="I40" s="448">
        <f t="shared" si="0"/>
        <v>0</v>
      </c>
      <c r="J40" s="84"/>
      <c r="K40" s="57">
        <f t="shared" si="1"/>
        <v>0</v>
      </c>
      <c r="M40" s="197" t="str">
        <f t="shared" si="2"/>
        <v>2100/001Advertising</v>
      </c>
      <c r="N40" s="79"/>
      <c r="P40" s="80"/>
      <c r="Q40" s="60"/>
      <c r="R40" s="34"/>
    </row>
    <row r="41" spans="1:18" x14ac:dyDescent="0.2">
      <c r="A41" s="394"/>
      <c r="B41" s="63" t="s">
        <v>484</v>
      </c>
      <c r="C41" s="398" t="s">
        <v>887</v>
      </c>
      <c r="D41" s="438"/>
      <c r="E41" s="435"/>
      <c r="F41" s="88"/>
      <c r="G41" s="56">
        <f>SUMIF(JournalsC!D$14:D$920,TrialBalanceC!M41,JournalsC!J$14:J$920)+SUMIF(JournalsC!E$14:E$920,TrialBalanceC!M41,JournalsC!J$14:J$920)</f>
        <v>0</v>
      </c>
      <c r="H41" s="443"/>
      <c r="I41" s="448">
        <f t="shared" si="0"/>
        <v>0</v>
      </c>
      <c r="J41" s="84"/>
      <c r="K41" s="57">
        <f t="shared" si="1"/>
        <v>0</v>
      </c>
      <c r="M41" s="197" t="str">
        <f t="shared" si="2"/>
        <v>2100/010Assets less than R7,000</v>
      </c>
      <c r="N41" s="79"/>
      <c r="P41" s="80"/>
      <c r="Q41" s="60"/>
      <c r="R41" s="34"/>
    </row>
    <row r="42" spans="1:18" x14ac:dyDescent="0.2">
      <c r="A42" s="394"/>
      <c r="B42" s="63" t="s">
        <v>485</v>
      </c>
      <c r="C42" s="395" t="s">
        <v>336</v>
      </c>
      <c r="D42" s="436"/>
      <c r="E42" s="435"/>
      <c r="F42" s="88"/>
      <c r="G42" s="56">
        <f>SUMIF(JournalsC!D$14:D$920,TrialBalanceC!M42,JournalsC!J$14:J$920)+SUMIF(JournalsC!E$14:E$920,TrialBalanceC!M42,JournalsC!J$14:J$920)</f>
        <v>0</v>
      </c>
      <c r="H42" s="443"/>
      <c r="I42" s="448">
        <f t="shared" si="0"/>
        <v>0</v>
      </c>
      <c r="J42" s="84"/>
      <c r="K42" s="57">
        <f t="shared" si="1"/>
        <v>0</v>
      </c>
      <c r="M42" s="197" t="str">
        <f t="shared" si="2"/>
        <v>2100/020Consumables</v>
      </c>
      <c r="N42" s="79"/>
      <c r="P42" s="80"/>
      <c r="Q42" s="60"/>
      <c r="R42" s="34"/>
    </row>
    <row r="43" spans="1:18" x14ac:dyDescent="0.2">
      <c r="A43" s="394"/>
      <c r="B43" s="63" t="s">
        <v>486</v>
      </c>
      <c r="C43" s="397" t="s">
        <v>749</v>
      </c>
      <c r="D43" s="437"/>
      <c r="E43" s="435"/>
      <c r="F43" s="88"/>
      <c r="G43" s="56">
        <f>SUMIF(JournalsC!D$14:D$920,TrialBalanceC!M43,JournalsC!J$14:J$920)+SUMIF(JournalsC!E$14:E$920,TrialBalanceC!M43,JournalsC!J$14:J$920)</f>
        <v>0</v>
      </c>
      <c r="H43" s="443"/>
      <c r="I43" s="448">
        <f t="shared" si="0"/>
        <v>0</v>
      </c>
      <c r="J43" s="84"/>
      <c r="K43" s="57">
        <f t="shared" si="1"/>
        <v>0</v>
      </c>
      <c r="M43" s="197" t="str">
        <f t="shared" si="2"/>
        <v>2100/030Depreciation--------------------------------------------------</v>
      </c>
      <c r="N43" s="79"/>
      <c r="P43" s="80"/>
      <c r="Q43" s="60"/>
      <c r="R43" s="34"/>
    </row>
    <row r="44" spans="1:18" x14ac:dyDescent="0.2">
      <c r="A44" s="394"/>
      <c r="B44" s="63" t="s">
        <v>488</v>
      </c>
      <c r="C44" s="398" t="s">
        <v>1619</v>
      </c>
      <c r="D44" s="436"/>
      <c r="E44" s="435"/>
      <c r="F44" s="88"/>
      <c r="G44" s="56">
        <f>SUMIF(JournalsC!D$14:D$920,TrialBalanceC!M44,JournalsC!J$14:J$920)+SUMIF(JournalsC!E$14:E$920,TrialBalanceC!M44,JournalsC!J$14:J$920)</f>
        <v>0</v>
      </c>
      <c r="H44" s="443"/>
      <c r="I44" s="448">
        <f t="shared" si="0"/>
        <v>0</v>
      </c>
      <c r="J44" s="84"/>
      <c r="K44" s="57">
        <f t="shared" si="1"/>
        <v>0</v>
      </c>
      <c r="M44" s="197" t="str">
        <f t="shared" si="2"/>
        <v>2100/031Depr - Property</v>
      </c>
      <c r="N44" s="79"/>
      <c r="P44" s="80"/>
      <c r="Q44" s="60"/>
      <c r="R44" s="34"/>
    </row>
    <row r="45" spans="1:18" x14ac:dyDescent="0.2">
      <c r="A45" s="394"/>
      <c r="B45" s="63" t="s">
        <v>489</v>
      </c>
      <c r="C45" s="398" t="s">
        <v>989</v>
      </c>
      <c r="D45" s="436"/>
      <c r="E45" s="435"/>
      <c r="F45" s="88"/>
      <c r="G45" s="56">
        <f>SUMIF(JournalsC!D$14:D$920,TrialBalanceC!M45,JournalsC!J$14:J$920)+SUMIF(JournalsC!E$14:E$920,TrialBalanceC!M45,JournalsC!J$14:J$920)</f>
        <v>0</v>
      </c>
      <c r="H45" s="443"/>
      <c r="I45" s="448">
        <f t="shared" si="0"/>
        <v>0</v>
      </c>
      <c r="J45" s="84"/>
      <c r="K45" s="57">
        <f t="shared" si="1"/>
        <v>0</v>
      </c>
      <c r="M45" s="197" t="str">
        <f t="shared" si="2"/>
        <v>2100/032Depr - Plant and machinery</v>
      </c>
      <c r="N45" s="79"/>
      <c r="P45" s="80"/>
      <c r="Q45" s="60"/>
      <c r="R45" s="34"/>
    </row>
    <row r="46" spans="1:18" x14ac:dyDescent="0.2">
      <c r="A46" s="394"/>
      <c r="B46" s="63" t="s">
        <v>63</v>
      </c>
      <c r="C46" s="395" t="s">
        <v>64</v>
      </c>
      <c r="D46" s="436"/>
      <c r="E46" s="435"/>
      <c r="F46" s="88"/>
      <c r="G46" s="56">
        <f>SUMIF(JournalsC!D$14:D$920,TrialBalanceC!M46,JournalsC!J$14:J$920)+SUMIF(JournalsC!E$14:E$920,TrialBalanceC!M46,JournalsC!J$14:J$920)</f>
        <v>0</v>
      </c>
      <c r="H46" s="443"/>
      <c r="I46" s="448">
        <f t="shared" si="0"/>
        <v>0</v>
      </c>
      <c r="J46" s="84"/>
      <c r="K46" s="57">
        <f t="shared" si="1"/>
        <v>0</v>
      </c>
      <c r="M46" s="197" t="str">
        <f t="shared" si="2"/>
        <v>2100/033Depr - Motor vehicles</v>
      </c>
      <c r="N46" s="79"/>
      <c r="P46" s="80"/>
      <c r="Q46" s="60"/>
      <c r="R46" s="34"/>
    </row>
    <row r="47" spans="1:18" x14ac:dyDescent="0.2">
      <c r="A47" s="394"/>
      <c r="B47" s="63" t="s">
        <v>66</v>
      </c>
      <c r="C47" s="395" t="s">
        <v>67</v>
      </c>
      <c r="D47" s="436"/>
      <c r="E47" s="435"/>
      <c r="F47" s="88"/>
      <c r="G47" s="56">
        <f>SUMIF(JournalsC!D$14:D$920,TrialBalanceC!M47,JournalsC!J$14:J$920)+SUMIF(JournalsC!E$14:E$920,TrialBalanceC!M47,JournalsC!J$14:J$920)</f>
        <v>0</v>
      </c>
      <c r="H47" s="443"/>
      <c r="I47" s="448">
        <f t="shared" si="0"/>
        <v>0</v>
      </c>
      <c r="J47" s="84"/>
      <c r="K47" s="57">
        <f t="shared" si="1"/>
        <v>0</v>
      </c>
      <c r="M47" s="197" t="str">
        <f t="shared" si="2"/>
        <v>2100/040Discounts allowed</v>
      </c>
      <c r="N47" s="79"/>
      <c r="P47" s="80"/>
      <c r="Q47" s="60"/>
      <c r="R47" s="34"/>
    </row>
    <row r="48" spans="1:18" x14ac:dyDescent="0.2">
      <c r="A48" s="394"/>
      <c r="B48" s="63" t="s">
        <v>68</v>
      </c>
      <c r="C48" s="398" t="s">
        <v>933</v>
      </c>
      <c r="D48" s="436"/>
      <c r="E48" s="435"/>
      <c r="F48" s="88"/>
      <c r="G48" s="56">
        <f>SUMIF(JournalsC!D$14:D$920,TrialBalanceC!M48,JournalsC!J$14:J$920)+SUMIF(JournalsC!E$14:E$920,TrialBalanceC!M48,JournalsC!J$14:J$920)</f>
        <v>0</v>
      </c>
      <c r="H48" s="443"/>
      <c r="I48" s="448">
        <f t="shared" si="0"/>
        <v>0</v>
      </c>
      <c r="J48" s="84"/>
      <c r="K48" s="57">
        <f t="shared" si="1"/>
        <v>0</v>
      </c>
      <c r="M48" s="197" t="str">
        <f t="shared" si="2"/>
        <v>2100/050Electricity and water</v>
      </c>
      <c r="N48" s="79"/>
      <c r="P48" s="80"/>
      <c r="Q48" s="60"/>
      <c r="R48" s="34"/>
    </row>
    <row r="49" spans="1:18" x14ac:dyDescent="0.2">
      <c r="A49" s="394"/>
      <c r="B49" s="63" t="s">
        <v>69</v>
      </c>
      <c r="C49" s="395" t="s">
        <v>74</v>
      </c>
      <c r="D49" s="436"/>
      <c r="E49" s="435"/>
      <c r="F49" s="88"/>
      <c r="G49" s="56">
        <f>SUMIF(JournalsC!D$14:D$920,TrialBalanceC!M49,JournalsC!J$14:J$920)+SUMIF(JournalsC!E$14:E$920,TrialBalanceC!M49,JournalsC!J$14:J$920)</f>
        <v>0</v>
      </c>
      <c r="H49" s="443"/>
      <c r="I49" s="448">
        <f t="shared" si="0"/>
        <v>0</v>
      </c>
      <c r="J49" s="84"/>
      <c r="K49" s="57">
        <f t="shared" si="1"/>
        <v>0</v>
      </c>
      <c r="M49" s="197" t="str">
        <f t="shared" si="2"/>
        <v>2100/055Equipment lease</v>
      </c>
      <c r="N49" s="79"/>
      <c r="P49" s="80"/>
      <c r="Q49" s="60"/>
      <c r="R49" s="34"/>
    </row>
    <row r="50" spans="1:18" x14ac:dyDescent="0.2">
      <c r="A50" s="394"/>
      <c r="B50" s="63" t="s">
        <v>75</v>
      </c>
      <c r="C50" s="395" t="s">
        <v>338</v>
      </c>
      <c r="D50" s="436"/>
      <c r="E50" s="435"/>
      <c r="F50" s="88"/>
      <c r="G50" s="56">
        <f>SUMIF(JournalsC!D$14:D$920,TrialBalanceC!M50,JournalsC!J$14:J$920)+SUMIF(JournalsC!E$14:E$920,TrialBalanceC!M50,JournalsC!J$14:J$920)</f>
        <v>0</v>
      </c>
      <c r="H50" s="443"/>
      <c r="I50" s="448">
        <f t="shared" si="0"/>
        <v>0</v>
      </c>
      <c r="J50" s="84"/>
      <c r="K50" s="57">
        <f t="shared" si="1"/>
        <v>0</v>
      </c>
      <c r="M50" s="197" t="str">
        <f t="shared" si="2"/>
        <v>2100/060Insurance</v>
      </c>
      <c r="N50" s="79"/>
      <c r="P50" s="60"/>
      <c r="Q50" s="60"/>
      <c r="R50" s="34"/>
    </row>
    <row r="51" spans="1:18" x14ac:dyDescent="0.2">
      <c r="A51" s="394"/>
      <c r="B51" s="63" t="s">
        <v>522</v>
      </c>
      <c r="C51" s="395" t="s">
        <v>210</v>
      </c>
      <c r="D51" s="436"/>
      <c r="E51" s="435"/>
      <c r="F51" s="88"/>
      <c r="G51" s="56">
        <f>SUMIF(JournalsC!D$14:D$920,TrialBalanceC!M51,JournalsC!J$14:J$920)+SUMIF(JournalsC!E$14:E$920,TrialBalanceC!M51,JournalsC!J$14:J$920)</f>
        <v>0</v>
      </c>
      <c r="H51" s="443"/>
      <c r="I51" s="448">
        <f t="shared" si="0"/>
        <v>0</v>
      </c>
      <c r="J51" s="84"/>
      <c r="K51" s="57">
        <f t="shared" si="1"/>
        <v>0</v>
      </c>
      <c r="M51" s="197" t="str">
        <f t="shared" si="2"/>
        <v>2100/071Levies - SDL</v>
      </c>
      <c r="N51" s="79"/>
      <c r="P51" s="80"/>
      <c r="Q51" s="60"/>
      <c r="R51" s="34"/>
    </row>
    <row r="52" spans="1:18" x14ac:dyDescent="0.2">
      <c r="A52" s="394"/>
      <c r="B52" s="63" t="s">
        <v>211</v>
      </c>
      <c r="C52" s="395" t="s">
        <v>212</v>
      </c>
      <c r="D52" s="436"/>
      <c r="E52" s="435"/>
      <c r="F52" s="88"/>
      <c r="G52" s="56">
        <f>SUMIF(JournalsC!D$14:D$920,TrialBalanceC!M52,JournalsC!J$14:J$920)+SUMIF(JournalsC!E$14:E$920,TrialBalanceC!M52,JournalsC!J$14:J$920)</f>
        <v>0</v>
      </c>
      <c r="H52" s="443"/>
      <c r="I52" s="448">
        <f t="shared" si="0"/>
        <v>0</v>
      </c>
      <c r="J52" s="84"/>
      <c r="K52" s="57">
        <f t="shared" si="1"/>
        <v>0</v>
      </c>
      <c r="M52" s="197" t="str">
        <f t="shared" si="2"/>
        <v>2100/072Levies - other</v>
      </c>
      <c r="N52" s="79"/>
      <c r="P52" s="80"/>
      <c r="Q52" s="60"/>
      <c r="R52" s="34"/>
    </row>
    <row r="53" spans="1:18" x14ac:dyDescent="0.2">
      <c r="A53" s="394"/>
      <c r="B53" s="63" t="s">
        <v>213</v>
      </c>
      <c r="C53" s="402" t="s">
        <v>422</v>
      </c>
      <c r="D53" s="428"/>
      <c r="E53" s="435"/>
      <c r="F53" s="88"/>
      <c r="G53" s="56">
        <f>SUMIF(JournalsC!D$14:D$920,TrialBalanceC!M53,JournalsC!J$14:J$920)+SUMIF(JournalsC!E$14:E$920,TrialBalanceC!M53,JournalsC!J$14:J$920)</f>
        <v>0</v>
      </c>
      <c r="H53" s="443"/>
      <c r="I53" s="448">
        <f t="shared" si="0"/>
        <v>0</v>
      </c>
      <c r="J53" s="84"/>
      <c r="K53" s="57">
        <f t="shared" si="1"/>
        <v>0</v>
      </c>
      <c r="M53" s="197" t="str">
        <f t="shared" si="2"/>
        <v>2100/080Trade licenses</v>
      </c>
      <c r="N53" s="79"/>
      <c r="P53" s="80"/>
      <c r="Q53" s="60"/>
      <c r="R53" s="34"/>
    </row>
    <row r="54" spans="1:18" x14ac:dyDescent="0.2">
      <c r="A54" s="394"/>
      <c r="B54" s="63" t="s">
        <v>214</v>
      </c>
      <c r="C54" s="397" t="s">
        <v>785</v>
      </c>
      <c r="D54" s="437"/>
      <c r="E54" s="435"/>
      <c r="F54" s="88"/>
      <c r="G54" s="56">
        <f>SUMIF(JournalsC!D$14:D$920,TrialBalanceC!M54,JournalsC!J$14:J$920)+SUMIF(JournalsC!E$14:E$920,TrialBalanceC!M54,JournalsC!J$14:J$920)</f>
        <v>0</v>
      </c>
      <c r="H54" s="443"/>
      <c r="I54" s="448">
        <f t="shared" si="0"/>
        <v>0</v>
      </c>
      <c r="J54" s="84"/>
      <c r="K54" s="57">
        <f t="shared" si="1"/>
        <v>0</v>
      </c>
      <c r="M54" s="197" t="str">
        <f t="shared" si="2"/>
        <v>2100/090Motor vehicle expenses----------------------------------</v>
      </c>
      <c r="N54" s="79"/>
      <c r="P54" s="80"/>
      <c r="Q54" s="60"/>
      <c r="R54" s="34"/>
    </row>
    <row r="55" spans="1:18" x14ac:dyDescent="0.2">
      <c r="A55" s="394"/>
      <c r="B55" s="63" t="s">
        <v>216</v>
      </c>
      <c r="C55" s="395" t="s">
        <v>217</v>
      </c>
      <c r="D55" s="436"/>
      <c r="E55" s="435"/>
      <c r="F55" s="88"/>
      <c r="G55" s="56">
        <f>SUMIF(JournalsC!D$14:D$920,TrialBalanceC!M55,JournalsC!J$14:J$920)+SUMIF(JournalsC!E$14:E$920,TrialBalanceC!M55,JournalsC!J$14:J$920)</f>
        <v>0</v>
      </c>
      <c r="H55" s="443"/>
      <c r="I55" s="448">
        <f t="shared" si="0"/>
        <v>0</v>
      </c>
      <c r="J55" s="84"/>
      <c r="K55" s="57">
        <f t="shared" si="1"/>
        <v>0</v>
      </c>
      <c r="M55" s="197" t="str">
        <f t="shared" si="2"/>
        <v>2100/091Motor vehicle expenses - Petrol and oil</v>
      </c>
      <c r="N55" s="79"/>
      <c r="P55" s="80"/>
      <c r="Q55" s="60"/>
      <c r="R55" s="34"/>
    </row>
    <row r="56" spans="1:18" x14ac:dyDescent="0.2">
      <c r="A56" s="394"/>
      <c r="B56" s="63" t="s">
        <v>218</v>
      </c>
      <c r="C56" s="395" t="s">
        <v>219</v>
      </c>
      <c r="D56" s="436"/>
      <c r="E56" s="435"/>
      <c r="F56" s="88"/>
      <c r="G56" s="56">
        <f>SUMIF(JournalsC!D$14:D$920,TrialBalanceC!M56,JournalsC!J$14:J$920)+SUMIF(JournalsC!E$14:E$920,TrialBalanceC!M56,JournalsC!J$14:J$920)</f>
        <v>0</v>
      </c>
      <c r="H56" s="443"/>
      <c r="I56" s="448">
        <f t="shared" si="0"/>
        <v>0</v>
      </c>
      <c r="J56" s="84"/>
      <c r="K56" s="57">
        <f t="shared" si="1"/>
        <v>0</v>
      </c>
      <c r="M56" s="197" t="str">
        <f t="shared" si="2"/>
        <v>2100/092Motor vehicle expenses - R&amp;M</v>
      </c>
      <c r="N56" s="79"/>
      <c r="P56" s="80"/>
      <c r="Q56" s="60"/>
      <c r="R56" s="34"/>
    </row>
    <row r="57" spans="1:18" x14ac:dyDescent="0.2">
      <c r="A57" s="394"/>
      <c r="B57" s="63" t="s">
        <v>220</v>
      </c>
      <c r="C57" s="395" t="s">
        <v>221</v>
      </c>
      <c r="D57" s="436"/>
      <c r="E57" s="435"/>
      <c r="F57" s="88"/>
      <c r="G57" s="56">
        <f>SUMIF(JournalsC!D$14:D$920,TrialBalanceC!M57,JournalsC!J$14:J$920)+SUMIF(JournalsC!E$14:E$920,TrialBalanceC!M57,JournalsC!J$14:J$920)</f>
        <v>0</v>
      </c>
      <c r="H57" s="443"/>
      <c r="I57" s="448">
        <f t="shared" si="0"/>
        <v>0</v>
      </c>
      <c r="J57" s="84"/>
      <c r="K57" s="57">
        <f t="shared" si="1"/>
        <v>0</v>
      </c>
      <c r="M57" s="197" t="str">
        <f t="shared" si="2"/>
        <v>2100/093Motor vehicle expenses - Insurance</v>
      </c>
      <c r="N57" s="79"/>
      <c r="P57" s="80"/>
      <c r="Q57" s="60"/>
      <c r="R57" s="34"/>
    </row>
    <row r="58" spans="1:18" x14ac:dyDescent="0.2">
      <c r="A58" s="394"/>
      <c r="B58" s="63" t="s">
        <v>222</v>
      </c>
      <c r="C58" s="396" t="s">
        <v>990</v>
      </c>
      <c r="D58" s="428"/>
      <c r="E58" s="435"/>
      <c r="F58" s="88"/>
      <c r="G58" s="56">
        <f>SUMIF(JournalsC!D$14:D$920,TrialBalanceC!M58,JournalsC!J$14:J$920)+SUMIF(JournalsC!E$14:E$920,TrialBalanceC!M58,JournalsC!J$14:J$920)</f>
        <v>0</v>
      </c>
      <c r="H58" s="443"/>
      <c r="I58" s="448">
        <f t="shared" si="0"/>
        <v>0</v>
      </c>
      <c r="J58" s="84"/>
      <c r="K58" s="57">
        <f t="shared" si="1"/>
        <v>0</v>
      </c>
      <c r="M58" s="197" t="str">
        <f t="shared" si="2"/>
        <v>2100/094Motor vehicle expenses - Licenses</v>
      </c>
      <c r="N58" s="79"/>
      <c r="P58" s="80"/>
      <c r="Q58" s="60"/>
      <c r="R58" s="34"/>
    </row>
    <row r="59" spans="1:18" x14ac:dyDescent="0.2">
      <c r="A59" s="394"/>
      <c r="B59" s="63" t="s">
        <v>223</v>
      </c>
      <c r="C59" s="398" t="s">
        <v>991</v>
      </c>
      <c r="D59" s="436"/>
      <c r="E59" s="435"/>
      <c r="F59" s="88"/>
      <c r="G59" s="56">
        <f>SUMIF(JournalsC!D$14:D$920,TrialBalanceC!M59,JournalsC!J$14:J$920)+SUMIF(JournalsC!E$14:E$920,TrialBalanceC!M59,JournalsC!J$14:J$920)</f>
        <v>0</v>
      </c>
      <c r="H59" s="443"/>
      <c r="I59" s="448">
        <f t="shared" si="0"/>
        <v>0</v>
      </c>
      <c r="J59" s="84"/>
      <c r="K59" s="57">
        <f t="shared" si="1"/>
        <v>0</v>
      </c>
      <c r="M59" s="197" t="str">
        <f t="shared" si="2"/>
        <v>2100/095Motor vehicle expenses - General</v>
      </c>
      <c r="N59" s="79"/>
      <c r="P59" s="80"/>
      <c r="Q59" s="60"/>
      <c r="R59" s="34"/>
    </row>
    <row r="60" spans="1:18" x14ac:dyDescent="0.2">
      <c r="A60" s="394"/>
      <c r="B60" s="63" t="s">
        <v>224</v>
      </c>
      <c r="C60" s="397" t="s">
        <v>225</v>
      </c>
      <c r="D60" s="437"/>
      <c r="E60" s="435"/>
      <c r="F60" s="88"/>
      <c r="G60" s="56">
        <f>SUMIF(JournalsC!D$14:D$920,TrialBalanceC!M60,JournalsC!J$14:J$920)+SUMIF(JournalsC!E$14:E$920,TrialBalanceC!M60,JournalsC!J$14:J$920)</f>
        <v>0</v>
      </c>
      <c r="H60" s="443"/>
      <c r="I60" s="448">
        <f t="shared" si="0"/>
        <v>0</v>
      </c>
      <c r="J60" s="84"/>
      <c r="K60" s="57">
        <f t="shared" si="1"/>
        <v>0</v>
      </c>
      <c r="M60" s="197" t="str">
        <f t="shared" si="2"/>
        <v>2100/100Rent paid-------------------------------</v>
      </c>
      <c r="N60" s="79"/>
      <c r="P60" s="80"/>
      <c r="Q60" s="60"/>
      <c r="R60" s="34"/>
    </row>
    <row r="61" spans="1:18" x14ac:dyDescent="0.2">
      <c r="A61" s="394"/>
      <c r="B61" s="63" t="s">
        <v>226</v>
      </c>
      <c r="C61" s="431"/>
      <c r="D61" s="435"/>
      <c r="E61" s="435"/>
      <c r="F61" s="88"/>
      <c r="G61" s="56">
        <f>SUMIF(JournalsC!D$14:D$920,TrialBalanceC!M61,JournalsC!J$14:J$920)+SUMIF(JournalsC!E$14:E$920,TrialBalanceC!M61,JournalsC!J$14:J$920)</f>
        <v>0</v>
      </c>
      <c r="H61" s="443"/>
      <c r="I61" s="448">
        <f t="shared" si="0"/>
        <v>0</v>
      </c>
      <c r="J61" s="84"/>
      <c r="K61" s="57">
        <f t="shared" si="1"/>
        <v>0</v>
      </c>
      <c r="M61" s="197" t="str">
        <f t="shared" si="2"/>
        <v>2100/101</v>
      </c>
      <c r="N61" s="79"/>
      <c r="P61" s="80"/>
      <c r="Q61" s="60"/>
      <c r="R61" s="34"/>
    </row>
    <row r="62" spans="1:18" x14ac:dyDescent="0.2">
      <c r="A62" s="394"/>
      <c r="B62" s="63" t="s">
        <v>227</v>
      </c>
      <c r="C62" s="431"/>
      <c r="D62" s="428"/>
      <c r="E62" s="435"/>
      <c r="F62" s="88"/>
      <c r="G62" s="56">
        <f>SUMIF(JournalsC!D$14:D$920,TrialBalanceC!M62,JournalsC!J$14:J$920)+SUMIF(JournalsC!E$14:E$920,TrialBalanceC!M62,JournalsC!J$14:J$920)</f>
        <v>0</v>
      </c>
      <c r="H62" s="443"/>
      <c r="I62" s="448">
        <f t="shared" si="0"/>
        <v>0</v>
      </c>
      <c r="J62" s="84"/>
      <c r="K62" s="57">
        <f t="shared" si="1"/>
        <v>0</v>
      </c>
      <c r="M62" s="197" t="str">
        <f t="shared" si="2"/>
        <v>2100/102</v>
      </c>
      <c r="N62" s="79"/>
      <c r="P62" s="80"/>
      <c r="Q62" s="60"/>
      <c r="R62" s="34"/>
    </row>
    <row r="63" spans="1:18" x14ac:dyDescent="0.2">
      <c r="A63" s="394"/>
      <c r="B63" s="63" t="s">
        <v>228</v>
      </c>
      <c r="C63" s="431"/>
      <c r="D63" s="428"/>
      <c r="E63" s="435"/>
      <c r="F63" s="88"/>
      <c r="G63" s="56">
        <f>SUMIF(JournalsC!D$14:D$920,TrialBalanceC!M63,JournalsC!J$14:J$920)+SUMIF(JournalsC!E$14:E$920,TrialBalanceC!M63,JournalsC!J$14:J$920)</f>
        <v>0</v>
      </c>
      <c r="H63" s="443"/>
      <c r="I63" s="448">
        <f t="shared" si="0"/>
        <v>0</v>
      </c>
      <c r="J63" s="84"/>
      <c r="K63" s="57">
        <f t="shared" si="1"/>
        <v>0</v>
      </c>
      <c r="M63" s="197" t="str">
        <f t="shared" si="2"/>
        <v>2100/103</v>
      </c>
      <c r="N63" s="79"/>
      <c r="P63" s="80"/>
      <c r="Q63" s="60"/>
      <c r="R63" s="34"/>
    </row>
    <row r="64" spans="1:18" x14ac:dyDescent="0.2">
      <c r="A64" s="394"/>
      <c r="B64" s="63" t="s">
        <v>229</v>
      </c>
      <c r="C64" s="395" t="s">
        <v>82</v>
      </c>
      <c r="D64" s="436"/>
      <c r="E64" s="435"/>
      <c r="F64" s="88"/>
      <c r="G64" s="56">
        <f>SUMIF(JournalsC!D$14:D$920,TrialBalanceC!M64,JournalsC!J$14:J$920)+SUMIF(JournalsC!E$14:E$920,TrialBalanceC!M64,JournalsC!J$14:J$920)</f>
        <v>0</v>
      </c>
      <c r="H64" s="443"/>
      <c r="I64" s="448">
        <f t="shared" si="0"/>
        <v>0</v>
      </c>
      <c r="J64" s="84"/>
      <c r="K64" s="57">
        <f t="shared" si="1"/>
        <v>0</v>
      </c>
      <c r="M64" s="197" t="str">
        <f t="shared" si="2"/>
        <v>2100/110Repairs and maintenance</v>
      </c>
      <c r="N64" s="79"/>
      <c r="P64" s="80"/>
      <c r="Q64" s="60"/>
      <c r="R64" s="34"/>
    </row>
    <row r="65" spans="1:18" x14ac:dyDescent="0.2">
      <c r="A65" s="394"/>
      <c r="B65" s="63" t="s">
        <v>83</v>
      </c>
      <c r="C65" s="395" t="s">
        <v>84</v>
      </c>
      <c r="D65" s="436"/>
      <c r="E65" s="435"/>
      <c r="F65" s="88"/>
      <c r="G65" s="56">
        <f>SUMIF(JournalsC!D$14:D$920,TrialBalanceC!M65,JournalsC!J$14:J$920)+SUMIF(JournalsC!E$14:E$920,TrialBalanceC!M65,JournalsC!J$14:J$920)</f>
        <v>0</v>
      </c>
      <c r="H65" s="443"/>
      <c r="I65" s="448">
        <f t="shared" si="0"/>
        <v>0</v>
      </c>
      <c r="J65" s="84"/>
      <c r="K65" s="57">
        <f t="shared" si="1"/>
        <v>0</v>
      </c>
      <c r="M65" s="197" t="str">
        <f t="shared" si="2"/>
        <v>2100/120Salaries</v>
      </c>
      <c r="N65" s="79"/>
      <c r="P65" s="80"/>
      <c r="Q65" s="60"/>
      <c r="R65" s="34"/>
    </row>
    <row r="66" spans="1:18" x14ac:dyDescent="0.2">
      <c r="A66" s="394"/>
      <c r="B66" s="63" t="s">
        <v>85</v>
      </c>
      <c r="C66" s="395" t="s">
        <v>86</v>
      </c>
      <c r="D66" s="436"/>
      <c r="E66" s="435"/>
      <c r="F66" s="88"/>
      <c r="G66" s="56">
        <f>SUMIF(JournalsC!D$14:D$920,TrialBalanceC!M66,JournalsC!J$14:J$920)+SUMIF(JournalsC!E$14:E$920,TrialBalanceC!M66,JournalsC!J$14:J$920)</f>
        <v>0</v>
      </c>
      <c r="H66" s="443"/>
      <c r="I66" s="448">
        <f t="shared" si="0"/>
        <v>0</v>
      </c>
      <c r="J66" s="84"/>
      <c r="K66" s="57">
        <f t="shared" si="1"/>
        <v>0</v>
      </c>
      <c r="M66" s="197" t="str">
        <f t="shared" si="2"/>
        <v>2100/121UIF - Employer</v>
      </c>
      <c r="N66" s="79"/>
      <c r="P66" s="80"/>
      <c r="Q66" s="60"/>
      <c r="R66" s="34"/>
    </row>
    <row r="67" spans="1:18" x14ac:dyDescent="0.2">
      <c r="A67" s="394"/>
      <c r="B67" s="63" t="s">
        <v>87</v>
      </c>
      <c r="C67" s="395" t="s">
        <v>88</v>
      </c>
      <c r="D67" s="436"/>
      <c r="E67" s="435"/>
      <c r="F67" s="88"/>
      <c r="G67" s="56">
        <f>SUMIF(JournalsC!D$14:D$920,TrialBalanceC!M67,JournalsC!J$14:J$920)+SUMIF(JournalsC!E$14:E$920,TrialBalanceC!M67,JournalsC!J$14:J$920)</f>
        <v>0</v>
      </c>
      <c r="H67" s="443"/>
      <c r="I67" s="448">
        <f t="shared" si="0"/>
        <v>0</v>
      </c>
      <c r="J67" s="84"/>
      <c r="K67" s="57">
        <f t="shared" si="1"/>
        <v>0</v>
      </c>
      <c r="M67" s="197" t="str">
        <f t="shared" si="2"/>
        <v>2100/122Casual wages</v>
      </c>
      <c r="N67" s="79"/>
      <c r="P67" s="80"/>
      <c r="Q67" s="60"/>
      <c r="R67" s="34"/>
    </row>
    <row r="68" spans="1:18" x14ac:dyDescent="0.2">
      <c r="A68" s="394"/>
      <c r="B68" s="63" t="s">
        <v>89</v>
      </c>
      <c r="C68" s="395" t="s">
        <v>90</v>
      </c>
      <c r="D68" s="436"/>
      <c r="E68" s="435"/>
      <c r="F68" s="88"/>
      <c r="G68" s="56">
        <f>SUMIF(JournalsC!D$14:D$920,TrialBalanceC!M68,JournalsC!J$14:J$920)+SUMIF(JournalsC!E$14:E$920,TrialBalanceC!M68,JournalsC!J$14:J$920)</f>
        <v>0</v>
      </c>
      <c r="H68" s="443"/>
      <c r="I68" s="448">
        <f t="shared" si="0"/>
        <v>0</v>
      </c>
      <c r="J68" s="84"/>
      <c r="K68" s="57">
        <f t="shared" si="1"/>
        <v>0</v>
      </c>
      <c r="M68" s="197" t="str">
        <f t="shared" si="2"/>
        <v>2100/130Telephone</v>
      </c>
      <c r="N68" s="79"/>
      <c r="P68" s="80"/>
      <c r="Q68" s="60"/>
      <c r="R68" s="34"/>
    </row>
    <row r="69" spans="1:18" x14ac:dyDescent="0.2">
      <c r="A69" s="394"/>
      <c r="B69" s="63" t="s">
        <v>91</v>
      </c>
      <c r="C69" s="395" t="s">
        <v>557</v>
      </c>
      <c r="D69" s="436"/>
      <c r="E69" s="435"/>
      <c r="F69" s="88"/>
      <c r="G69" s="56">
        <f>SUMIF(JournalsC!D$14:D$920,TrialBalanceC!M69,JournalsC!J$14:J$920)+SUMIF(JournalsC!E$14:E$920,TrialBalanceC!M69,JournalsC!J$14:J$920)</f>
        <v>0</v>
      </c>
      <c r="H69" s="443"/>
      <c r="I69" s="448">
        <f t="shared" si="0"/>
        <v>0</v>
      </c>
      <c r="J69" s="84"/>
      <c r="K69" s="57">
        <f t="shared" si="1"/>
        <v>0</v>
      </c>
      <c r="M69" s="197" t="str">
        <f t="shared" si="2"/>
        <v>2100/135Postage and courier</v>
      </c>
      <c r="N69" s="79"/>
      <c r="P69" s="80"/>
      <c r="Q69" s="60"/>
      <c r="R69" s="34"/>
    </row>
    <row r="70" spans="1:18" x14ac:dyDescent="0.2">
      <c r="A70" s="394"/>
      <c r="B70" s="63" t="s">
        <v>92</v>
      </c>
      <c r="C70" s="395" t="s">
        <v>310</v>
      </c>
      <c r="D70" s="436"/>
      <c r="E70" s="435"/>
      <c r="F70" s="88"/>
      <c r="G70" s="56">
        <f>SUMIF(JournalsC!D$14:D$920,TrialBalanceC!M70,JournalsC!J$14:J$920)+SUMIF(JournalsC!E$14:E$920,TrialBalanceC!M70,JournalsC!J$14:J$920)</f>
        <v>0</v>
      </c>
      <c r="H70" s="443"/>
      <c r="I70" s="448">
        <f t="shared" si="0"/>
        <v>0</v>
      </c>
      <c r="J70" s="84"/>
      <c r="K70" s="57">
        <f t="shared" si="1"/>
        <v>0</v>
      </c>
      <c r="M70" s="197" t="str">
        <f t="shared" si="2"/>
        <v>2100/140Training</v>
      </c>
      <c r="N70" s="79"/>
      <c r="P70" s="80"/>
      <c r="Q70" s="60"/>
      <c r="R70" s="34"/>
    </row>
    <row r="71" spans="1:18" x14ac:dyDescent="0.2">
      <c r="A71" s="394"/>
      <c r="B71" s="63" t="s">
        <v>93</v>
      </c>
      <c r="C71" s="396" t="s">
        <v>1039</v>
      </c>
      <c r="D71" s="428"/>
      <c r="E71" s="435"/>
      <c r="F71" s="88"/>
      <c r="G71" s="56">
        <f>SUMIF(JournalsC!D$14:D$920,TrialBalanceC!M71,JournalsC!J$14:J$920)+SUMIF(JournalsC!E$14:E$920,TrialBalanceC!M71,JournalsC!J$14:J$920)</f>
        <v>0</v>
      </c>
      <c r="H71" s="443"/>
      <c r="I71" s="448">
        <f t="shared" si="0"/>
        <v>0</v>
      </c>
      <c r="J71" s="84"/>
      <c r="K71" s="57">
        <f t="shared" si="1"/>
        <v>0</v>
      </c>
      <c r="M71" s="197" t="str">
        <f t="shared" si="2"/>
        <v>2100/150Traveling and accommodation</v>
      </c>
      <c r="N71" s="79"/>
      <c r="P71" s="80"/>
      <c r="Q71" s="60"/>
      <c r="R71" s="34"/>
    </row>
    <row r="72" spans="1:18" x14ac:dyDescent="0.2">
      <c r="A72" s="394"/>
      <c r="B72" s="114" t="s">
        <v>728</v>
      </c>
      <c r="C72" s="430"/>
      <c r="D72" s="435"/>
      <c r="E72" s="435"/>
      <c r="F72" s="88"/>
      <c r="G72" s="56">
        <f>SUMIF(JournalsC!D$14:D$920,TrialBalanceC!M72,JournalsC!J$14:J$920)+SUMIF(JournalsC!E$14:E$920,TrialBalanceC!M72,JournalsC!J$14:J$920)</f>
        <v>0</v>
      </c>
      <c r="H72" s="443"/>
      <c r="I72" s="448">
        <f t="shared" si="0"/>
        <v>0</v>
      </c>
      <c r="J72" s="84"/>
      <c r="K72" s="57">
        <f t="shared" si="1"/>
        <v>0</v>
      </c>
      <c r="M72" s="197" t="str">
        <f t="shared" si="2"/>
        <v>2150/001</v>
      </c>
      <c r="N72" s="79"/>
      <c r="P72" s="80"/>
      <c r="Q72" s="60"/>
      <c r="R72" s="34"/>
    </row>
    <row r="73" spans="1:18" x14ac:dyDescent="0.2">
      <c r="A73" s="394"/>
      <c r="B73" s="114" t="s">
        <v>729</v>
      </c>
      <c r="C73" s="430"/>
      <c r="D73" s="435"/>
      <c r="E73" s="435"/>
      <c r="F73" s="88"/>
      <c r="G73" s="56">
        <f>SUMIF(JournalsC!D$14:D$920,TrialBalanceC!M73,JournalsC!J$14:J$920)+SUMIF(JournalsC!E$14:E$920,TrialBalanceC!M73,JournalsC!J$14:J$920)</f>
        <v>0</v>
      </c>
      <c r="H73" s="443"/>
      <c r="I73" s="448">
        <f t="shared" ref="I73:I101" si="9">ROUND(D73-E73+G73+F73,0)</f>
        <v>0</v>
      </c>
      <c r="J73" s="84"/>
      <c r="K73" s="57">
        <f t="shared" ref="K73:K136" si="10">ROUND(SUM(A73),0)</f>
        <v>0</v>
      </c>
      <c r="M73" s="197" t="str">
        <f t="shared" ref="M73:M136" si="11">CONCATENATE(B73,C73)</f>
        <v>2150/002</v>
      </c>
      <c r="N73" s="79"/>
      <c r="P73" s="80"/>
      <c r="Q73" s="60"/>
      <c r="R73" s="34"/>
    </row>
    <row r="74" spans="1:18" x14ac:dyDescent="0.2">
      <c r="A74" s="394"/>
      <c r="B74" s="114" t="s">
        <v>730</v>
      </c>
      <c r="C74" s="430"/>
      <c r="D74" s="435"/>
      <c r="E74" s="435"/>
      <c r="F74" s="88"/>
      <c r="G74" s="56">
        <f>SUMIF(JournalsC!D$14:D$920,TrialBalanceC!M74,JournalsC!J$14:J$920)+SUMIF(JournalsC!E$14:E$920,TrialBalanceC!M74,JournalsC!J$14:J$920)</f>
        <v>0</v>
      </c>
      <c r="H74" s="443"/>
      <c r="I74" s="448">
        <f t="shared" si="9"/>
        <v>0</v>
      </c>
      <c r="J74" s="84"/>
      <c r="K74" s="57">
        <f t="shared" si="10"/>
        <v>0</v>
      </c>
      <c r="M74" s="197" t="str">
        <f t="shared" si="11"/>
        <v>2150/003</v>
      </c>
      <c r="N74" s="79"/>
      <c r="P74" s="80"/>
      <c r="Q74" s="60"/>
      <c r="R74" s="34"/>
    </row>
    <row r="75" spans="1:18" x14ac:dyDescent="0.2">
      <c r="A75" s="394"/>
      <c r="B75" s="114" t="s">
        <v>731</v>
      </c>
      <c r="C75" s="430"/>
      <c r="D75" s="435"/>
      <c r="E75" s="435"/>
      <c r="F75" s="88"/>
      <c r="G75" s="56">
        <f>SUMIF(JournalsC!D$14:D$920,TrialBalanceC!M75,JournalsC!J$14:J$920)+SUMIF(JournalsC!E$14:E$920,TrialBalanceC!M75,JournalsC!J$14:J$920)</f>
        <v>0</v>
      </c>
      <c r="H75" s="443"/>
      <c r="I75" s="448">
        <f t="shared" si="9"/>
        <v>0</v>
      </c>
      <c r="J75" s="84"/>
      <c r="K75" s="57">
        <f t="shared" si="10"/>
        <v>0</v>
      </c>
      <c r="M75" s="197" t="str">
        <f t="shared" si="11"/>
        <v>2150/004</v>
      </c>
      <c r="N75" s="79"/>
      <c r="P75" s="80"/>
      <c r="Q75" s="60"/>
      <c r="R75" s="34"/>
    </row>
    <row r="76" spans="1:18" x14ac:dyDescent="0.2">
      <c r="A76" s="394"/>
      <c r="B76" s="114" t="s">
        <v>732</v>
      </c>
      <c r="C76" s="430"/>
      <c r="D76" s="435"/>
      <c r="E76" s="435"/>
      <c r="F76" s="88"/>
      <c r="G76" s="56">
        <f>SUMIF(JournalsC!D$14:D$920,TrialBalanceC!M76,JournalsC!J$14:J$920)+SUMIF(JournalsC!E$14:E$920,TrialBalanceC!M76,JournalsC!J$14:J$920)</f>
        <v>0</v>
      </c>
      <c r="H76" s="443"/>
      <c r="I76" s="448">
        <f t="shared" si="9"/>
        <v>0</v>
      </c>
      <c r="J76" s="84"/>
      <c r="K76" s="57">
        <f t="shared" si="10"/>
        <v>0</v>
      </c>
      <c r="M76" s="197" t="str">
        <f t="shared" si="11"/>
        <v>2150/005</v>
      </c>
      <c r="N76" s="79"/>
      <c r="P76" s="80"/>
      <c r="Q76" s="60"/>
      <c r="R76" s="34"/>
    </row>
    <row r="77" spans="1:18" x14ac:dyDescent="0.2">
      <c r="A77" s="394"/>
      <c r="B77" s="114" t="s">
        <v>733</v>
      </c>
      <c r="C77" s="430"/>
      <c r="D77" s="435"/>
      <c r="E77" s="435"/>
      <c r="F77" s="88"/>
      <c r="G77" s="56">
        <f>SUMIF(JournalsC!D$14:D$920,TrialBalanceC!M77,JournalsC!J$14:J$920)+SUMIF(JournalsC!E$14:E$920,TrialBalanceC!M77,JournalsC!J$14:J$920)</f>
        <v>0</v>
      </c>
      <c r="H77" s="443"/>
      <c r="I77" s="448">
        <f t="shared" si="9"/>
        <v>0</v>
      </c>
      <c r="J77" s="84"/>
      <c r="K77" s="57">
        <f t="shared" si="10"/>
        <v>0</v>
      </c>
      <c r="M77" s="197" t="str">
        <f t="shared" si="11"/>
        <v>2150/006</v>
      </c>
      <c r="N77" s="79"/>
      <c r="P77" s="80"/>
      <c r="Q77" s="60"/>
      <c r="R77" s="34"/>
    </row>
    <row r="78" spans="1:18" x14ac:dyDescent="0.2">
      <c r="A78" s="394"/>
      <c r="B78" s="114" t="s">
        <v>734</v>
      </c>
      <c r="C78" s="432"/>
      <c r="D78" s="440"/>
      <c r="E78" s="435"/>
      <c r="F78" s="88"/>
      <c r="G78" s="56">
        <f>SUMIF(JournalsC!D$14:D$920,TrialBalanceC!M78,JournalsC!J$14:J$920)+SUMIF(JournalsC!E$14:E$920,TrialBalanceC!M78,JournalsC!J$14:J$920)</f>
        <v>0</v>
      </c>
      <c r="H78" s="443"/>
      <c r="I78" s="448">
        <f t="shared" si="9"/>
        <v>0</v>
      </c>
      <c r="J78" s="84"/>
      <c r="K78" s="57">
        <f t="shared" si="10"/>
        <v>0</v>
      </c>
      <c r="M78" s="197" t="str">
        <f t="shared" si="11"/>
        <v>2150/007</v>
      </c>
      <c r="N78" s="79"/>
      <c r="P78" s="80"/>
      <c r="Q78" s="60"/>
      <c r="R78" s="34"/>
    </row>
    <row r="79" spans="1:18" x14ac:dyDescent="0.2">
      <c r="A79" s="394"/>
      <c r="B79" s="114" t="s">
        <v>735</v>
      </c>
      <c r="C79" s="432"/>
      <c r="D79" s="440"/>
      <c r="E79" s="435"/>
      <c r="F79" s="88"/>
      <c r="G79" s="56">
        <f>SUMIF(JournalsC!D$14:D$920,TrialBalanceC!M79,JournalsC!J$14:J$920)+SUMIF(JournalsC!E$14:E$920,TrialBalanceC!M79,JournalsC!J$14:J$920)</f>
        <v>0</v>
      </c>
      <c r="H79" s="443"/>
      <c r="I79" s="448">
        <f t="shared" si="9"/>
        <v>0</v>
      </c>
      <c r="J79" s="84"/>
      <c r="K79" s="57">
        <f t="shared" si="10"/>
        <v>0</v>
      </c>
      <c r="M79" s="197" t="str">
        <f t="shared" si="11"/>
        <v>2150/008</v>
      </c>
      <c r="N79" s="79"/>
      <c r="P79" s="80"/>
      <c r="Q79" s="60"/>
      <c r="R79" s="34"/>
    </row>
    <row r="80" spans="1:18" x14ac:dyDescent="0.2">
      <c r="A80" s="394"/>
      <c r="B80" s="114" t="s">
        <v>736</v>
      </c>
      <c r="C80" s="430"/>
      <c r="D80" s="435"/>
      <c r="E80" s="435"/>
      <c r="F80" s="88"/>
      <c r="G80" s="56">
        <f>SUMIF(JournalsC!D$14:D$920,TrialBalanceC!M80,JournalsC!J$14:J$920)+SUMIF(JournalsC!E$14:E$920,TrialBalanceC!M80,JournalsC!J$14:J$920)</f>
        <v>0</v>
      </c>
      <c r="H80" s="443"/>
      <c r="I80" s="448">
        <f t="shared" si="9"/>
        <v>0</v>
      </c>
      <c r="J80" s="84"/>
      <c r="K80" s="57">
        <f t="shared" si="10"/>
        <v>0</v>
      </c>
      <c r="M80" s="197" t="str">
        <f t="shared" si="11"/>
        <v>2150/009</v>
      </c>
      <c r="N80" s="79"/>
      <c r="P80" s="80"/>
      <c r="Q80" s="60"/>
      <c r="R80" s="34"/>
    </row>
    <row r="81" spans="1:18" x14ac:dyDescent="0.2">
      <c r="A81" s="394"/>
      <c r="B81" s="114" t="s">
        <v>737</v>
      </c>
      <c r="C81" s="430"/>
      <c r="D81" s="435"/>
      <c r="E81" s="435"/>
      <c r="F81" s="88"/>
      <c r="G81" s="56">
        <f>SUMIF(JournalsC!D$14:D$920,TrialBalanceC!M81,JournalsC!J$14:J$920)+SUMIF(JournalsC!E$14:E$920,TrialBalanceC!M81,JournalsC!J$14:J$920)</f>
        <v>0</v>
      </c>
      <c r="H81" s="443"/>
      <c r="I81" s="448">
        <f t="shared" si="9"/>
        <v>0</v>
      </c>
      <c r="J81" s="84"/>
      <c r="K81" s="57">
        <f t="shared" si="10"/>
        <v>0</v>
      </c>
      <c r="M81" s="197" t="str">
        <f t="shared" si="11"/>
        <v>2150/010</v>
      </c>
      <c r="N81" s="79"/>
      <c r="P81" s="80"/>
      <c r="Q81" s="60"/>
      <c r="R81" s="34"/>
    </row>
    <row r="82" spans="1:18" x14ac:dyDescent="0.2">
      <c r="A82" s="394"/>
      <c r="B82" s="63" t="s">
        <v>22</v>
      </c>
      <c r="C82" s="397" t="s">
        <v>139</v>
      </c>
      <c r="D82" s="437"/>
      <c r="E82" s="435"/>
      <c r="F82" s="88"/>
      <c r="G82" s="56">
        <f>SUMIF(JournalsC!D$14:D$920,TrialBalanceC!M82,JournalsC!J$14:J$920)+SUMIF(JournalsC!E$14:E$920,TrialBalanceC!M82,JournalsC!J$14:J$920)</f>
        <v>0</v>
      </c>
      <c r="H82" s="443"/>
      <c r="I82" s="448">
        <f t="shared" si="9"/>
        <v>0</v>
      </c>
      <c r="J82" s="84"/>
      <c r="K82" s="57">
        <f t="shared" si="10"/>
        <v>0</v>
      </c>
      <c r="M82" s="197" t="str">
        <f t="shared" si="11"/>
        <v>2500/000OTHER INCOME</v>
      </c>
      <c r="N82" s="79"/>
      <c r="P82" s="80"/>
      <c r="Q82" s="60"/>
      <c r="R82" s="34"/>
    </row>
    <row r="83" spans="1:18" x14ac:dyDescent="0.2">
      <c r="A83" s="394"/>
      <c r="B83" s="63" t="s">
        <v>432</v>
      </c>
      <c r="C83" s="396" t="s">
        <v>992</v>
      </c>
      <c r="D83" s="428"/>
      <c r="E83" s="435"/>
      <c r="F83" s="88"/>
      <c r="G83" s="56">
        <f>SUMIF(JournalsC!D$14:D$920,TrialBalanceC!M83,JournalsC!J$14:J$920)+SUMIF(JournalsC!E$14:E$920,TrialBalanceC!M83,JournalsC!J$14:J$920)</f>
        <v>0</v>
      </c>
      <c r="H83" s="443"/>
      <c r="I83" s="448">
        <f t="shared" si="9"/>
        <v>0</v>
      </c>
      <c r="J83" s="84"/>
      <c r="K83" s="57">
        <f t="shared" si="10"/>
        <v>0</v>
      </c>
      <c r="M83" s="197" t="str">
        <f t="shared" si="11"/>
        <v>2710/000Rent received (not main income)</v>
      </c>
      <c r="N83" s="79"/>
      <c r="P83" s="80"/>
      <c r="Q83" s="60"/>
      <c r="R83" s="34"/>
    </row>
    <row r="84" spans="1:18" x14ac:dyDescent="0.2">
      <c r="A84" s="394"/>
      <c r="B84" s="63" t="s">
        <v>94</v>
      </c>
      <c r="C84" s="397" t="s">
        <v>998</v>
      </c>
      <c r="D84" s="437"/>
      <c r="E84" s="435"/>
      <c r="F84" s="88"/>
      <c r="G84" s="56">
        <f>SUMIF(JournalsC!D$14:D$920,TrialBalanceC!M84,JournalsC!J$14:J$920)+SUMIF(JournalsC!E$14:E$920,TrialBalanceC!M84,JournalsC!J$14:J$920)</f>
        <v>0</v>
      </c>
      <c r="H84" s="443"/>
      <c r="I84" s="448">
        <f t="shared" si="9"/>
        <v>0</v>
      </c>
      <c r="J84" s="84"/>
      <c r="K84" s="57">
        <f t="shared" si="10"/>
        <v>0</v>
      </c>
      <c r="M84" s="197" t="str">
        <f t="shared" si="11"/>
        <v>2750/000Interest received-----------------------</v>
      </c>
      <c r="N84" s="79"/>
      <c r="P84" s="80"/>
      <c r="Q84" s="60"/>
      <c r="R84" s="34"/>
    </row>
    <row r="85" spans="1:18" x14ac:dyDescent="0.2">
      <c r="A85" s="394"/>
      <c r="B85" s="63" t="s">
        <v>95</v>
      </c>
      <c r="C85" s="430"/>
      <c r="D85" s="435"/>
      <c r="E85" s="435"/>
      <c r="F85" s="88"/>
      <c r="G85" s="56">
        <f>SUMIF(JournalsC!D$14:D$920,TrialBalanceC!M85,JournalsC!J$14:J$920)+SUMIF(JournalsC!E$14:E$920,TrialBalanceC!M85,JournalsC!J$14:J$920)</f>
        <v>0</v>
      </c>
      <c r="H85" s="443"/>
      <c r="I85" s="448">
        <f t="shared" si="9"/>
        <v>0</v>
      </c>
      <c r="J85" s="84"/>
      <c r="K85" s="57">
        <f t="shared" si="10"/>
        <v>0</v>
      </c>
      <c r="M85" s="197" t="str">
        <f t="shared" si="11"/>
        <v>2750/001</v>
      </c>
      <c r="N85" s="79"/>
      <c r="P85" s="80"/>
      <c r="Q85" s="60"/>
      <c r="R85" s="34"/>
    </row>
    <row r="86" spans="1:18" x14ac:dyDescent="0.2">
      <c r="A86" s="394"/>
      <c r="B86" s="63" t="s">
        <v>96</v>
      </c>
      <c r="C86" s="432"/>
      <c r="D86" s="440"/>
      <c r="E86" s="435"/>
      <c r="F86" s="88"/>
      <c r="G86" s="56">
        <f>SUMIF(JournalsC!D$14:D$920,TrialBalanceC!M86,JournalsC!J$14:J$920)+SUMIF(JournalsC!E$14:E$920,TrialBalanceC!M86,JournalsC!J$14:J$920)</f>
        <v>0</v>
      </c>
      <c r="H86" s="443"/>
      <c r="I86" s="448">
        <f t="shared" si="9"/>
        <v>0</v>
      </c>
      <c r="J86" s="84"/>
      <c r="K86" s="57">
        <f t="shared" si="10"/>
        <v>0</v>
      </c>
      <c r="M86" s="197" t="str">
        <f t="shared" si="11"/>
        <v>2750/002</v>
      </c>
      <c r="N86" s="79"/>
      <c r="P86" s="80"/>
      <c r="Q86" s="60"/>
      <c r="R86" s="34"/>
    </row>
    <row r="87" spans="1:18" x14ac:dyDescent="0.2">
      <c r="A87" s="394"/>
      <c r="B87" s="63" t="s">
        <v>97</v>
      </c>
      <c r="C87" s="433"/>
      <c r="D87" s="436"/>
      <c r="E87" s="435"/>
      <c r="F87" s="88"/>
      <c r="G87" s="56">
        <f>SUMIF(JournalsC!D$14:D$920,TrialBalanceC!M87,JournalsC!J$14:J$920)+SUMIF(JournalsC!E$14:E$920,TrialBalanceC!M87,JournalsC!J$14:J$920)</f>
        <v>0</v>
      </c>
      <c r="H87" s="443"/>
      <c r="I87" s="448">
        <f t="shared" si="9"/>
        <v>0</v>
      </c>
      <c r="J87" s="84"/>
      <c r="K87" s="57">
        <f t="shared" si="10"/>
        <v>0</v>
      </c>
      <c r="M87" s="197" t="str">
        <f t="shared" si="11"/>
        <v>2750/003</v>
      </c>
      <c r="N87" s="79"/>
      <c r="P87" s="80"/>
      <c r="Q87" s="60"/>
      <c r="R87" s="34"/>
    </row>
    <row r="88" spans="1:18" x14ac:dyDescent="0.2">
      <c r="A88" s="394"/>
      <c r="B88" s="63" t="s">
        <v>98</v>
      </c>
      <c r="C88" s="433"/>
      <c r="D88" s="436"/>
      <c r="E88" s="435"/>
      <c r="F88" s="88"/>
      <c r="G88" s="56">
        <f>SUMIF(JournalsC!D$14:D$920,TrialBalanceC!M88,JournalsC!J$14:J$920)+SUMIF(JournalsC!E$14:E$920,TrialBalanceC!M88,JournalsC!J$14:J$920)</f>
        <v>0</v>
      </c>
      <c r="H88" s="443"/>
      <c r="I88" s="448">
        <f t="shared" si="9"/>
        <v>0</v>
      </c>
      <c r="J88" s="84"/>
      <c r="K88" s="57">
        <f t="shared" si="10"/>
        <v>0</v>
      </c>
      <c r="M88" s="197" t="str">
        <f t="shared" si="11"/>
        <v>2750/004</v>
      </c>
      <c r="N88" s="79"/>
      <c r="P88" s="80"/>
      <c r="Q88" s="60"/>
      <c r="R88" s="34"/>
    </row>
    <row r="89" spans="1:18" x14ac:dyDescent="0.2">
      <c r="A89" s="394"/>
      <c r="B89" s="63" t="s">
        <v>230</v>
      </c>
      <c r="C89" s="397" t="s">
        <v>361</v>
      </c>
      <c r="D89" s="436"/>
      <c r="E89" s="435"/>
      <c r="F89" s="88"/>
      <c r="G89" s="56">
        <f>SUMIF(JournalsC!D$14:D$920,TrialBalanceC!M89,JournalsC!J$14:J$920)+SUMIF(JournalsC!E$14:E$920,TrialBalanceC!M89,JournalsC!J$14:J$920)</f>
        <v>0</v>
      </c>
      <c r="H89" s="443"/>
      <c r="I89" s="448">
        <f t="shared" si="9"/>
        <v>0</v>
      </c>
      <c r="J89" s="84"/>
      <c r="K89" s="57">
        <f t="shared" si="10"/>
        <v>0</v>
      </c>
      <c r="M89" s="197" t="str">
        <f t="shared" si="11"/>
        <v>2800/000Dividends received----------------------</v>
      </c>
      <c r="N89" s="79"/>
      <c r="P89" s="80"/>
      <c r="Q89" s="60"/>
      <c r="R89" s="34"/>
    </row>
    <row r="90" spans="1:18" x14ac:dyDescent="0.2">
      <c r="A90" s="394"/>
      <c r="B90" s="63" t="s">
        <v>362</v>
      </c>
      <c r="C90" s="398" t="s">
        <v>915</v>
      </c>
      <c r="D90" s="436"/>
      <c r="E90" s="435"/>
      <c r="F90" s="88"/>
      <c r="G90" s="56">
        <f>SUMIF(JournalsC!D$14:D$920,TrialBalanceC!M90,JournalsC!J$14:J$920)+SUMIF(JournalsC!E$14:E$920,TrialBalanceC!M90,JournalsC!J$14:J$920)</f>
        <v>0</v>
      </c>
      <c r="H90" s="443"/>
      <c r="I90" s="448">
        <f t="shared" si="9"/>
        <v>0</v>
      </c>
      <c r="J90" s="84"/>
      <c r="K90" s="57">
        <f t="shared" si="10"/>
        <v>0</v>
      </c>
      <c r="M90" s="197" t="str">
        <f t="shared" si="11"/>
        <v>2800/001Div.'s received - SA sources</v>
      </c>
      <c r="N90" s="79"/>
      <c r="P90" s="80"/>
      <c r="Q90" s="60"/>
      <c r="R90" s="34"/>
    </row>
    <row r="91" spans="1:18" x14ac:dyDescent="0.2">
      <c r="A91" s="394"/>
      <c r="B91" s="63" t="s">
        <v>240</v>
      </c>
      <c r="C91" s="398" t="s">
        <v>1320</v>
      </c>
      <c r="D91" s="436"/>
      <c r="E91" s="435"/>
      <c r="F91" s="88"/>
      <c r="G91" s="56">
        <f>SUMIF(JournalsC!D$14:D$920,TrialBalanceC!M91,JournalsC!J$14:J$920)+SUMIF(JournalsC!E$14:E$920,TrialBalanceC!M91,JournalsC!J$14:J$920)</f>
        <v>0</v>
      </c>
      <c r="H91" s="443"/>
      <c r="I91" s="448">
        <f t="shared" ref="I91" si="12">ROUND(D91-E91+G91+F91,0)</f>
        <v>0</v>
      </c>
      <c r="J91" s="84"/>
      <c r="K91" s="57">
        <f t="shared" ref="K91" si="13">ROUND(SUM(A91),0)</f>
        <v>0</v>
      </c>
      <c r="M91" s="197" t="str">
        <f t="shared" ref="M91" si="14">CONCATENATE(B91,C91)</f>
        <v>2800/002Div.'s received - Associates</v>
      </c>
      <c r="N91" s="79"/>
      <c r="P91" s="80"/>
      <c r="Q91" s="60"/>
      <c r="R91" s="34"/>
    </row>
    <row r="92" spans="1:18" x14ac:dyDescent="0.2">
      <c r="A92" s="394"/>
      <c r="B92" s="114" t="s">
        <v>1319</v>
      </c>
      <c r="C92" s="398" t="s">
        <v>916</v>
      </c>
      <c r="D92" s="436"/>
      <c r="E92" s="435"/>
      <c r="F92" s="88"/>
      <c r="G92" s="56">
        <f>SUMIF(JournalsC!D$14:D$920,TrialBalanceC!M92,JournalsC!J$14:J$920)+SUMIF(JournalsC!E$14:E$920,TrialBalanceC!M92,JournalsC!J$14:J$920)</f>
        <v>0</v>
      </c>
      <c r="H92" s="443"/>
      <c r="I92" s="448">
        <f t="shared" si="9"/>
        <v>0</v>
      </c>
      <c r="J92" s="84"/>
      <c r="K92" s="57">
        <f t="shared" si="10"/>
        <v>0</v>
      </c>
      <c r="M92" s="197" t="str">
        <f t="shared" si="11"/>
        <v>2800/003Div.'s received - Foreign div.'s</v>
      </c>
      <c r="N92" s="79"/>
      <c r="P92" s="80"/>
      <c r="Q92" s="60"/>
      <c r="R92" s="34"/>
    </row>
    <row r="93" spans="1:18" x14ac:dyDescent="0.2">
      <c r="A93" s="394"/>
      <c r="B93" s="63" t="s">
        <v>241</v>
      </c>
      <c r="C93" s="398" t="s">
        <v>776</v>
      </c>
      <c r="D93" s="438"/>
      <c r="E93" s="435"/>
      <c r="F93" s="88"/>
      <c r="G93" s="56">
        <f>SUMIF(JournalsC!D$14:D$920,TrialBalanceC!M93,JournalsC!J$14:J$920)+SUMIF(JournalsC!E$14:E$920,TrialBalanceC!M93,JournalsC!J$14:J$920)</f>
        <v>0</v>
      </c>
      <c r="H93" s="443"/>
      <c r="I93" s="448">
        <f t="shared" si="9"/>
        <v>0</v>
      </c>
      <c r="J93" s="84"/>
      <c r="K93" s="57">
        <f t="shared" si="10"/>
        <v>0</v>
      </c>
      <c r="M93" s="197" t="str">
        <f t="shared" si="11"/>
        <v>2810/000(Profit)/Loss on sale of fixed assets</v>
      </c>
      <c r="N93" s="79"/>
      <c r="P93" s="80"/>
      <c r="Q93" s="60"/>
      <c r="R93" s="34"/>
    </row>
    <row r="94" spans="1:18" x14ac:dyDescent="0.2">
      <c r="A94" s="394"/>
      <c r="B94" s="63" t="s">
        <v>242</v>
      </c>
      <c r="C94" s="395" t="s">
        <v>243</v>
      </c>
      <c r="D94" s="436"/>
      <c r="E94" s="435"/>
      <c r="F94" s="88"/>
      <c r="G94" s="56">
        <f>SUMIF(JournalsC!D$14:D$920,TrialBalanceC!M94,JournalsC!J$14:J$920)+SUMIF(JournalsC!E$14:E$920,TrialBalanceC!M94,JournalsC!J$14:J$920)</f>
        <v>0</v>
      </c>
      <c r="H94" s="443"/>
      <c r="I94" s="448">
        <f t="shared" si="9"/>
        <v>0</v>
      </c>
      <c r="J94" s="84"/>
      <c r="K94" s="57">
        <f t="shared" si="10"/>
        <v>0</v>
      </c>
      <c r="M94" s="197" t="str">
        <f t="shared" si="11"/>
        <v>2820/000Bad debts recovered</v>
      </c>
      <c r="N94" s="79"/>
      <c r="P94" s="80"/>
      <c r="Q94" s="60"/>
      <c r="R94" s="34"/>
    </row>
    <row r="95" spans="1:18" x14ac:dyDescent="0.2">
      <c r="A95" s="394"/>
      <c r="B95" s="63" t="s">
        <v>244</v>
      </c>
      <c r="C95" s="395" t="s">
        <v>245</v>
      </c>
      <c r="D95" s="436"/>
      <c r="E95" s="435"/>
      <c r="F95" s="88"/>
      <c r="G95" s="56">
        <f>SUMIF(JournalsC!D$14:D$920,TrialBalanceC!M95,JournalsC!J$14:J$920)+SUMIF(JournalsC!E$14:E$920,TrialBalanceC!M95,JournalsC!J$14:J$920)</f>
        <v>0</v>
      </c>
      <c r="H95" s="443"/>
      <c r="I95" s="448">
        <f t="shared" si="9"/>
        <v>0</v>
      </c>
      <c r="J95" s="84"/>
      <c r="K95" s="57">
        <f t="shared" si="10"/>
        <v>0</v>
      </c>
      <c r="M95" s="197" t="str">
        <f t="shared" si="11"/>
        <v>2830/000Other income</v>
      </c>
      <c r="N95" s="79"/>
      <c r="P95" s="60"/>
      <c r="Q95" s="60"/>
      <c r="R95" s="34"/>
    </row>
    <row r="96" spans="1:18" x14ac:dyDescent="0.2">
      <c r="A96" s="394"/>
      <c r="B96" s="114" t="s">
        <v>1546</v>
      </c>
      <c r="C96" s="398" t="s">
        <v>1547</v>
      </c>
      <c r="D96" s="436"/>
      <c r="E96" s="435"/>
      <c r="F96" s="88"/>
      <c r="G96" s="56">
        <f>SUMIF(JournalsC!D$14:D$920,TrialBalanceC!M96,JournalsC!J$14:J$920)+SUMIF(JournalsC!E$14:E$920,TrialBalanceC!M96,JournalsC!J$14:J$920)</f>
        <v>0</v>
      </c>
      <c r="H96" s="443"/>
      <c r="I96" s="448">
        <f t="shared" ref="I96" si="15">ROUND(D96-E96+G96+F96,0)</f>
        <v>0</v>
      </c>
      <c r="J96" s="84"/>
      <c r="K96" s="57">
        <f t="shared" ref="K96" si="16">ROUND(SUM(A96),0)</f>
        <v>0</v>
      </c>
      <c r="M96" s="197" t="str">
        <f t="shared" ref="M96" si="17">CONCATENATE(B96,C96)</f>
        <v>2840/000Revaluation of investment property</v>
      </c>
      <c r="N96" s="79"/>
      <c r="P96" s="60"/>
      <c r="Q96" s="60"/>
      <c r="R96" s="34"/>
    </row>
    <row r="97" spans="1:18" x14ac:dyDescent="0.2">
      <c r="A97" s="394"/>
      <c r="B97" s="63" t="s">
        <v>246</v>
      </c>
      <c r="C97" s="397" t="s">
        <v>1304</v>
      </c>
      <c r="D97" s="437"/>
      <c r="E97" s="435"/>
      <c r="F97" s="88"/>
      <c r="G97" s="56">
        <f>SUMIF(JournalsC!D$14:D$920,TrialBalanceC!M97,JournalsC!J$14:J$920)+SUMIF(JournalsC!E$14:E$920,TrialBalanceC!M97,JournalsC!J$14:J$920)</f>
        <v>0</v>
      </c>
      <c r="H97" s="443"/>
      <c r="I97" s="448">
        <f t="shared" si="9"/>
        <v>0</v>
      </c>
      <c r="J97" s="84"/>
      <c r="K97" s="57">
        <f t="shared" si="10"/>
        <v>0</v>
      </c>
      <c r="M97" s="197" t="str">
        <f t="shared" si="11"/>
        <v>3000/000ADMINISTRATIVE EXPENSES</v>
      </c>
      <c r="N97" s="79"/>
      <c r="P97" s="80"/>
      <c r="Q97" s="60"/>
      <c r="R97" s="34"/>
    </row>
    <row r="98" spans="1:18" x14ac:dyDescent="0.2">
      <c r="A98" s="394"/>
      <c r="B98" s="63" t="s">
        <v>247</v>
      </c>
      <c r="C98" s="395" t="s">
        <v>248</v>
      </c>
      <c r="D98" s="436"/>
      <c r="E98" s="435"/>
      <c r="F98" s="88"/>
      <c r="G98" s="56">
        <f>SUMIF(JournalsC!D$14:D$920,TrialBalanceC!M98,JournalsC!J$14:J$920)+SUMIF(JournalsC!E$14:E$920,TrialBalanceC!M98,JournalsC!J$14:J$920)</f>
        <v>0</v>
      </c>
      <c r="H98" s="443"/>
      <c r="I98" s="448">
        <f t="shared" si="9"/>
        <v>0</v>
      </c>
      <c r="J98" s="84"/>
      <c r="K98" s="57">
        <f t="shared" si="10"/>
        <v>0</v>
      </c>
      <c r="M98" s="197" t="str">
        <f t="shared" si="11"/>
        <v>3000/011Audit fees for current year</v>
      </c>
      <c r="N98" s="79"/>
      <c r="P98" s="60"/>
      <c r="Q98" s="60"/>
      <c r="R98" s="34"/>
    </row>
    <row r="99" spans="1:18" x14ac:dyDescent="0.2">
      <c r="A99" s="394"/>
      <c r="B99" s="63" t="s">
        <v>249</v>
      </c>
      <c r="C99" s="402" t="s">
        <v>421</v>
      </c>
      <c r="D99" s="428"/>
      <c r="E99" s="435"/>
      <c r="F99" s="88"/>
      <c r="G99" s="56">
        <f>SUMIF(JournalsC!D$14:D$920,TrialBalanceC!M99,JournalsC!J$14:J$920)+SUMIF(JournalsC!E$14:E$920,TrialBalanceC!M99,JournalsC!J$14:J$920)</f>
        <v>0</v>
      </c>
      <c r="H99" s="443"/>
      <c r="I99" s="448">
        <f t="shared" si="9"/>
        <v>0</v>
      </c>
      <c r="J99" s="84"/>
      <c r="K99" s="57">
        <f t="shared" si="10"/>
        <v>0</v>
      </c>
      <c r="M99" s="197" t="str">
        <f t="shared" si="11"/>
        <v>3000/012Under provision previous year</v>
      </c>
      <c r="N99" s="79"/>
      <c r="P99" s="80"/>
      <c r="Q99" s="60"/>
      <c r="R99" s="34"/>
    </row>
    <row r="100" spans="1:18" x14ac:dyDescent="0.2">
      <c r="A100" s="394"/>
      <c r="B100" s="63" t="s">
        <v>250</v>
      </c>
      <c r="C100" s="395" t="s">
        <v>251</v>
      </c>
      <c r="D100" s="436"/>
      <c r="E100" s="435"/>
      <c r="F100" s="88"/>
      <c r="G100" s="56">
        <f>SUMIF(JournalsC!D$14:D$920,TrialBalanceC!M100,JournalsC!J$14:J$920)+SUMIF(JournalsC!E$14:E$920,TrialBalanceC!M100,JournalsC!J$14:J$920)</f>
        <v>0</v>
      </c>
      <c r="H100" s="443"/>
      <c r="I100" s="448">
        <f t="shared" si="9"/>
        <v>0</v>
      </c>
      <c r="J100" s="84"/>
      <c r="K100" s="57">
        <f t="shared" si="10"/>
        <v>0</v>
      </c>
      <c r="M100" s="197" t="str">
        <f t="shared" si="11"/>
        <v>3000/013Overprovision previous year</v>
      </c>
      <c r="N100" s="79"/>
      <c r="P100" s="80"/>
      <c r="Q100" s="60"/>
      <c r="R100" s="34"/>
    </row>
    <row r="101" spans="1:18" x14ac:dyDescent="0.2">
      <c r="A101" s="394"/>
      <c r="B101" s="63" t="s">
        <v>252</v>
      </c>
      <c r="C101" s="395" t="s">
        <v>253</v>
      </c>
      <c r="D101" s="436"/>
      <c r="E101" s="435"/>
      <c r="F101" s="88"/>
      <c r="G101" s="56">
        <f>SUMIF(JournalsC!D$14:D$920,TrialBalanceC!M101,JournalsC!J$14:J$920)+SUMIF(JournalsC!E$14:E$920,TrialBalanceC!M101,JournalsC!J$14:J$920)</f>
        <v>0</v>
      </c>
      <c r="H101" s="443"/>
      <c r="I101" s="448">
        <f t="shared" si="9"/>
        <v>0</v>
      </c>
      <c r="J101" s="84"/>
      <c r="K101" s="57">
        <f t="shared" si="10"/>
        <v>0</v>
      </c>
      <c r="M101" s="197" t="str">
        <f t="shared" si="11"/>
        <v>3000/014Accounting fees</v>
      </c>
      <c r="N101" s="79"/>
      <c r="P101" s="80"/>
      <c r="Q101" s="60"/>
      <c r="R101" s="34"/>
    </row>
    <row r="102" spans="1:18" x14ac:dyDescent="0.2">
      <c r="A102" s="394"/>
      <c r="B102" s="63" t="s">
        <v>254</v>
      </c>
      <c r="C102" s="395" t="s">
        <v>255</v>
      </c>
      <c r="D102" s="436"/>
      <c r="E102" s="435"/>
      <c r="F102" s="88"/>
      <c r="G102" s="56">
        <f>SUMIF(JournalsC!D$14:D$920,TrialBalanceC!M102,JournalsC!J$14:J$920)+SUMIF(JournalsC!E$14:E$920,TrialBalanceC!M102,JournalsC!J$14:J$920)</f>
        <v>0</v>
      </c>
      <c r="H102" s="443"/>
      <c r="I102" s="448">
        <f>ROUND(D102-E102+G102+F102,0)</f>
        <v>0</v>
      </c>
      <c r="J102" s="84"/>
      <c r="K102" s="57">
        <f t="shared" si="10"/>
        <v>0</v>
      </c>
      <c r="M102" s="197" t="str">
        <f t="shared" si="11"/>
        <v>3000/020Bank charges</v>
      </c>
      <c r="N102" s="79"/>
      <c r="P102" s="80"/>
      <c r="Q102" s="60"/>
      <c r="R102" s="34"/>
    </row>
    <row r="103" spans="1:18" x14ac:dyDescent="0.2">
      <c r="A103" s="394"/>
      <c r="B103" s="63" t="s">
        <v>256</v>
      </c>
      <c r="C103" s="395" t="s">
        <v>257</v>
      </c>
      <c r="D103" s="436"/>
      <c r="E103" s="435"/>
      <c r="F103" s="88"/>
      <c r="G103" s="56">
        <f>SUMIF(JournalsC!D$14:D$920,TrialBalanceC!M103,JournalsC!J$14:J$920)+SUMIF(JournalsC!E$14:E$920,TrialBalanceC!M103,JournalsC!J$14:J$920)</f>
        <v>0</v>
      </c>
      <c r="H103" s="443"/>
      <c r="I103" s="448">
        <f t="shared" ref="I103:I170" si="18">ROUND(D103-E103+G103+F103,0)</f>
        <v>0</v>
      </c>
      <c r="J103" s="84"/>
      <c r="K103" s="57">
        <f t="shared" si="10"/>
        <v>0</v>
      </c>
      <c r="M103" s="197" t="str">
        <f t="shared" si="11"/>
        <v>3000/030Bad debts</v>
      </c>
      <c r="N103" s="79"/>
      <c r="P103" s="80"/>
      <c r="Q103" s="60"/>
      <c r="R103" s="34"/>
    </row>
    <row r="104" spans="1:18" x14ac:dyDescent="0.2">
      <c r="A104" s="394"/>
      <c r="B104" s="63" t="s">
        <v>258</v>
      </c>
      <c r="C104" s="395" t="s">
        <v>314</v>
      </c>
      <c r="D104" s="436"/>
      <c r="E104" s="435"/>
      <c r="F104" s="88"/>
      <c r="G104" s="56">
        <f>SUMIF(JournalsC!D$14:D$920,TrialBalanceC!M104,JournalsC!J$14:J$920)+SUMIF(JournalsC!E$14:E$920,TrialBalanceC!M104,JournalsC!J$14:J$920)</f>
        <v>0</v>
      </c>
      <c r="H104" s="443"/>
      <c r="I104" s="448">
        <f t="shared" si="18"/>
        <v>0</v>
      </c>
      <c r="J104" s="84"/>
      <c r="K104" s="57">
        <f t="shared" si="10"/>
        <v>0</v>
      </c>
      <c r="M104" s="197" t="str">
        <f t="shared" si="11"/>
        <v>3000/040Cleaning</v>
      </c>
      <c r="N104" s="79"/>
      <c r="P104" s="80"/>
      <c r="Q104" s="60"/>
      <c r="R104" s="34"/>
    </row>
    <row r="105" spans="1:18" x14ac:dyDescent="0.2">
      <c r="A105" s="394"/>
      <c r="B105" s="63" t="s">
        <v>259</v>
      </c>
      <c r="C105" s="395" t="s">
        <v>260</v>
      </c>
      <c r="D105" s="436"/>
      <c r="E105" s="435"/>
      <c r="F105" s="88"/>
      <c r="G105" s="56">
        <f>SUMIF(JournalsC!D$14:D$920,TrialBalanceC!M105,JournalsC!J$14:J$920)+SUMIF(JournalsC!E$14:E$920,TrialBalanceC!M105,JournalsC!J$14:J$920)</f>
        <v>0</v>
      </c>
      <c r="H105" s="443"/>
      <c r="I105" s="448">
        <f t="shared" si="18"/>
        <v>0</v>
      </c>
      <c r="J105" s="84"/>
      <c r="K105" s="57">
        <f t="shared" si="10"/>
        <v>0</v>
      </c>
      <c r="M105" s="197" t="str">
        <f t="shared" si="11"/>
        <v>3000/050Computer expenses</v>
      </c>
      <c r="N105" s="79"/>
      <c r="P105" s="80"/>
      <c r="Q105" s="60"/>
      <c r="R105" s="34"/>
    </row>
    <row r="106" spans="1:18" x14ac:dyDescent="0.2">
      <c r="A106" s="394"/>
      <c r="B106" s="114" t="s">
        <v>837</v>
      </c>
      <c r="C106" s="398" t="s">
        <v>935</v>
      </c>
      <c r="D106" s="436"/>
      <c r="E106" s="435"/>
      <c r="F106" s="88"/>
      <c r="G106" s="56">
        <f>SUMIF(JournalsC!D$14:D$920,TrialBalanceC!M106,JournalsC!J$14:J$920)+SUMIF(JournalsC!E$14:E$920,TrialBalanceC!M106,JournalsC!J$14:J$920)</f>
        <v>0</v>
      </c>
      <c r="H106" s="443"/>
      <c r="I106" s="448">
        <f t="shared" ref="I106" si="19">ROUND(D106-E106+G106+F106,0)</f>
        <v>0</v>
      </c>
      <c r="J106" s="84"/>
      <c r="K106" s="57">
        <f t="shared" ref="K106" si="20">ROUND(SUM(A106),0)</f>
        <v>0</v>
      </c>
      <c r="M106" s="197" t="str">
        <f t="shared" ref="M106" si="21">CONCATENATE(B106,C106)</f>
        <v>3000/055Consulting and professional fees</v>
      </c>
      <c r="N106" s="79"/>
      <c r="P106" s="80"/>
      <c r="Q106" s="60"/>
      <c r="R106" s="34"/>
    </row>
    <row r="107" spans="1:18" x14ac:dyDescent="0.2">
      <c r="A107" s="394"/>
      <c r="B107" s="63" t="s">
        <v>261</v>
      </c>
      <c r="C107" s="397" t="s">
        <v>487</v>
      </c>
      <c r="D107" s="437"/>
      <c r="E107" s="435"/>
      <c r="F107" s="88"/>
      <c r="G107" s="56">
        <f>SUMIF(JournalsC!D$14:D$920,TrialBalanceC!M107,JournalsC!J$14:J$920)+SUMIF(JournalsC!E$14:E$920,TrialBalanceC!M107,JournalsC!J$14:J$920)</f>
        <v>0</v>
      </c>
      <c r="H107" s="443"/>
      <c r="I107" s="448">
        <f t="shared" si="18"/>
        <v>0</v>
      </c>
      <c r="J107" s="84"/>
      <c r="K107" s="57">
        <f t="shared" si="10"/>
        <v>0</v>
      </c>
      <c r="M107" s="197" t="str">
        <f t="shared" si="11"/>
        <v>3000/060Depreciation----------------------------</v>
      </c>
      <c r="N107" s="79"/>
      <c r="P107" s="80"/>
      <c r="Q107" s="60"/>
      <c r="R107" s="34"/>
    </row>
    <row r="108" spans="1:18" x14ac:dyDescent="0.2">
      <c r="A108" s="394"/>
      <c r="B108" s="114" t="s">
        <v>262</v>
      </c>
      <c r="C108" s="396" t="s">
        <v>65</v>
      </c>
      <c r="D108" s="435"/>
      <c r="E108" s="435"/>
      <c r="F108" s="88"/>
      <c r="G108" s="56">
        <f>SUMIF(JournalsC!D$14:D$920,TrialBalanceC!M108,JournalsC!J$14:J$920)+SUMIF(JournalsC!E$14:E$920,TrialBalanceC!M108,JournalsC!J$14:J$920)</f>
        <v>0</v>
      </c>
      <c r="H108" s="443"/>
      <c r="I108" s="448">
        <f t="shared" si="18"/>
        <v>0</v>
      </c>
      <c r="J108" s="84"/>
      <c r="K108" s="57">
        <f t="shared" si="10"/>
        <v>0</v>
      </c>
      <c r="M108" s="197" t="str">
        <f t="shared" si="11"/>
        <v>3000/061Depr - Electronic equipment</v>
      </c>
      <c r="N108" s="79"/>
      <c r="P108" s="80"/>
      <c r="Q108" s="60"/>
      <c r="R108" s="34"/>
    </row>
    <row r="109" spans="1:18" x14ac:dyDescent="0.2">
      <c r="A109" s="394"/>
      <c r="B109" s="114" t="s">
        <v>434</v>
      </c>
      <c r="C109" s="398" t="s">
        <v>997</v>
      </c>
      <c r="D109" s="436"/>
      <c r="E109" s="435"/>
      <c r="F109" s="88"/>
      <c r="G109" s="56">
        <f>SUMIF(JournalsC!D$14:D$920,TrialBalanceC!M109,JournalsC!J$14:J$920)+SUMIF(JournalsC!E$14:E$920,TrialBalanceC!M109,JournalsC!J$14:J$920)</f>
        <v>0</v>
      </c>
      <c r="H109" s="443"/>
      <c r="I109" s="448">
        <f t="shared" si="18"/>
        <v>0</v>
      </c>
      <c r="J109" s="84"/>
      <c r="K109" s="57">
        <f t="shared" si="10"/>
        <v>0</v>
      </c>
      <c r="M109" s="197" t="str">
        <f t="shared" si="11"/>
        <v>3000/063Depr - Furniture and fittings</v>
      </c>
      <c r="N109" s="79"/>
      <c r="P109" s="80"/>
      <c r="Q109" s="60"/>
      <c r="R109" s="34"/>
    </row>
    <row r="110" spans="1:18" x14ac:dyDescent="0.2">
      <c r="A110" s="394"/>
      <c r="B110" s="63" t="s">
        <v>435</v>
      </c>
      <c r="C110" s="397" t="s">
        <v>722</v>
      </c>
      <c r="D110" s="437"/>
      <c r="E110" s="435"/>
      <c r="F110" s="88"/>
      <c r="G110" s="56">
        <f>SUMIF(JournalsC!D$14:D$920,TrialBalanceC!M110,JournalsC!J$14:J$920)+SUMIF(JournalsC!E$14:E$920,TrialBalanceC!M110,JournalsC!J$14:J$920)</f>
        <v>0</v>
      </c>
      <c r="H110" s="443"/>
      <c r="I110" s="448">
        <f t="shared" si="18"/>
        <v>0</v>
      </c>
      <c r="J110" s="84"/>
      <c r="K110" s="57">
        <f t="shared" si="10"/>
        <v>0</v>
      </c>
      <c r="M110" s="197" t="str">
        <f t="shared" si="11"/>
        <v>3000/070Directors' remuneration-----------------</v>
      </c>
      <c r="N110" s="79"/>
      <c r="P110" s="80"/>
      <c r="Q110" s="60"/>
      <c r="R110" s="34"/>
    </row>
    <row r="111" spans="1:18" x14ac:dyDescent="0.2">
      <c r="A111" s="394"/>
      <c r="B111" s="63" t="s">
        <v>436</v>
      </c>
      <c r="C111" s="430" t="str">
        <f>Criteria!E41</f>
        <v>A Director</v>
      </c>
      <c r="D111" s="435"/>
      <c r="E111" s="435"/>
      <c r="F111" s="88"/>
      <c r="G111" s="56">
        <f>SUMIF(JournalsC!D$14:D$920,TrialBalanceC!M111,JournalsC!J$14:J$920)+SUMIF(JournalsC!E$14:E$920,TrialBalanceC!M111,JournalsC!J$14:J$920)</f>
        <v>0</v>
      </c>
      <c r="H111" s="443"/>
      <c r="I111" s="448">
        <f t="shared" si="18"/>
        <v>0</v>
      </c>
      <c r="J111" s="84"/>
      <c r="K111" s="57">
        <f t="shared" si="10"/>
        <v>0</v>
      </c>
      <c r="M111" s="197" t="str">
        <f t="shared" si="11"/>
        <v>3000/071A Director</v>
      </c>
      <c r="N111" s="79"/>
      <c r="P111" s="80"/>
      <c r="Q111" s="60"/>
      <c r="R111" s="34"/>
    </row>
    <row r="112" spans="1:18" x14ac:dyDescent="0.2">
      <c r="A112" s="394"/>
      <c r="B112" s="63" t="s">
        <v>437</v>
      </c>
      <c r="C112" s="430" t="str">
        <f>Criteria!E42</f>
        <v>C Director</v>
      </c>
      <c r="D112" s="435"/>
      <c r="E112" s="435"/>
      <c r="F112" s="88"/>
      <c r="G112" s="56">
        <f>SUMIF(JournalsC!D$14:D$920,TrialBalanceC!M112,JournalsC!J$14:J$920)+SUMIF(JournalsC!E$14:E$920,TrialBalanceC!M112,JournalsC!J$14:J$920)</f>
        <v>0</v>
      </c>
      <c r="H112" s="443"/>
      <c r="I112" s="448">
        <f t="shared" si="18"/>
        <v>0</v>
      </c>
      <c r="J112" s="84"/>
      <c r="K112" s="57">
        <f t="shared" si="10"/>
        <v>0</v>
      </c>
      <c r="M112" s="197" t="str">
        <f t="shared" si="11"/>
        <v>3000/072C Director</v>
      </c>
      <c r="N112" s="79"/>
      <c r="P112" s="80"/>
      <c r="Q112" s="60"/>
      <c r="R112" s="34"/>
    </row>
    <row r="113" spans="1:18" x14ac:dyDescent="0.2">
      <c r="A113" s="394"/>
      <c r="B113" s="63" t="s">
        <v>438</v>
      </c>
      <c r="C113" s="430">
        <f>Criteria!E43</f>
        <v>0</v>
      </c>
      <c r="D113" s="435"/>
      <c r="E113" s="435"/>
      <c r="F113" s="88"/>
      <c r="G113" s="56">
        <f>SUMIF(JournalsC!D$14:D$920,TrialBalanceC!M113,JournalsC!J$14:J$920)+SUMIF(JournalsC!E$14:E$920,TrialBalanceC!M113,JournalsC!J$14:J$920)</f>
        <v>0</v>
      </c>
      <c r="H113" s="443"/>
      <c r="I113" s="448">
        <f t="shared" si="18"/>
        <v>0</v>
      </c>
      <c r="J113" s="84"/>
      <c r="K113" s="57">
        <f t="shared" si="10"/>
        <v>0</v>
      </c>
      <c r="M113" s="197" t="str">
        <f t="shared" si="11"/>
        <v>3000/0730</v>
      </c>
      <c r="N113" s="79"/>
      <c r="P113" s="80"/>
      <c r="Q113" s="60"/>
      <c r="R113" s="34"/>
    </row>
    <row r="114" spans="1:18" x14ac:dyDescent="0.2">
      <c r="A114" s="394"/>
      <c r="B114" s="63" t="s">
        <v>439</v>
      </c>
      <c r="C114" s="430">
        <f>Criteria!E44</f>
        <v>0</v>
      </c>
      <c r="D114" s="435"/>
      <c r="E114" s="435"/>
      <c r="F114" s="88"/>
      <c r="G114" s="56">
        <f>SUMIF(JournalsC!D$14:D$920,TrialBalanceC!M114,JournalsC!J$14:J$920)+SUMIF(JournalsC!E$14:E$920,TrialBalanceC!M114,JournalsC!J$14:J$920)</f>
        <v>0</v>
      </c>
      <c r="H114" s="443"/>
      <c r="I114" s="448">
        <f t="shared" si="18"/>
        <v>0</v>
      </c>
      <c r="J114" s="84"/>
      <c r="K114" s="57">
        <f t="shared" si="10"/>
        <v>0</v>
      </c>
      <c r="M114" s="197" t="str">
        <f t="shared" si="11"/>
        <v>3000/0740</v>
      </c>
      <c r="N114" s="79"/>
      <c r="P114" s="80"/>
      <c r="Q114" s="60"/>
      <c r="R114" s="34"/>
    </row>
    <row r="115" spans="1:18" x14ac:dyDescent="0.2">
      <c r="A115" s="394"/>
      <c r="B115" s="63" t="s">
        <v>440</v>
      </c>
      <c r="C115" s="430">
        <f>Criteria!E45</f>
        <v>0</v>
      </c>
      <c r="D115" s="436"/>
      <c r="E115" s="435"/>
      <c r="F115" s="88"/>
      <c r="G115" s="56">
        <f>SUMIF(JournalsC!D$14:D$920,TrialBalanceC!M115,JournalsC!J$14:J$920)+SUMIF(JournalsC!E$14:E$920,TrialBalanceC!M115,JournalsC!J$14:J$920)</f>
        <v>0</v>
      </c>
      <c r="H115" s="443"/>
      <c r="I115" s="448">
        <f t="shared" si="18"/>
        <v>0</v>
      </c>
      <c r="J115" s="84"/>
      <c r="K115" s="57">
        <f t="shared" si="10"/>
        <v>0</v>
      </c>
      <c r="M115" s="197" t="str">
        <f t="shared" si="11"/>
        <v>3000/0750</v>
      </c>
      <c r="N115" s="79"/>
      <c r="P115" s="80"/>
      <c r="Q115" s="60"/>
      <c r="R115" s="34"/>
    </row>
    <row r="116" spans="1:18" x14ac:dyDescent="0.2">
      <c r="A116" s="394"/>
      <c r="B116" s="63" t="s">
        <v>441</v>
      </c>
      <c r="C116" s="395" t="s">
        <v>315</v>
      </c>
      <c r="D116" s="436"/>
      <c r="E116" s="435"/>
      <c r="F116" s="88"/>
      <c r="G116" s="56">
        <f>SUMIF(JournalsC!D$14:D$920,TrialBalanceC!M116,JournalsC!J$14:J$920)+SUMIF(JournalsC!E$14:E$920,TrialBalanceC!M116,JournalsC!J$14:J$920)</f>
        <v>0</v>
      </c>
      <c r="H116" s="443"/>
      <c r="I116" s="448">
        <f t="shared" si="18"/>
        <v>0</v>
      </c>
      <c r="J116" s="84"/>
      <c r="K116" s="57">
        <f t="shared" si="10"/>
        <v>0</v>
      </c>
      <c r="M116" s="197" t="str">
        <f t="shared" si="11"/>
        <v>3000/080Donations</v>
      </c>
      <c r="N116" s="79"/>
      <c r="P116" s="80"/>
      <c r="Q116" s="60"/>
      <c r="R116" s="34"/>
    </row>
    <row r="117" spans="1:18" x14ac:dyDescent="0.2">
      <c r="A117" s="394"/>
      <c r="B117" s="63" t="s">
        <v>442</v>
      </c>
      <c r="C117" s="395" t="s">
        <v>443</v>
      </c>
      <c r="D117" s="436"/>
      <c r="E117" s="435"/>
      <c r="F117" s="88"/>
      <c r="G117" s="56">
        <f>SUMIF(JournalsC!D$14:D$920,TrialBalanceC!M117,JournalsC!J$14:J$920)+SUMIF(JournalsC!E$14:E$920,TrialBalanceC!M117,JournalsC!J$14:J$920)</f>
        <v>0</v>
      </c>
      <c r="H117" s="443"/>
      <c r="I117" s="448">
        <f t="shared" si="18"/>
        <v>0</v>
      </c>
      <c r="J117" s="84"/>
      <c r="K117" s="57">
        <f t="shared" si="10"/>
        <v>0</v>
      </c>
      <c r="M117" s="197" t="str">
        <f t="shared" si="11"/>
        <v>3000/090Entertainment expenses</v>
      </c>
      <c r="N117" s="79"/>
      <c r="P117" s="80"/>
      <c r="Q117" s="60"/>
      <c r="R117" s="34"/>
    </row>
    <row r="118" spans="1:18" x14ac:dyDescent="0.2">
      <c r="A118" s="394"/>
      <c r="B118" s="65" t="s">
        <v>76</v>
      </c>
      <c r="C118" s="402" t="s">
        <v>392</v>
      </c>
      <c r="D118" s="428"/>
      <c r="E118" s="435"/>
      <c r="F118" s="88"/>
      <c r="G118" s="56">
        <f>SUMIF(JournalsC!D$14:D$920,TrialBalanceC!M118,JournalsC!J$14:J$920)+SUMIF(JournalsC!E$14:E$920,TrialBalanceC!M118,JournalsC!J$14:J$920)</f>
        <v>0</v>
      </c>
      <c r="H118" s="443"/>
      <c r="I118" s="448">
        <f t="shared" si="18"/>
        <v>0</v>
      </c>
      <c r="J118" s="84"/>
      <c r="K118" s="57">
        <f t="shared" si="10"/>
        <v>0</v>
      </c>
      <c r="M118" s="197" t="str">
        <f t="shared" si="11"/>
        <v>3000/095Fines</v>
      </c>
      <c r="N118" s="79"/>
      <c r="P118" s="80"/>
      <c r="Q118" s="60"/>
      <c r="R118" s="34"/>
    </row>
    <row r="119" spans="1:18" x14ac:dyDescent="0.2">
      <c r="A119" s="394"/>
      <c r="B119" s="63" t="s">
        <v>444</v>
      </c>
      <c r="C119" s="395" t="s">
        <v>445</v>
      </c>
      <c r="D119" s="436"/>
      <c r="E119" s="435"/>
      <c r="F119" s="88"/>
      <c r="G119" s="56">
        <f>SUMIF(JournalsC!D$14:D$920,TrialBalanceC!M119,JournalsC!J$14:J$920)+SUMIF(JournalsC!E$14:E$920,TrialBalanceC!M119,JournalsC!J$14:J$920)</f>
        <v>0</v>
      </c>
      <c r="H119" s="443"/>
      <c r="I119" s="448">
        <f t="shared" si="18"/>
        <v>0</v>
      </c>
      <c r="J119" s="84"/>
      <c r="K119" s="57">
        <f t="shared" si="10"/>
        <v>0</v>
      </c>
      <c r="M119" s="197" t="str">
        <f t="shared" si="11"/>
        <v>3000/100General expenses</v>
      </c>
      <c r="N119" s="79"/>
      <c r="P119" s="80"/>
      <c r="Q119" s="60"/>
      <c r="R119" s="34"/>
    </row>
    <row r="120" spans="1:18" x14ac:dyDescent="0.2">
      <c r="A120" s="394"/>
      <c r="B120" s="63" t="s">
        <v>363</v>
      </c>
      <c r="C120" s="396" t="s">
        <v>994</v>
      </c>
      <c r="D120" s="428"/>
      <c r="E120" s="435"/>
      <c r="F120" s="88"/>
      <c r="G120" s="56">
        <f>SUMIF(JournalsC!D$14:D$920,TrialBalanceC!M120,JournalsC!J$14:J$920)+SUMIF(JournalsC!E$14:E$920,TrialBalanceC!M120,JournalsC!J$14:J$920)</f>
        <v>0</v>
      </c>
      <c r="H120" s="443"/>
      <c r="I120" s="448">
        <f t="shared" si="18"/>
        <v>0</v>
      </c>
      <c r="J120" s="84"/>
      <c r="K120" s="57">
        <f t="shared" si="10"/>
        <v>0</v>
      </c>
      <c r="M120" s="197" t="str">
        <f t="shared" si="11"/>
        <v>3000/110Legal expenses - tax deductible</v>
      </c>
      <c r="N120" s="79"/>
      <c r="P120" s="80"/>
      <c r="Q120" s="60"/>
      <c r="R120" s="34"/>
    </row>
    <row r="121" spans="1:18" x14ac:dyDescent="0.2">
      <c r="A121" s="394"/>
      <c r="B121" s="63" t="s">
        <v>523</v>
      </c>
      <c r="C121" s="396" t="s">
        <v>995</v>
      </c>
      <c r="D121" s="428"/>
      <c r="E121" s="435"/>
      <c r="F121" s="88"/>
      <c r="G121" s="56">
        <f>SUMIF(JournalsC!D$14:D$920,TrialBalanceC!M121,JournalsC!J$14:J$920)+SUMIF(JournalsC!E$14:E$920,TrialBalanceC!M121,JournalsC!J$14:J$920)</f>
        <v>0</v>
      </c>
      <c r="H121" s="443"/>
      <c r="I121" s="448">
        <f t="shared" si="18"/>
        <v>0</v>
      </c>
      <c r="J121" s="84"/>
      <c r="K121" s="57">
        <f t="shared" si="10"/>
        <v>0</v>
      </c>
      <c r="M121" s="197" t="str">
        <f t="shared" si="11"/>
        <v>3000/111Legal expenses - non deductible</v>
      </c>
      <c r="N121" s="79"/>
      <c r="P121" s="80"/>
      <c r="Q121" s="60"/>
      <c r="R121" s="34"/>
    </row>
    <row r="122" spans="1:18" x14ac:dyDescent="0.2">
      <c r="A122" s="394"/>
      <c r="B122" s="63" t="s">
        <v>364</v>
      </c>
      <c r="C122" s="395" t="s">
        <v>365</v>
      </c>
      <c r="D122" s="436"/>
      <c r="E122" s="435"/>
      <c r="F122" s="88"/>
      <c r="G122" s="56">
        <f>SUMIF(JournalsC!D$14:D$920,TrialBalanceC!M122,JournalsC!J$14:J$920)+SUMIF(JournalsC!E$14:E$920,TrialBalanceC!M122,JournalsC!J$14:J$920)</f>
        <v>0</v>
      </c>
      <c r="H122" s="443"/>
      <c r="I122" s="448">
        <f t="shared" si="18"/>
        <v>0</v>
      </c>
      <c r="J122" s="84"/>
      <c r="K122" s="57">
        <f t="shared" si="10"/>
        <v>0</v>
      </c>
      <c r="M122" s="197" t="str">
        <f t="shared" si="11"/>
        <v>3000/120Printing and stationary</v>
      </c>
      <c r="N122" s="79"/>
      <c r="P122" s="80"/>
      <c r="Q122" s="60"/>
      <c r="R122" s="34"/>
    </row>
    <row r="123" spans="1:18" x14ac:dyDescent="0.2">
      <c r="A123" s="394"/>
      <c r="B123" s="63" t="s">
        <v>366</v>
      </c>
      <c r="C123" s="395" t="s">
        <v>316</v>
      </c>
      <c r="D123" s="436"/>
      <c r="E123" s="435"/>
      <c r="F123" s="88"/>
      <c r="G123" s="56">
        <f>SUMIF(JournalsC!D$14:D$920,TrialBalanceC!M123,JournalsC!J$14:J$920)+SUMIF(JournalsC!E$14:E$920,TrialBalanceC!M123,JournalsC!J$14:J$920)</f>
        <v>0</v>
      </c>
      <c r="H123" s="443"/>
      <c r="I123" s="448">
        <f t="shared" si="18"/>
        <v>0</v>
      </c>
      <c r="J123" s="84"/>
      <c r="K123" s="57">
        <f t="shared" si="10"/>
        <v>0</v>
      </c>
      <c r="M123" s="197" t="str">
        <f t="shared" si="11"/>
        <v>3000/130Refreshments</v>
      </c>
      <c r="N123" s="79"/>
      <c r="P123" s="80"/>
      <c r="Q123" s="60"/>
      <c r="R123" s="34"/>
    </row>
    <row r="124" spans="1:18" x14ac:dyDescent="0.2">
      <c r="A124" s="394"/>
      <c r="B124" s="63" t="s">
        <v>367</v>
      </c>
      <c r="C124" s="395" t="s">
        <v>84</v>
      </c>
      <c r="D124" s="436"/>
      <c r="E124" s="435"/>
      <c r="F124" s="88"/>
      <c r="G124" s="56">
        <f>SUMIF(JournalsC!D$14:D$920,TrialBalanceC!M124,JournalsC!J$14:J$920)+SUMIF(JournalsC!E$14:E$920,TrialBalanceC!M124,JournalsC!J$14:J$920)</f>
        <v>0</v>
      </c>
      <c r="H124" s="443"/>
      <c r="I124" s="448">
        <f t="shared" si="18"/>
        <v>0</v>
      </c>
      <c r="J124" s="84"/>
      <c r="K124" s="57">
        <f t="shared" si="10"/>
        <v>0</v>
      </c>
      <c r="M124" s="197" t="str">
        <f t="shared" si="11"/>
        <v>3000/140Salaries</v>
      </c>
      <c r="N124" s="79"/>
      <c r="P124" s="80"/>
      <c r="Q124" s="60"/>
      <c r="R124" s="34"/>
    </row>
    <row r="125" spans="1:18" x14ac:dyDescent="0.2">
      <c r="A125" s="394"/>
      <c r="B125" s="114" t="s">
        <v>368</v>
      </c>
      <c r="C125" s="395" t="s">
        <v>88</v>
      </c>
      <c r="D125" s="436"/>
      <c r="E125" s="435"/>
      <c r="F125" s="88"/>
      <c r="G125" s="56">
        <f>SUMIF(JournalsC!D$14:D$920,TrialBalanceC!M125,JournalsC!J$14:J$920)+SUMIF(JournalsC!E$14:E$920,TrialBalanceC!M125,JournalsC!J$14:J$920)</f>
        <v>0</v>
      </c>
      <c r="H125" s="443"/>
      <c r="I125" s="448">
        <f t="shared" si="18"/>
        <v>0</v>
      </c>
      <c r="J125" s="84"/>
      <c r="K125" s="57">
        <f t="shared" si="10"/>
        <v>0</v>
      </c>
      <c r="M125" s="197" t="str">
        <f t="shared" si="11"/>
        <v>3000/141Casual wages</v>
      </c>
      <c r="N125" s="79"/>
      <c r="P125" s="80"/>
      <c r="Q125" s="60"/>
      <c r="R125" s="34"/>
    </row>
    <row r="126" spans="1:18" x14ac:dyDescent="0.2">
      <c r="A126" s="394"/>
      <c r="B126" s="63" t="s">
        <v>369</v>
      </c>
      <c r="C126" s="395" t="s">
        <v>317</v>
      </c>
      <c r="D126" s="436"/>
      <c r="E126" s="435"/>
      <c r="F126" s="88"/>
      <c r="G126" s="56">
        <f>SUMIF(JournalsC!D$14:D$920,TrialBalanceC!M126,JournalsC!J$14:J$920)+SUMIF(JournalsC!E$14:E$920,TrialBalanceC!M126,JournalsC!J$14:J$920)</f>
        <v>0</v>
      </c>
      <c r="H126" s="443"/>
      <c r="I126" s="448">
        <f t="shared" si="18"/>
        <v>0</v>
      </c>
      <c r="J126" s="84"/>
      <c r="K126" s="57">
        <f t="shared" si="10"/>
        <v>0</v>
      </c>
      <c r="M126" s="197" t="str">
        <f t="shared" si="11"/>
        <v>3000/150Security</v>
      </c>
      <c r="N126" s="79"/>
      <c r="P126" s="80"/>
      <c r="Q126" s="60"/>
      <c r="R126" s="34"/>
    </row>
    <row r="127" spans="1:18" x14ac:dyDescent="0.2">
      <c r="A127" s="394"/>
      <c r="B127" s="63" t="s">
        <v>370</v>
      </c>
      <c r="C127" s="398" t="s">
        <v>937</v>
      </c>
      <c r="D127" s="438"/>
      <c r="E127" s="435"/>
      <c r="F127" s="88"/>
      <c r="G127" s="56">
        <f>SUMIF(JournalsC!D$14:D$920,TrialBalanceC!M127,JournalsC!J$14:J$920)+SUMIF(JournalsC!E$14:E$920,TrialBalanceC!M127,JournalsC!J$14:J$920)</f>
        <v>0</v>
      </c>
      <c r="H127" s="443"/>
      <c r="I127" s="448">
        <f t="shared" si="18"/>
        <v>0</v>
      </c>
      <c r="J127" s="84"/>
      <c r="K127" s="57">
        <f t="shared" si="10"/>
        <v>0</v>
      </c>
      <c r="M127" s="197" t="str">
        <f t="shared" si="11"/>
        <v>3000/160Subscriptions and membership fees</v>
      </c>
      <c r="N127" s="79"/>
      <c r="P127" s="80"/>
      <c r="Q127" s="60"/>
      <c r="R127" s="34"/>
    </row>
    <row r="128" spans="1:18" x14ac:dyDescent="0.2">
      <c r="A128" s="394"/>
      <c r="B128" s="63" t="s">
        <v>397</v>
      </c>
      <c r="C128" s="398" t="s">
        <v>996</v>
      </c>
      <c r="D128" s="436"/>
      <c r="E128" s="435"/>
      <c r="F128" s="88"/>
      <c r="G128" s="56">
        <f>SUMIF(JournalsC!D$14:D$920,TrialBalanceC!M128,JournalsC!J$14:J$920)+SUMIF(JournalsC!E$14:E$920,TrialBalanceC!M128,JournalsC!J$14:J$920)</f>
        <v>0</v>
      </c>
      <c r="H128" s="443"/>
      <c r="I128" s="448">
        <f t="shared" si="18"/>
        <v>0</v>
      </c>
      <c r="J128" s="84"/>
      <c r="K128" s="57">
        <f t="shared" si="10"/>
        <v>0</v>
      </c>
      <c r="M128" s="197" t="str">
        <f t="shared" si="11"/>
        <v>3000/170Penalties and interest - SARS</v>
      </c>
      <c r="N128" s="79"/>
      <c r="P128" s="80"/>
      <c r="Q128" s="60"/>
      <c r="R128" s="34"/>
    </row>
    <row r="129" spans="1:18" x14ac:dyDescent="0.2">
      <c r="A129" s="394"/>
      <c r="B129" s="63" t="s">
        <v>339</v>
      </c>
      <c r="C129" s="430"/>
      <c r="D129" s="435"/>
      <c r="E129" s="435"/>
      <c r="F129" s="88"/>
      <c r="G129" s="56">
        <f>SUMIF(JournalsC!D$14:D$920,TrialBalanceC!M129,JournalsC!J$14:J$920)+SUMIF(JournalsC!E$14:E$920,TrialBalanceC!M129,JournalsC!J$14:J$920)</f>
        <v>0</v>
      </c>
      <c r="H129" s="443"/>
      <c r="I129" s="448">
        <f t="shared" si="18"/>
        <v>0</v>
      </c>
      <c r="J129" s="84"/>
      <c r="K129" s="57">
        <f t="shared" si="10"/>
        <v>0</v>
      </c>
      <c r="M129" s="197" t="str">
        <f t="shared" si="11"/>
        <v>3000/180</v>
      </c>
      <c r="N129" s="79"/>
      <c r="P129" s="80"/>
      <c r="Q129" s="60"/>
      <c r="R129" s="34"/>
    </row>
    <row r="130" spans="1:18" x14ac:dyDescent="0.2">
      <c r="A130" s="394"/>
      <c r="B130" s="63" t="s">
        <v>340</v>
      </c>
      <c r="C130" s="430"/>
      <c r="D130" s="435"/>
      <c r="E130" s="435"/>
      <c r="F130" s="88"/>
      <c r="G130" s="56">
        <f>SUMIF(JournalsC!D$14:D$920,TrialBalanceC!M130,JournalsC!J$14:J$920)+SUMIF(JournalsC!E$14:E$920,TrialBalanceC!M130,JournalsC!J$14:J$920)</f>
        <v>0</v>
      </c>
      <c r="H130" s="443"/>
      <c r="I130" s="448">
        <f t="shared" si="18"/>
        <v>0</v>
      </c>
      <c r="J130" s="84"/>
      <c r="K130" s="57">
        <f t="shared" si="10"/>
        <v>0</v>
      </c>
      <c r="M130" s="197" t="str">
        <f t="shared" si="11"/>
        <v>3000/190</v>
      </c>
      <c r="N130" s="79"/>
      <c r="P130" s="80"/>
      <c r="Q130" s="60"/>
      <c r="R130" s="34"/>
    </row>
    <row r="131" spans="1:18" x14ac:dyDescent="0.2">
      <c r="A131" s="394"/>
      <c r="B131" s="63" t="s">
        <v>341</v>
      </c>
      <c r="C131" s="431"/>
      <c r="D131" s="428"/>
      <c r="E131" s="435"/>
      <c r="F131" s="88"/>
      <c r="G131" s="56">
        <f>SUMIF(JournalsC!D$14:D$920,TrialBalanceC!M131,JournalsC!J$14:J$920)+SUMIF(JournalsC!E$14:E$920,TrialBalanceC!M131,JournalsC!J$14:J$920)</f>
        <v>0</v>
      </c>
      <c r="H131" s="443"/>
      <c r="I131" s="448">
        <f t="shared" si="18"/>
        <v>0</v>
      </c>
      <c r="J131" s="84"/>
      <c r="K131" s="57">
        <f t="shared" si="10"/>
        <v>0</v>
      </c>
      <c r="M131" s="197" t="str">
        <f t="shared" si="11"/>
        <v>3000/200</v>
      </c>
      <c r="N131" s="79"/>
      <c r="P131" s="80"/>
      <c r="Q131" s="60"/>
      <c r="R131" s="34"/>
    </row>
    <row r="132" spans="1:18" x14ac:dyDescent="0.2">
      <c r="A132" s="394"/>
      <c r="B132" s="63" t="s">
        <v>342</v>
      </c>
      <c r="C132" s="431"/>
      <c r="D132" s="428"/>
      <c r="E132" s="435"/>
      <c r="F132" s="88"/>
      <c r="G132" s="56">
        <f>SUMIF(JournalsC!D$14:D$920,TrialBalanceC!M132,JournalsC!J$14:J$920)+SUMIF(JournalsC!E$14:E$920,TrialBalanceC!M132,JournalsC!J$14:J$920)</f>
        <v>0</v>
      </c>
      <c r="H132" s="443"/>
      <c r="I132" s="448">
        <f t="shared" si="18"/>
        <v>0</v>
      </c>
      <c r="J132" s="84"/>
      <c r="K132" s="57">
        <f t="shared" si="10"/>
        <v>0</v>
      </c>
      <c r="M132" s="197" t="str">
        <f t="shared" si="11"/>
        <v>3000/210</v>
      </c>
      <c r="N132" s="79"/>
      <c r="P132" s="80"/>
      <c r="Q132" s="60"/>
      <c r="R132" s="34"/>
    </row>
    <row r="133" spans="1:18" x14ac:dyDescent="0.2">
      <c r="A133" s="394"/>
      <c r="B133" s="63" t="s">
        <v>343</v>
      </c>
      <c r="C133" s="431"/>
      <c r="D133" s="428"/>
      <c r="E133" s="435"/>
      <c r="F133" s="88"/>
      <c r="G133" s="56">
        <f>SUMIF(JournalsC!D$14:D$920,TrialBalanceC!M133,JournalsC!J$14:J$920)+SUMIF(JournalsC!E$14:E$920,TrialBalanceC!M133,JournalsC!J$14:J$920)</f>
        <v>0</v>
      </c>
      <c r="H133" s="443"/>
      <c r="I133" s="448">
        <f t="shared" si="18"/>
        <v>0</v>
      </c>
      <c r="J133" s="84"/>
      <c r="K133" s="57">
        <f t="shared" si="10"/>
        <v>0</v>
      </c>
      <c r="M133" s="197" t="str">
        <f t="shared" si="11"/>
        <v>3000/220</v>
      </c>
      <c r="N133" s="79"/>
      <c r="P133" s="80"/>
      <c r="Q133" s="60"/>
      <c r="R133" s="34"/>
    </row>
    <row r="134" spans="1:18" x14ac:dyDescent="0.2">
      <c r="A134" s="394"/>
      <c r="B134" s="114" t="s">
        <v>618</v>
      </c>
      <c r="C134" s="431"/>
      <c r="D134" s="428"/>
      <c r="E134" s="435"/>
      <c r="F134" s="88"/>
      <c r="G134" s="56">
        <f>SUMIF(JournalsC!D$14:D$920,TrialBalanceC!M134,JournalsC!J$14:J$920)+SUMIF(JournalsC!E$14:E$920,TrialBalanceC!M134,JournalsC!J$14:J$920)</f>
        <v>0</v>
      </c>
      <c r="H134" s="443"/>
      <c r="I134" s="448">
        <f t="shared" si="18"/>
        <v>0</v>
      </c>
      <c r="J134" s="84"/>
      <c r="K134" s="57">
        <f t="shared" si="10"/>
        <v>0</v>
      </c>
      <c r="M134" s="197" t="str">
        <f t="shared" si="11"/>
        <v>3000/230</v>
      </c>
      <c r="N134" s="79"/>
      <c r="P134" s="80"/>
      <c r="Q134" s="60"/>
      <c r="R134" s="34"/>
    </row>
    <row r="135" spans="1:18" x14ac:dyDescent="0.2">
      <c r="A135" s="394"/>
      <c r="B135" s="114" t="s">
        <v>619</v>
      </c>
      <c r="C135" s="431"/>
      <c r="D135" s="428"/>
      <c r="E135" s="435"/>
      <c r="F135" s="88"/>
      <c r="G135" s="56">
        <f>SUMIF(JournalsC!D$14:D$920,TrialBalanceC!M135,JournalsC!J$14:J$920)+SUMIF(JournalsC!E$14:E$920,TrialBalanceC!M135,JournalsC!J$14:J$920)</f>
        <v>0</v>
      </c>
      <c r="H135" s="443"/>
      <c r="I135" s="448">
        <f t="shared" si="18"/>
        <v>0</v>
      </c>
      <c r="J135" s="84"/>
      <c r="K135" s="57">
        <f t="shared" si="10"/>
        <v>0</v>
      </c>
      <c r="M135" s="197" t="str">
        <f t="shared" si="11"/>
        <v>3000/240</v>
      </c>
      <c r="N135" s="79"/>
      <c r="P135" s="80"/>
      <c r="Q135" s="60"/>
      <c r="R135" s="34"/>
    </row>
    <row r="136" spans="1:18" x14ac:dyDescent="0.2">
      <c r="A136" s="394"/>
      <c r="B136" s="114" t="s">
        <v>620</v>
      </c>
      <c r="C136" s="431"/>
      <c r="D136" s="428"/>
      <c r="E136" s="435"/>
      <c r="F136" s="88"/>
      <c r="G136" s="56">
        <f>SUMIF(JournalsC!D$14:D$920,TrialBalanceC!M136,JournalsC!J$14:J$920)+SUMIF(JournalsC!E$14:E$920,TrialBalanceC!M136,JournalsC!J$14:J$920)</f>
        <v>0</v>
      </c>
      <c r="H136" s="443"/>
      <c r="I136" s="448">
        <f t="shared" si="18"/>
        <v>0</v>
      </c>
      <c r="J136" s="84"/>
      <c r="K136" s="57">
        <f t="shared" si="10"/>
        <v>0</v>
      </c>
      <c r="M136" s="197" t="str">
        <f t="shared" si="11"/>
        <v>3000/250</v>
      </c>
      <c r="N136" s="79"/>
      <c r="P136" s="80"/>
      <c r="Q136" s="60"/>
      <c r="R136" s="34"/>
    </row>
    <row r="137" spans="1:18" x14ac:dyDescent="0.2">
      <c r="A137" s="394"/>
      <c r="B137" s="114" t="s">
        <v>621</v>
      </c>
      <c r="C137" s="431"/>
      <c r="D137" s="428"/>
      <c r="E137" s="435"/>
      <c r="F137" s="88"/>
      <c r="G137" s="56">
        <f>SUMIF(JournalsC!D$14:D$920,TrialBalanceC!M137,JournalsC!J$14:J$920)+SUMIF(JournalsC!E$14:E$920,TrialBalanceC!M137,JournalsC!J$14:J$920)</f>
        <v>0</v>
      </c>
      <c r="H137" s="443"/>
      <c r="I137" s="448">
        <f t="shared" si="18"/>
        <v>0</v>
      </c>
      <c r="J137" s="84"/>
      <c r="K137" s="57">
        <f t="shared" ref="K137:K206" si="22">ROUND(SUM(A137),0)</f>
        <v>0</v>
      </c>
      <c r="M137" s="197" t="str">
        <f t="shared" ref="M137:M206" si="23">CONCATENATE(B137,C137)</f>
        <v>3000/260</v>
      </c>
      <c r="N137" s="79"/>
      <c r="P137" s="80"/>
      <c r="Q137" s="60"/>
      <c r="R137" s="34"/>
    </row>
    <row r="138" spans="1:18" x14ac:dyDescent="0.2">
      <c r="A138" s="394"/>
      <c r="B138" s="114" t="s">
        <v>622</v>
      </c>
      <c r="C138" s="396" t="s">
        <v>1484</v>
      </c>
      <c r="D138" s="435"/>
      <c r="E138" s="435"/>
      <c r="F138" s="88"/>
      <c r="G138" s="56">
        <f>SUMIF(JournalsC!D$14:D$920,TrialBalanceC!M138,JournalsC!J$14:J$920)+SUMIF(JournalsC!E$14:E$920,TrialBalanceC!M138,JournalsC!J$14:J$920)</f>
        <v>0</v>
      </c>
      <c r="H138" s="443"/>
      <c r="I138" s="448">
        <f t="shared" si="18"/>
        <v>0</v>
      </c>
      <c r="J138" s="84"/>
      <c r="K138" s="57">
        <f t="shared" si="22"/>
        <v>0</v>
      </c>
      <c r="M138" s="197" t="str">
        <f t="shared" si="23"/>
        <v>3000/270Amortisation of prepaid lease agreement</v>
      </c>
      <c r="N138" s="79"/>
      <c r="P138" s="80"/>
      <c r="Q138" s="60"/>
      <c r="R138" s="34"/>
    </row>
    <row r="139" spans="1:18" x14ac:dyDescent="0.2">
      <c r="A139" s="394"/>
      <c r="B139" s="114" t="s">
        <v>1487</v>
      </c>
      <c r="C139" s="398" t="s">
        <v>1488</v>
      </c>
      <c r="D139" s="435"/>
      <c r="E139" s="435"/>
      <c r="F139" s="88"/>
      <c r="G139" s="56">
        <f>SUMIF(JournalsC!D$14:D$920,TrialBalanceC!M139,JournalsC!J$14:J$920)+SUMIF(JournalsC!E$14:E$920,TrialBalanceC!M139,JournalsC!J$14:J$920)</f>
        <v>0</v>
      </c>
      <c r="H139" s="443"/>
      <c r="I139" s="448">
        <f t="shared" ref="I139" si="24">ROUND(D139-E139+G139+F139,0)</f>
        <v>0</v>
      </c>
      <c r="J139" s="84"/>
      <c r="K139" s="57">
        <f t="shared" ref="K139" si="25">ROUND(SUM(A139),0)</f>
        <v>0</v>
      </c>
      <c r="M139" s="197" t="str">
        <f t="shared" ref="M139" si="26">CONCATENATE(B139,C139)</f>
        <v>3000/280Amortisation of goodwill</v>
      </c>
      <c r="N139" s="79"/>
      <c r="P139" s="80"/>
      <c r="Q139" s="60"/>
      <c r="R139" s="34"/>
    </row>
    <row r="140" spans="1:18" x14ac:dyDescent="0.2">
      <c r="A140" s="394"/>
      <c r="B140" s="63" t="s">
        <v>371</v>
      </c>
      <c r="C140" s="397" t="s">
        <v>140</v>
      </c>
      <c r="D140" s="437"/>
      <c r="E140" s="435"/>
      <c r="F140" s="88"/>
      <c r="G140" s="56">
        <f>SUMIF(JournalsC!D$14:D$920,TrialBalanceC!M140,JournalsC!J$14:J$920)+SUMIF(JournalsC!E$14:E$920,TrialBalanceC!M140,JournalsC!J$14:J$920)</f>
        <v>0</v>
      </c>
      <c r="H140" s="443"/>
      <c r="I140" s="448">
        <f t="shared" si="18"/>
        <v>0</v>
      </c>
      <c r="J140" s="84"/>
      <c r="K140" s="57">
        <f t="shared" si="22"/>
        <v>0</v>
      </c>
      <c r="M140" s="197" t="str">
        <f t="shared" si="23"/>
        <v>4700/000FINANCE COSTS</v>
      </c>
      <c r="N140" s="79"/>
      <c r="P140" s="80"/>
      <c r="Q140" s="60"/>
      <c r="R140" s="34"/>
    </row>
    <row r="141" spans="1:18" x14ac:dyDescent="0.2">
      <c r="A141" s="394"/>
      <c r="B141" s="63" t="s">
        <v>372</v>
      </c>
      <c r="C141" s="397" t="s">
        <v>373</v>
      </c>
      <c r="D141" s="437"/>
      <c r="E141" s="435"/>
      <c r="F141" s="88"/>
      <c r="G141" s="56">
        <f>SUMIF(JournalsC!D$14:D$920,TrialBalanceC!M141,JournalsC!J$14:J$920)+SUMIF(JournalsC!E$14:E$920,TrialBalanceC!M141,JournalsC!J$14:J$920)</f>
        <v>0</v>
      </c>
      <c r="H141" s="443"/>
      <c r="I141" s="448">
        <f t="shared" si="18"/>
        <v>0</v>
      </c>
      <c r="J141" s="84"/>
      <c r="K141" s="57">
        <f t="shared" si="22"/>
        <v>0</v>
      </c>
      <c r="M141" s="197" t="str">
        <f t="shared" si="23"/>
        <v>4700/010Interest paid---------------------------</v>
      </c>
      <c r="N141" s="79"/>
      <c r="P141" s="80"/>
      <c r="Q141" s="60"/>
      <c r="R141" s="34"/>
    </row>
    <row r="142" spans="1:18" x14ac:dyDescent="0.2">
      <c r="A142" s="394"/>
      <c r="B142" s="63" t="s">
        <v>374</v>
      </c>
      <c r="C142" s="430"/>
      <c r="D142" s="435"/>
      <c r="E142" s="435"/>
      <c r="F142" s="88"/>
      <c r="G142" s="56">
        <f>SUMIF(JournalsC!D$14:D$920,TrialBalanceC!M142,JournalsC!J$14:J$920)+SUMIF(JournalsC!E$14:E$920,TrialBalanceC!M142,JournalsC!J$14:J$920)</f>
        <v>0</v>
      </c>
      <c r="H142" s="443"/>
      <c r="I142" s="448">
        <f t="shared" si="18"/>
        <v>0</v>
      </c>
      <c r="J142" s="84"/>
      <c r="K142" s="57">
        <f t="shared" si="22"/>
        <v>0</v>
      </c>
      <c r="M142" s="197" t="str">
        <f t="shared" si="23"/>
        <v>4700/011</v>
      </c>
      <c r="N142" s="79"/>
      <c r="P142" s="80"/>
      <c r="Q142" s="60"/>
      <c r="R142" s="34"/>
    </row>
    <row r="143" spans="1:18" x14ac:dyDescent="0.2">
      <c r="A143" s="394"/>
      <c r="B143" s="63" t="s">
        <v>375</v>
      </c>
      <c r="C143" s="431"/>
      <c r="D143" s="428"/>
      <c r="E143" s="435"/>
      <c r="F143" s="88"/>
      <c r="G143" s="56">
        <f>SUMIF(JournalsC!D$14:D$920,TrialBalanceC!M143,JournalsC!J$14:J$920)+SUMIF(JournalsC!E$14:E$920,TrialBalanceC!M143,JournalsC!J$14:J$920)</f>
        <v>0</v>
      </c>
      <c r="H143" s="443"/>
      <c r="I143" s="448">
        <f t="shared" si="18"/>
        <v>0</v>
      </c>
      <c r="J143" s="84"/>
      <c r="K143" s="57">
        <f t="shared" si="22"/>
        <v>0</v>
      </c>
      <c r="M143" s="197" t="str">
        <f t="shared" si="23"/>
        <v>4700/012</v>
      </c>
      <c r="N143" s="79"/>
      <c r="P143" s="80"/>
      <c r="Q143" s="60"/>
      <c r="R143" s="34"/>
    </row>
    <row r="144" spans="1:18" x14ac:dyDescent="0.2">
      <c r="A144" s="394"/>
      <c r="B144" s="63" t="s">
        <v>376</v>
      </c>
      <c r="C144" s="431"/>
      <c r="D144" s="428"/>
      <c r="E144" s="435"/>
      <c r="F144" s="88"/>
      <c r="G144" s="56">
        <f>SUMIF(JournalsC!D$14:D$920,TrialBalanceC!M144,JournalsC!J$14:J$920)+SUMIF(JournalsC!E$14:E$920,TrialBalanceC!M144,JournalsC!J$14:J$920)</f>
        <v>0</v>
      </c>
      <c r="H144" s="443"/>
      <c r="I144" s="448">
        <f t="shared" si="18"/>
        <v>0</v>
      </c>
      <c r="J144" s="84"/>
      <c r="K144" s="57">
        <f t="shared" si="22"/>
        <v>0</v>
      </c>
      <c r="M144" s="197" t="str">
        <f t="shared" si="23"/>
        <v>4700/013</v>
      </c>
      <c r="N144" s="79"/>
      <c r="P144" s="80"/>
      <c r="Q144" s="60"/>
      <c r="R144" s="34"/>
    </row>
    <row r="145" spans="1:18" x14ac:dyDescent="0.2">
      <c r="A145" s="394"/>
      <c r="B145" s="63" t="s">
        <v>377</v>
      </c>
      <c r="C145" s="431"/>
      <c r="D145" s="428"/>
      <c r="E145" s="435"/>
      <c r="F145" s="88"/>
      <c r="G145" s="56">
        <f>SUMIF(JournalsC!D$14:D$920,TrialBalanceC!M145,JournalsC!J$14:J$920)+SUMIF(JournalsC!E$14:E$920,TrialBalanceC!M145,JournalsC!J$14:J$920)</f>
        <v>0</v>
      </c>
      <c r="H145" s="443"/>
      <c r="I145" s="448">
        <f t="shared" si="18"/>
        <v>0</v>
      </c>
      <c r="J145" s="84"/>
      <c r="K145" s="57">
        <f t="shared" si="22"/>
        <v>0</v>
      </c>
      <c r="M145" s="197" t="str">
        <f t="shared" si="23"/>
        <v>4700/014</v>
      </c>
      <c r="N145" s="79"/>
      <c r="P145" s="80"/>
      <c r="Q145" s="60"/>
      <c r="R145" s="34"/>
    </row>
    <row r="146" spans="1:18" x14ac:dyDescent="0.2">
      <c r="A146" s="394"/>
      <c r="B146" s="63" t="s">
        <v>592</v>
      </c>
      <c r="C146" s="431"/>
      <c r="D146" s="428"/>
      <c r="E146" s="435"/>
      <c r="F146" s="88"/>
      <c r="G146" s="56">
        <f>SUMIF(JournalsC!D$14:D$920,TrialBalanceC!M146,JournalsC!J$14:J$920)+SUMIF(JournalsC!E$14:E$920,TrialBalanceC!M146,JournalsC!J$14:J$920)</f>
        <v>0</v>
      </c>
      <c r="H146" s="443"/>
      <c r="I146" s="448">
        <f t="shared" si="18"/>
        <v>0</v>
      </c>
      <c r="J146" s="84"/>
      <c r="K146" s="57">
        <f t="shared" si="22"/>
        <v>0</v>
      </c>
      <c r="M146" s="197" t="str">
        <f t="shared" si="23"/>
        <v>4700/015</v>
      </c>
      <c r="N146" s="79"/>
      <c r="P146" s="80"/>
      <c r="Q146" s="60"/>
      <c r="R146" s="34"/>
    </row>
    <row r="147" spans="1:18" x14ac:dyDescent="0.2">
      <c r="A147" s="394"/>
      <c r="B147" s="63" t="s">
        <v>603</v>
      </c>
      <c r="C147" s="431"/>
      <c r="D147" s="428"/>
      <c r="E147" s="435"/>
      <c r="F147" s="88"/>
      <c r="G147" s="56">
        <f>SUMIF(JournalsC!D$14:D$920,TrialBalanceC!M147,JournalsC!J$14:J$920)+SUMIF(JournalsC!E$14:E$920,TrialBalanceC!M147,JournalsC!J$14:J$920)</f>
        <v>0</v>
      </c>
      <c r="H147" s="443"/>
      <c r="I147" s="448">
        <f t="shared" si="18"/>
        <v>0</v>
      </c>
      <c r="J147" s="84"/>
      <c r="K147" s="57">
        <f t="shared" si="22"/>
        <v>0</v>
      </c>
      <c r="M147" s="197" t="str">
        <f t="shared" si="23"/>
        <v>4700/016</v>
      </c>
      <c r="N147" s="79"/>
      <c r="P147" s="80"/>
      <c r="Q147" s="60"/>
      <c r="R147" s="34"/>
    </row>
    <row r="148" spans="1:18" x14ac:dyDescent="0.2">
      <c r="A148" s="394"/>
      <c r="B148" s="114" t="s">
        <v>675</v>
      </c>
      <c r="C148" s="431"/>
      <c r="D148" s="428"/>
      <c r="E148" s="435"/>
      <c r="F148" s="88"/>
      <c r="G148" s="56">
        <f>SUMIF(JournalsC!D$14:D$920,TrialBalanceC!M148,JournalsC!J$14:J$920)+SUMIF(JournalsC!E$14:E$920,TrialBalanceC!M148,JournalsC!J$14:J$920)</f>
        <v>0</v>
      </c>
      <c r="H148" s="443"/>
      <c r="I148" s="448">
        <f t="shared" ref="I148:I150" si="27">ROUND(D148-E148+G148+F148,0)</f>
        <v>0</v>
      </c>
      <c r="J148" s="84"/>
      <c r="K148" s="57">
        <f t="shared" ref="K148:K150" si="28">ROUND(SUM(A148),0)</f>
        <v>0</v>
      </c>
      <c r="M148" s="197" t="str">
        <f t="shared" ref="M148:M150" si="29">CONCATENATE(B148,C148)</f>
        <v>4700/017</v>
      </c>
      <c r="N148" s="79"/>
      <c r="P148" s="80"/>
      <c r="Q148" s="60"/>
      <c r="R148" s="34"/>
    </row>
    <row r="149" spans="1:18" x14ac:dyDescent="0.2">
      <c r="A149" s="394"/>
      <c r="B149" s="114" t="s">
        <v>767</v>
      </c>
      <c r="C149" s="431"/>
      <c r="D149" s="428"/>
      <c r="E149" s="435"/>
      <c r="F149" s="88"/>
      <c r="G149" s="56">
        <f>SUMIF(JournalsC!D$14:D$920,TrialBalanceC!M149,JournalsC!J$14:J$920)+SUMIF(JournalsC!E$14:E$920,TrialBalanceC!M149,JournalsC!J$14:J$920)</f>
        <v>0</v>
      </c>
      <c r="H149" s="443"/>
      <c r="I149" s="448">
        <f t="shared" si="27"/>
        <v>0</v>
      </c>
      <c r="J149" s="84"/>
      <c r="K149" s="57">
        <f t="shared" si="28"/>
        <v>0</v>
      </c>
      <c r="M149" s="197" t="str">
        <f t="shared" si="29"/>
        <v>4700/018</v>
      </c>
      <c r="N149" s="79"/>
      <c r="P149" s="80"/>
      <c r="Q149" s="60"/>
      <c r="R149" s="34"/>
    </row>
    <row r="150" spans="1:18" x14ac:dyDescent="0.2">
      <c r="A150" s="394"/>
      <c r="B150" s="114" t="s">
        <v>768</v>
      </c>
      <c r="C150" s="431"/>
      <c r="D150" s="428"/>
      <c r="E150" s="435"/>
      <c r="F150" s="88"/>
      <c r="G150" s="56">
        <f>SUMIF(JournalsC!D$14:D$920,TrialBalanceC!M150,JournalsC!J$14:J$920)+SUMIF(JournalsC!E$14:E$920,TrialBalanceC!M150,JournalsC!J$14:J$920)</f>
        <v>0</v>
      </c>
      <c r="H150" s="443"/>
      <c r="I150" s="448">
        <f t="shared" si="27"/>
        <v>0</v>
      </c>
      <c r="J150" s="84"/>
      <c r="K150" s="57">
        <f t="shared" si="28"/>
        <v>0</v>
      </c>
      <c r="M150" s="197" t="str">
        <f t="shared" si="29"/>
        <v>4700/019</v>
      </c>
      <c r="N150" s="79"/>
      <c r="P150" s="80"/>
      <c r="Q150" s="60"/>
      <c r="R150" s="34"/>
    </row>
    <row r="151" spans="1:18" x14ac:dyDescent="0.2">
      <c r="A151" s="394"/>
      <c r="B151" s="114" t="s">
        <v>378</v>
      </c>
      <c r="C151" s="431"/>
      <c r="D151" s="428"/>
      <c r="E151" s="435"/>
      <c r="F151" s="88"/>
      <c r="G151" s="56">
        <f>SUMIF(JournalsC!D$14:D$920,TrialBalanceC!M151,JournalsC!J$14:J$920)+SUMIF(JournalsC!E$14:E$920,TrialBalanceC!M151,JournalsC!J$14:J$920)</f>
        <v>0</v>
      </c>
      <c r="H151" s="443"/>
      <c r="I151" s="448">
        <f t="shared" si="18"/>
        <v>0</v>
      </c>
      <c r="J151" s="84"/>
      <c r="K151" s="57">
        <f t="shared" si="22"/>
        <v>0</v>
      </c>
      <c r="M151" s="197" t="str">
        <f t="shared" si="23"/>
        <v>4700/020</v>
      </c>
      <c r="N151" s="79"/>
      <c r="P151" s="80"/>
      <c r="Q151" s="60"/>
      <c r="R151" s="34"/>
    </row>
    <row r="152" spans="1:18" x14ac:dyDescent="0.2">
      <c r="A152" s="394"/>
      <c r="B152" s="114" t="s">
        <v>769</v>
      </c>
      <c r="C152" s="395" t="str">
        <f>CONCATENATE("Interest on finance leases - ",Criteria!H16)</f>
        <v xml:space="preserve">Interest on finance leases - </v>
      </c>
      <c r="D152" s="436"/>
      <c r="E152" s="435"/>
      <c r="F152" s="88"/>
      <c r="G152" s="56">
        <f>SUMIF(JournalsC!D$14:D$920,TrialBalanceC!M152,JournalsC!J$14:J$920)+SUMIF(JournalsC!E$14:E$920,TrialBalanceC!M152,JournalsC!J$14:J$920)</f>
        <v>0</v>
      </c>
      <c r="H152" s="443"/>
      <c r="I152" s="448">
        <f t="shared" si="18"/>
        <v>0</v>
      </c>
      <c r="J152" s="84"/>
      <c r="K152" s="57">
        <f t="shared" si="22"/>
        <v>0</v>
      </c>
      <c r="M152" s="197" t="str">
        <f t="shared" si="23"/>
        <v xml:space="preserve">4700/021Interest on finance leases - </v>
      </c>
      <c r="N152" s="79"/>
      <c r="P152" s="80"/>
      <c r="Q152" s="60"/>
      <c r="R152" s="34"/>
    </row>
    <row r="153" spans="1:18" x14ac:dyDescent="0.2">
      <c r="A153" s="394"/>
      <c r="B153" s="63" t="s">
        <v>524</v>
      </c>
      <c r="C153" s="397" t="s">
        <v>416</v>
      </c>
      <c r="D153" s="437"/>
      <c r="E153" s="435"/>
      <c r="F153" s="88"/>
      <c r="G153" s="56">
        <f>SUMIF(JournalsC!D$14:D$920,TrialBalanceC!M153,JournalsC!J$14:J$920)+SUMIF(JournalsC!E$14:E$920,TrialBalanceC!M153,JournalsC!J$14:J$920)</f>
        <v>0</v>
      </c>
      <c r="H153" s="443"/>
      <c r="I153" s="448">
        <f t="shared" si="18"/>
        <v>0</v>
      </c>
      <c r="J153" s="84"/>
      <c r="K153" s="57">
        <f t="shared" si="22"/>
        <v>0</v>
      </c>
      <c r="M153" s="197" t="str">
        <f t="shared" si="23"/>
        <v>4750/000OTHER</v>
      </c>
      <c r="N153" s="79"/>
      <c r="P153" s="80"/>
      <c r="Q153" s="60"/>
      <c r="R153" s="34"/>
    </row>
    <row r="154" spans="1:18" x14ac:dyDescent="0.2">
      <c r="A154" s="394"/>
      <c r="B154" s="63" t="s">
        <v>525</v>
      </c>
      <c r="C154" s="396" t="s">
        <v>1486</v>
      </c>
      <c r="D154" s="428"/>
      <c r="E154" s="435"/>
      <c r="F154" s="88"/>
      <c r="G154" s="56">
        <f>SUMIF(JournalsC!D$14:D$920,TrialBalanceC!M154,JournalsC!J$14:J$920)+SUMIF(JournalsC!E$14:E$920,TrialBalanceC!M154,JournalsC!J$14:J$920)</f>
        <v>0</v>
      </c>
      <c r="H154" s="443"/>
      <c r="I154" s="448">
        <f t="shared" si="18"/>
        <v>0</v>
      </c>
      <c r="J154" s="84"/>
      <c r="K154" s="57">
        <f t="shared" si="22"/>
        <v>0</v>
      </c>
      <c r="M154" s="197" t="str">
        <f t="shared" si="23"/>
        <v>4750/010Impairment losses</v>
      </c>
      <c r="N154" s="79"/>
      <c r="P154" s="80"/>
      <c r="Q154" s="60"/>
      <c r="R154" s="34"/>
    </row>
    <row r="155" spans="1:18" x14ac:dyDescent="0.2">
      <c r="A155" s="394"/>
      <c r="B155" s="114" t="s">
        <v>1553</v>
      </c>
      <c r="C155" s="396" t="s">
        <v>1554</v>
      </c>
      <c r="D155" s="428"/>
      <c r="E155" s="435"/>
      <c r="F155" s="88"/>
      <c r="G155" s="56">
        <f>SUMIF(JournalsC!D$14:D$920,TrialBalanceC!M155,JournalsC!J$14:J$920)+SUMIF(JournalsC!E$14:E$920,TrialBalanceC!M155,JournalsC!J$14:J$920)</f>
        <v>0</v>
      </c>
      <c r="H155" s="443"/>
      <c r="I155" s="448">
        <f t="shared" ref="I155" si="30">ROUND(D155-E155+G155+F155,0)</f>
        <v>0</v>
      </c>
      <c r="J155" s="84"/>
      <c r="K155" s="57">
        <f t="shared" ref="K155" si="31">ROUND(SUM(A155),0)</f>
        <v>0</v>
      </c>
      <c r="M155" s="197" t="str">
        <f t="shared" ref="M155" si="32">CONCATENATE(B155,C155)</f>
        <v>4750/020Reversal - revaluation of investment property</v>
      </c>
      <c r="N155" s="79"/>
      <c r="P155" s="80"/>
      <c r="Q155" s="60"/>
      <c r="R155" s="34"/>
    </row>
    <row r="156" spans="1:18" x14ac:dyDescent="0.2">
      <c r="A156" s="394"/>
      <c r="B156" s="63" t="s">
        <v>379</v>
      </c>
      <c r="C156" s="397" t="s">
        <v>380</v>
      </c>
      <c r="D156" s="437"/>
      <c r="E156" s="435"/>
      <c r="F156" s="88"/>
      <c r="G156" s="56">
        <f>SUMIF(JournalsC!D$14:D$920,TrialBalanceC!M156,JournalsC!J$14:J$920)+SUMIF(JournalsC!E$14:E$920,TrialBalanceC!M156,JournalsC!J$14:J$920)</f>
        <v>0</v>
      </c>
      <c r="H156" s="443"/>
      <c r="I156" s="448">
        <f t="shared" si="18"/>
        <v>0</v>
      </c>
      <c r="J156" s="84"/>
      <c r="K156" s="57">
        <f t="shared" si="22"/>
        <v>0</v>
      </c>
      <c r="M156" s="197" t="str">
        <f t="shared" si="23"/>
        <v>4800/000NORMAL TAXATION</v>
      </c>
      <c r="N156" s="79"/>
      <c r="P156" s="80"/>
      <c r="Q156" s="60"/>
      <c r="R156" s="34"/>
    </row>
    <row r="157" spans="1:18" x14ac:dyDescent="0.2">
      <c r="A157" s="394"/>
      <c r="B157" s="63" t="s">
        <v>381</v>
      </c>
      <c r="C157" s="395" t="s">
        <v>382</v>
      </c>
      <c r="D157" s="436"/>
      <c r="E157" s="435"/>
      <c r="F157" s="88"/>
      <c r="G157" s="56">
        <f>SUMIF(JournalsC!D$14:D$920,TrialBalanceC!M157,JournalsC!J$14:J$920)+SUMIF(JournalsC!E$14:E$920,TrialBalanceC!M157,JournalsC!J$14:J$920)</f>
        <v>0</v>
      </c>
      <c r="H157" s="443"/>
      <c r="I157" s="448">
        <f t="shared" si="18"/>
        <v>0</v>
      </c>
      <c r="J157" s="84"/>
      <c r="K157" s="57">
        <f t="shared" si="22"/>
        <v>0</v>
      </c>
      <c r="M157" s="197" t="str">
        <f t="shared" si="23"/>
        <v>4800/001Tax provided this year</v>
      </c>
      <c r="N157" s="79"/>
      <c r="P157" s="80"/>
      <c r="Q157" s="60"/>
      <c r="R157" s="34"/>
    </row>
    <row r="158" spans="1:18" x14ac:dyDescent="0.2">
      <c r="A158" s="394"/>
      <c r="B158" s="63" t="s">
        <v>383</v>
      </c>
      <c r="C158" s="395" t="s">
        <v>384</v>
      </c>
      <c r="D158" s="436"/>
      <c r="E158" s="435"/>
      <c r="F158" s="88"/>
      <c r="G158" s="56">
        <f>SUMIF(JournalsC!D$14:D$920,TrialBalanceC!M158,JournalsC!J$14:J$920)+SUMIF(JournalsC!E$14:E$920,TrialBalanceC!M158,JournalsC!J$14:J$920)</f>
        <v>0</v>
      </c>
      <c r="H158" s="443"/>
      <c r="I158" s="448">
        <f t="shared" si="18"/>
        <v>0</v>
      </c>
      <c r="J158" s="84"/>
      <c r="K158" s="57">
        <f t="shared" si="22"/>
        <v>0</v>
      </c>
      <c r="M158" s="197" t="str">
        <f t="shared" si="23"/>
        <v>4800/002Tax adjustment previous year</v>
      </c>
      <c r="N158" s="79"/>
      <c r="P158" s="80"/>
      <c r="Q158" s="60"/>
      <c r="R158" s="34"/>
    </row>
    <row r="159" spans="1:18" x14ac:dyDescent="0.2">
      <c r="A159" s="394"/>
      <c r="B159" s="63" t="s">
        <v>231</v>
      </c>
      <c r="C159" s="397" t="s">
        <v>232</v>
      </c>
      <c r="D159" s="437"/>
      <c r="E159" s="435"/>
      <c r="F159" s="88"/>
      <c r="G159" s="56">
        <f>SUMIF(JournalsC!D$14:D$920,TrialBalanceC!M159,JournalsC!J$14:J$920)+SUMIF(JournalsC!E$14:E$920,TrialBalanceC!M159,JournalsC!J$14:J$920)</f>
        <v>0</v>
      </c>
      <c r="H159" s="443"/>
      <c r="I159" s="448">
        <f t="shared" si="18"/>
        <v>0</v>
      </c>
      <c r="J159" s="84"/>
      <c r="K159" s="57">
        <f t="shared" si="22"/>
        <v>0</v>
      </c>
      <c r="M159" s="197" t="str">
        <f t="shared" si="23"/>
        <v>4820/000DEFERRED TAX</v>
      </c>
      <c r="N159" s="79"/>
      <c r="P159" s="80"/>
      <c r="Q159" s="60"/>
      <c r="R159" s="34"/>
    </row>
    <row r="160" spans="1:18" x14ac:dyDescent="0.2">
      <c r="A160" s="394"/>
      <c r="B160" s="63" t="s">
        <v>233</v>
      </c>
      <c r="C160" s="395" t="s">
        <v>234</v>
      </c>
      <c r="D160" s="436"/>
      <c r="E160" s="435"/>
      <c r="F160" s="88"/>
      <c r="G160" s="56">
        <f>SUMIF(JournalsC!D$14:D$920,TrialBalanceC!M160,JournalsC!J$14:J$920)+SUMIF(JournalsC!E$14:E$920,TrialBalanceC!M160,JournalsC!J$14:J$920)</f>
        <v>0</v>
      </c>
      <c r="H160" s="443"/>
      <c r="I160" s="448">
        <f t="shared" si="18"/>
        <v>0</v>
      </c>
      <c r="J160" s="84"/>
      <c r="K160" s="57">
        <f t="shared" si="22"/>
        <v>0</v>
      </c>
      <c r="M160" s="197" t="str">
        <f t="shared" si="23"/>
        <v>4820/001Deferred tax this year</v>
      </c>
      <c r="N160" s="79"/>
      <c r="P160" s="80"/>
      <c r="Q160" s="60"/>
      <c r="R160" s="34"/>
    </row>
    <row r="161" spans="1:18" x14ac:dyDescent="0.2">
      <c r="A161" s="394"/>
      <c r="B161" s="114" t="s">
        <v>235</v>
      </c>
      <c r="C161" s="398" t="s">
        <v>1591</v>
      </c>
      <c r="D161" s="436"/>
      <c r="E161" s="435"/>
      <c r="F161" s="88"/>
      <c r="G161" s="56">
        <f>SUMIF(JournalsC!D$14:D$920,TrialBalanceC!M161,JournalsC!J$14:J$920)+SUMIF(JournalsC!E$14:E$920,TrialBalanceC!M161,JournalsC!J$14:J$920)</f>
        <v>0</v>
      </c>
      <c r="H161" s="443"/>
      <c r="I161" s="448">
        <f t="shared" ref="I161" si="33">ROUND(D161-E161+G161+F161,0)</f>
        <v>0</v>
      </c>
      <c r="J161" s="84"/>
      <c r="K161" s="57">
        <f t="shared" ref="K161" si="34">ROUND(SUM(A161),0)</f>
        <v>0</v>
      </c>
      <c r="M161" s="197" t="str">
        <f t="shared" ref="M161" si="35">CONCATENATE(B161,C161)</f>
        <v>4820/002Deferred tax adjustment on income tax rate change</v>
      </c>
      <c r="N161" s="79"/>
      <c r="P161" s="80"/>
      <c r="Q161" s="60"/>
      <c r="R161" s="34"/>
    </row>
    <row r="162" spans="1:18" x14ac:dyDescent="0.2">
      <c r="A162" s="394"/>
      <c r="B162" s="114" t="s">
        <v>1592</v>
      </c>
      <c r="C162" s="395" t="s">
        <v>236</v>
      </c>
      <c r="D162" s="436"/>
      <c r="E162" s="435"/>
      <c r="F162" s="88"/>
      <c r="G162" s="56">
        <f>SUMIF(JournalsC!D$14:D$920,TrialBalanceC!M162,JournalsC!J$14:J$920)+SUMIF(JournalsC!E$14:E$920,TrialBalanceC!M162,JournalsC!J$14:J$920)</f>
        <v>0</v>
      </c>
      <c r="H162" s="443"/>
      <c r="I162" s="448">
        <f t="shared" si="18"/>
        <v>0</v>
      </c>
      <c r="J162" s="84"/>
      <c r="K162" s="57">
        <f t="shared" si="22"/>
        <v>0</v>
      </c>
      <c r="M162" s="197" t="str">
        <f t="shared" si="23"/>
        <v>4820/003Deferred tax adjustment previous year</v>
      </c>
      <c r="N162" s="79"/>
      <c r="P162" s="80"/>
      <c r="Q162" s="60"/>
      <c r="R162" s="34"/>
    </row>
    <row r="163" spans="1:18" x14ac:dyDescent="0.2">
      <c r="A163" s="394"/>
      <c r="B163" s="63" t="s">
        <v>237</v>
      </c>
      <c r="C163" s="398" t="s">
        <v>565</v>
      </c>
      <c r="D163" s="436"/>
      <c r="E163" s="435"/>
      <c r="F163" s="88"/>
      <c r="G163" s="56">
        <f>SUMIF(JournalsC!D$14:D$920,TrialBalanceC!M163,JournalsC!J$14:J$920)+SUMIF(JournalsC!E$14:E$920,TrialBalanceC!M163,JournalsC!J$14:J$920)</f>
        <v>0</v>
      </c>
      <c r="H163" s="443"/>
      <c r="I163" s="448">
        <f t="shared" si="18"/>
        <v>0</v>
      </c>
      <c r="J163" s="84"/>
      <c r="K163" s="57">
        <f t="shared" si="22"/>
        <v>0</v>
      </c>
      <c r="M163" s="197" t="str">
        <f t="shared" si="23"/>
        <v>4850/000Dividends declared</v>
      </c>
      <c r="N163" s="79"/>
      <c r="P163" s="80"/>
      <c r="Q163" s="60"/>
      <c r="R163" s="34"/>
    </row>
    <row r="164" spans="1:18" x14ac:dyDescent="0.2">
      <c r="A164" s="394"/>
      <c r="B164" s="63" t="s">
        <v>238</v>
      </c>
      <c r="C164" s="395" t="s">
        <v>264</v>
      </c>
      <c r="D164" s="436"/>
      <c r="E164" s="435"/>
      <c r="F164" s="88"/>
      <c r="G164" s="56">
        <f>SUMIF(JournalsC!D$14:D$920,TrialBalanceC!M164,JournalsC!J$14:J$920)+SUMIF(JournalsC!E$14:E$920,TrialBalanceC!M164,JournalsC!J$14:J$920)</f>
        <v>0</v>
      </c>
      <c r="H164" s="443"/>
      <c r="I164" s="448">
        <f t="shared" si="18"/>
        <v>0</v>
      </c>
      <c r="J164" s="84"/>
      <c r="K164" s="57">
        <f t="shared" si="22"/>
        <v>0</v>
      </c>
      <c r="M164" s="197" t="str">
        <f t="shared" si="23"/>
        <v>4860/000Dividends paid</v>
      </c>
      <c r="N164" s="79"/>
      <c r="P164" s="80"/>
      <c r="Q164" s="60"/>
      <c r="R164" s="34"/>
    </row>
    <row r="165" spans="1:18" x14ac:dyDescent="0.2">
      <c r="A165" s="394"/>
      <c r="B165" s="63" t="s">
        <v>284</v>
      </c>
      <c r="C165" s="395"/>
      <c r="D165" s="436"/>
      <c r="E165" s="435"/>
      <c r="F165" s="88"/>
      <c r="G165" s="56"/>
      <c r="H165" s="443"/>
      <c r="I165" s="448">
        <f t="shared" si="18"/>
        <v>0</v>
      </c>
      <c r="J165" s="84"/>
      <c r="K165" s="57">
        <f t="shared" si="22"/>
        <v>0</v>
      </c>
      <c r="M165" s="197" t="str">
        <f t="shared" si="23"/>
        <v/>
      </c>
      <c r="N165" s="79"/>
      <c r="P165" s="80"/>
      <c r="Q165" s="60"/>
      <c r="R165" s="34"/>
    </row>
    <row r="166" spans="1:18" x14ac:dyDescent="0.2">
      <c r="A166" s="394"/>
      <c r="B166" s="63" t="s">
        <v>284</v>
      </c>
      <c r="C166" s="395" t="s">
        <v>284</v>
      </c>
      <c r="D166" s="436"/>
      <c r="E166" s="435"/>
      <c r="F166" s="88"/>
      <c r="G166" s="56"/>
      <c r="H166" s="443"/>
      <c r="I166" s="448">
        <f t="shared" si="18"/>
        <v>0</v>
      </c>
      <c r="J166" s="84"/>
      <c r="K166" s="57">
        <f t="shared" si="22"/>
        <v>0</v>
      </c>
      <c r="M166" s="197" t="str">
        <f t="shared" si="23"/>
        <v/>
      </c>
      <c r="N166" s="79"/>
      <c r="P166" s="80"/>
      <c r="Q166" s="60"/>
      <c r="R166" s="34"/>
    </row>
    <row r="167" spans="1:18" x14ac:dyDescent="0.2">
      <c r="A167" s="394"/>
      <c r="B167" s="63" t="s">
        <v>284</v>
      </c>
      <c r="C167" s="395"/>
      <c r="D167" s="436"/>
      <c r="E167" s="435"/>
      <c r="F167" s="88"/>
      <c r="G167" s="56"/>
      <c r="H167" s="443"/>
      <c r="I167" s="448">
        <f t="shared" si="18"/>
        <v>0</v>
      </c>
      <c r="J167" s="84"/>
      <c r="K167" s="57">
        <f t="shared" si="22"/>
        <v>0</v>
      </c>
      <c r="M167" s="197" t="str">
        <f t="shared" si="23"/>
        <v/>
      </c>
      <c r="N167" s="79"/>
      <c r="P167" s="80"/>
      <c r="Q167" s="60"/>
      <c r="R167" s="34"/>
    </row>
    <row r="168" spans="1:18" x14ac:dyDescent="0.2">
      <c r="A168" s="394"/>
      <c r="B168" s="63" t="s">
        <v>582</v>
      </c>
      <c r="C168" s="397" t="s">
        <v>571</v>
      </c>
      <c r="D168" s="437"/>
      <c r="E168" s="435"/>
      <c r="F168" s="88"/>
      <c r="G168" s="56">
        <f>SUMIF(JournalsC!D$14:D$920,TrialBalanceC!M168,JournalsC!J$14:J$920)+SUMIF(JournalsC!E$14:E$920,TrialBalanceC!M168,JournalsC!J$14:J$920)</f>
        <v>0</v>
      </c>
      <c r="H168" s="443"/>
      <c r="I168" s="448">
        <f t="shared" si="18"/>
        <v>0</v>
      </c>
      <c r="J168" s="84"/>
      <c r="K168" s="57">
        <f t="shared" si="22"/>
        <v>0</v>
      </c>
      <c r="M168" s="197" t="str">
        <f t="shared" si="23"/>
        <v>5100/000SHARE CAPITAL</v>
      </c>
      <c r="N168" s="79"/>
      <c r="P168" s="80"/>
      <c r="Q168" s="60"/>
      <c r="R168" s="34"/>
    </row>
    <row r="169" spans="1:18" x14ac:dyDescent="0.2">
      <c r="A169" s="394"/>
      <c r="B169" s="63" t="s">
        <v>583</v>
      </c>
      <c r="C169" s="398" t="s">
        <v>999</v>
      </c>
      <c r="D169" s="436"/>
      <c r="E169" s="435"/>
      <c r="F169" s="88">
        <f>SUM(K169:K170)</f>
        <v>0</v>
      </c>
      <c r="G169" s="56">
        <f>SUMIF(JournalsC!D$14:D$920,TrialBalanceC!M169,JournalsC!J$14:J$920)+SUMIF(JournalsC!E$14:E$920,TrialBalanceC!M169,JournalsC!J$14:J$920)</f>
        <v>0</v>
      </c>
      <c r="H169" s="443"/>
      <c r="I169" s="448">
        <f t="shared" si="18"/>
        <v>0</v>
      </c>
      <c r="J169" s="84"/>
      <c r="K169" s="57">
        <f t="shared" si="22"/>
        <v>0</v>
      </c>
      <c r="M169" s="197" t="str">
        <f t="shared" si="23"/>
        <v>5100/001Share capital - balance b/fwd</v>
      </c>
      <c r="N169" s="79"/>
      <c r="P169" s="80"/>
      <c r="Q169" s="60"/>
      <c r="R169" s="34"/>
    </row>
    <row r="170" spans="1:18" x14ac:dyDescent="0.2">
      <c r="A170" s="394"/>
      <c r="B170" s="63" t="s">
        <v>584</v>
      </c>
      <c r="C170" s="398" t="s">
        <v>1000</v>
      </c>
      <c r="D170" s="436"/>
      <c r="E170" s="435"/>
      <c r="F170" s="88"/>
      <c r="G170" s="56">
        <f>SUMIF(JournalsC!D$14:D$920,TrialBalanceC!M170,JournalsC!J$14:J$920)+SUMIF(JournalsC!E$14:E$920,TrialBalanceC!M170,JournalsC!J$14:J$920)</f>
        <v>0</v>
      </c>
      <c r="H170" s="443"/>
      <c r="I170" s="448">
        <f t="shared" si="18"/>
        <v>0</v>
      </c>
      <c r="J170" s="84"/>
      <c r="K170" s="57">
        <f t="shared" si="22"/>
        <v>0</v>
      </c>
      <c r="M170" s="197" t="str">
        <f t="shared" si="23"/>
        <v>5100/002Share capital - additions</v>
      </c>
      <c r="N170" s="79"/>
      <c r="P170" s="80"/>
      <c r="Q170" s="60"/>
      <c r="R170" s="34"/>
    </row>
    <row r="171" spans="1:18" x14ac:dyDescent="0.2">
      <c r="A171" s="394"/>
      <c r="B171" s="105" t="s">
        <v>585</v>
      </c>
      <c r="C171" s="434" t="s">
        <v>577</v>
      </c>
      <c r="D171" s="446"/>
      <c r="E171" s="435"/>
      <c r="F171" s="88"/>
      <c r="G171" s="56">
        <f>SUMIF(JournalsC!D$14:D$920,TrialBalanceC!M171,JournalsC!J$14:J$920)+SUMIF(JournalsC!E$14:E$920,TrialBalanceC!M171,JournalsC!J$14:J$920)</f>
        <v>0</v>
      </c>
      <c r="H171" s="443"/>
      <c r="I171" s="448">
        <f t="shared" ref="I171:I252" si="36">ROUND(D171-E171+G171+F171,0)</f>
        <v>0</v>
      </c>
      <c r="J171" s="84"/>
      <c r="K171" s="57">
        <f t="shared" si="22"/>
        <v>0</v>
      </c>
      <c r="M171" s="197" t="str">
        <f t="shared" si="23"/>
        <v>5110/000SHARE PREMIUM</v>
      </c>
      <c r="N171" s="79"/>
      <c r="P171" s="80"/>
      <c r="Q171" s="60"/>
      <c r="R171" s="34"/>
    </row>
    <row r="172" spans="1:18" x14ac:dyDescent="0.2">
      <c r="A172" s="394"/>
      <c r="B172" s="105" t="s">
        <v>586</v>
      </c>
      <c r="C172" s="398" t="s">
        <v>1001</v>
      </c>
      <c r="D172" s="441"/>
      <c r="E172" s="435"/>
      <c r="F172" s="88">
        <f>SUM(K172:K174)</f>
        <v>0</v>
      </c>
      <c r="G172" s="56">
        <f>SUMIF(JournalsC!D$14:D$920,TrialBalanceC!M172,JournalsC!J$14:J$920)+SUMIF(JournalsC!E$14:E$920,TrialBalanceC!M172,JournalsC!J$14:J$920)</f>
        <v>0</v>
      </c>
      <c r="H172" s="443"/>
      <c r="I172" s="448">
        <f t="shared" si="36"/>
        <v>0</v>
      </c>
      <c r="J172" s="84"/>
      <c r="K172" s="57">
        <f t="shared" si="22"/>
        <v>0</v>
      </c>
      <c r="M172" s="197" t="str">
        <f t="shared" si="23"/>
        <v>5110/001Share premium - balance b/fwd</v>
      </c>
      <c r="N172" s="79"/>
      <c r="P172" s="80"/>
      <c r="Q172" s="60"/>
      <c r="R172" s="34"/>
    </row>
    <row r="173" spans="1:18" x14ac:dyDescent="0.2">
      <c r="A173" s="394"/>
      <c r="B173" s="105" t="s">
        <v>587</v>
      </c>
      <c r="C173" s="398" t="s">
        <v>1002</v>
      </c>
      <c r="D173" s="441"/>
      <c r="E173" s="435"/>
      <c r="F173" s="88"/>
      <c r="G173" s="56">
        <f>SUMIF(JournalsC!D$14:D$920,TrialBalanceC!M173,JournalsC!J$14:J$920)+SUMIF(JournalsC!E$14:E$920,TrialBalanceC!M173,JournalsC!J$14:J$920)</f>
        <v>0</v>
      </c>
      <c r="H173" s="443"/>
      <c r="I173" s="448">
        <f t="shared" si="36"/>
        <v>0</v>
      </c>
      <c r="J173" s="84"/>
      <c r="K173" s="57">
        <f t="shared" si="22"/>
        <v>0</v>
      </c>
      <c r="M173" s="197" t="str">
        <f t="shared" si="23"/>
        <v>5110/002Share premium - additions</v>
      </c>
      <c r="N173" s="79"/>
      <c r="P173" s="80"/>
      <c r="Q173" s="60"/>
      <c r="R173" s="34"/>
    </row>
    <row r="174" spans="1:18" x14ac:dyDescent="0.2">
      <c r="A174" s="394"/>
      <c r="B174" s="105" t="s">
        <v>588</v>
      </c>
      <c r="C174" s="404" t="s">
        <v>589</v>
      </c>
      <c r="D174" s="441"/>
      <c r="E174" s="435"/>
      <c r="F174" s="88"/>
      <c r="G174" s="56">
        <f>SUMIF(JournalsC!D$14:D$920,TrialBalanceC!M174,JournalsC!J$14:J$920)+SUMIF(JournalsC!E$14:E$920,TrialBalanceC!M174,JournalsC!J$14:J$920)</f>
        <v>0</v>
      </c>
      <c r="H174" s="443"/>
      <c r="I174" s="448">
        <f t="shared" si="36"/>
        <v>0</v>
      </c>
      <c r="J174" s="84"/>
      <c r="K174" s="57">
        <f t="shared" si="22"/>
        <v>0</v>
      </c>
      <c r="M174" s="197" t="str">
        <f t="shared" si="23"/>
        <v>5110/003Share premium - transfer</v>
      </c>
      <c r="N174" s="79"/>
      <c r="P174" s="80"/>
      <c r="Q174" s="60"/>
      <c r="R174" s="34"/>
    </row>
    <row r="175" spans="1:18" x14ac:dyDescent="0.2">
      <c r="A175" s="394"/>
      <c r="B175" s="63" t="s">
        <v>534</v>
      </c>
      <c r="C175" s="397" t="s">
        <v>1329</v>
      </c>
      <c r="D175" s="437"/>
      <c r="E175" s="435"/>
      <c r="F175" s="88"/>
      <c r="G175" s="56">
        <f>SUMIF(JournalsC!D$14:D$920,TrialBalanceC!M175,JournalsC!J$14:J$920)+SUMIF(JournalsC!E$14:E$920,TrialBalanceC!M175,JournalsC!J$14:J$920)</f>
        <v>0</v>
      </c>
      <c r="H175" s="443"/>
      <c r="I175" s="448">
        <f t="shared" si="36"/>
        <v>0</v>
      </c>
      <c r="J175" s="84"/>
      <c r="K175" s="57">
        <f t="shared" si="22"/>
        <v>0</v>
      </c>
      <c r="M175" s="197" t="str">
        <f t="shared" si="23"/>
        <v>5120/000REVALUATION RESERVE</v>
      </c>
      <c r="N175" s="79"/>
      <c r="P175" s="80"/>
      <c r="Q175" s="60"/>
      <c r="R175" s="34"/>
    </row>
    <row r="176" spans="1:18" x14ac:dyDescent="0.2">
      <c r="A176" s="394"/>
      <c r="B176" s="63" t="s">
        <v>535</v>
      </c>
      <c r="C176" s="398" t="s">
        <v>1330</v>
      </c>
      <c r="D176" s="436"/>
      <c r="E176" s="435"/>
      <c r="F176" s="88">
        <f>SUM(K176:K178)</f>
        <v>0</v>
      </c>
      <c r="G176" s="56">
        <f>SUMIF(JournalsC!D$14:D$920,TrialBalanceC!M176,JournalsC!J$14:J$920)+SUMIF(JournalsC!E$14:E$920,TrialBalanceC!M176,JournalsC!J$14:J$920)</f>
        <v>0</v>
      </c>
      <c r="H176" s="443"/>
      <c r="I176" s="448">
        <f t="shared" si="36"/>
        <v>0</v>
      </c>
      <c r="J176" s="84"/>
      <c r="K176" s="57">
        <f t="shared" si="22"/>
        <v>0</v>
      </c>
      <c r="M176" s="197" t="str">
        <f t="shared" si="23"/>
        <v>5120/001Revaluation reserve - balance b/fwd</v>
      </c>
      <c r="N176" s="79"/>
      <c r="P176" s="80"/>
      <c r="Q176" s="60"/>
      <c r="R176" s="34"/>
    </row>
    <row r="177" spans="1:18" x14ac:dyDescent="0.2">
      <c r="A177" s="394"/>
      <c r="B177" s="63" t="s">
        <v>536</v>
      </c>
      <c r="C177" s="398" t="s">
        <v>1331</v>
      </c>
      <c r="D177" s="436"/>
      <c r="E177" s="435"/>
      <c r="F177" s="88"/>
      <c r="G177" s="56">
        <f>SUMIF(JournalsC!D$14:D$920,TrialBalanceC!M177,JournalsC!J$14:J$920)+SUMIF(JournalsC!E$14:E$920,TrialBalanceC!M177,JournalsC!J$14:J$920)</f>
        <v>0</v>
      </c>
      <c r="H177" s="443"/>
      <c r="I177" s="448">
        <f t="shared" si="36"/>
        <v>0</v>
      </c>
      <c r="J177" s="84"/>
      <c r="K177" s="57">
        <f t="shared" si="22"/>
        <v>0</v>
      </c>
      <c r="M177" s="197" t="str">
        <f t="shared" si="23"/>
        <v>5120/002Revaluation reserve - additions</v>
      </c>
      <c r="N177" s="79"/>
      <c r="P177" s="80"/>
      <c r="Q177" s="60"/>
      <c r="R177" s="34"/>
    </row>
    <row r="178" spans="1:18" x14ac:dyDescent="0.2">
      <c r="A178" s="394"/>
      <c r="B178" s="63" t="s">
        <v>537</v>
      </c>
      <c r="C178" s="398" t="s">
        <v>1332</v>
      </c>
      <c r="D178" s="436"/>
      <c r="E178" s="435"/>
      <c r="F178" s="88"/>
      <c r="G178" s="56">
        <f>SUMIF(JournalsC!D$14:D$920,TrialBalanceC!M178,JournalsC!J$14:J$920)+SUMIF(JournalsC!E$14:E$920,TrialBalanceC!M178,JournalsC!J$14:J$920)</f>
        <v>0</v>
      </c>
      <c r="H178" s="443"/>
      <c r="I178" s="448">
        <f t="shared" si="36"/>
        <v>0</v>
      </c>
      <c r="J178" s="84"/>
      <c r="K178" s="57">
        <f t="shared" si="22"/>
        <v>0</v>
      </c>
      <c r="M178" s="197" t="str">
        <f t="shared" si="23"/>
        <v>5120/003Revaluation reserve - transfer</v>
      </c>
      <c r="N178" s="79"/>
      <c r="P178" s="80"/>
      <c r="Q178" s="60"/>
      <c r="R178" s="34"/>
    </row>
    <row r="179" spans="1:18" x14ac:dyDescent="0.2">
      <c r="A179" s="394"/>
      <c r="B179" s="63" t="s">
        <v>106</v>
      </c>
      <c r="C179" s="397" t="s">
        <v>304</v>
      </c>
      <c r="D179" s="437"/>
      <c r="E179" s="435"/>
      <c r="F179" s="88"/>
      <c r="G179" s="56">
        <f>SUMIF(JournalsC!D$14:D$920,TrialBalanceC!M179,JournalsC!J$14:J$920)+SUMIF(JournalsC!E$14:E$920,TrialBalanceC!M179,JournalsC!J$14:J$920)</f>
        <v>0</v>
      </c>
      <c r="H179" s="443"/>
      <c r="I179" s="448">
        <f t="shared" si="36"/>
        <v>0</v>
      </c>
      <c r="J179" s="84"/>
      <c r="K179" s="57">
        <f t="shared" si="22"/>
        <v>0</v>
      </c>
      <c r="M179" s="197" t="str">
        <f t="shared" si="23"/>
        <v>5130/000OTHER RESERVES</v>
      </c>
      <c r="N179" s="79"/>
      <c r="P179" s="80"/>
      <c r="Q179" s="60"/>
      <c r="R179" s="34"/>
    </row>
    <row r="180" spans="1:18" x14ac:dyDescent="0.2">
      <c r="A180" s="394"/>
      <c r="B180" s="63" t="s">
        <v>305</v>
      </c>
      <c r="C180" s="398" t="s">
        <v>1038</v>
      </c>
      <c r="D180" s="436"/>
      <c r="E180" s="435"/>
      <c r="F180" s="88">
        <f>SUM(K180:K182)</f>
        <v>0</v>
      </c>
      <c r="G180" s="56">
        <f>SUMIF(JournalsC!D$14:D$920,TrialBalanceC!M180,JournalsC!J$14:J$920)+SUMIF(JournalsC!E$14:E$920,TrialBalanceC!M180,JournalsC!J$14:J$920)</f>
        <v>0</v>
      </c>
      <c r="H180" s="443"/>
      <c r="I180" s="448">
        <f t="shared" si="36"/>
        <v>0</v>
      </c>
      <c r="J180" s="84"/>
      <c r="K180" s="57">
        <f t="shared" si="22"/>
        <v>0</v>
      </c>
      <c r="M180" s="197" t="str">
        <f t="shared" si="23"/>
        <v>5130/001Other reserves - Balance b/fwd</v>
      </c>
      <c r="N180" s="79"/>
      <c r="P180" s="80"/>
      <c r="Q180" s="60"/>
      <c r="R180" s="34"/>
    </row>
    <row r="181" spans="1:18" x14ac:dyDescent="0.2">
      <c r="A181" s="394"/>
      <c r="B181" s="63" t="s">
        <v>306</v>
      </c>
      <c r="C181" s="398" t="s">
        <v>1004</v>
      </c>
      <c r="D181" s="436"/>
      <c r="E181" s="435"/>
      <c r="F181" s="88"/>
      <c r="G181" s="56">
        <f>SUMIF(JournalsC!D$14:D$920,TrialBalanceC!M181,JournalsC!J$14:J$920)+SUMIF(JournalsC!E$14:E$920,TrialBalanceC!M181,JournalsC!J$14:J$920)</f>
        <v>0</v>
      </c>
      <c r="H181" s="443"/>
      <c r="I181" s="448">
        <f t="shared" si="36"/>
        <v>0</v>
      </c>
      <c r="J181" s="84"/>
      <c r="K181" s="57">
        <f t="shared" si="22"/>
        <v>0</v>
      </c>
      <c r="M181" s="197" t="str">
        <f t="shared" si="23"/>
        <v>5130/002Other reserves - additions</v>
      </c>
      <c r="N181" s="79"/>
      <c r="P181" s="80"/>
      <c r="Q181" s="60"/>
      <c r="R181" s="34"/>
    </row>
    <row r="182" spans="1:18" x14ac:dyDescent="0.2">
      <c r="A182" s="394"/>
      <c r="B182" s="63" t="s">
        <v>393</v>
      </c>
      <c r="C182" s="395" t="s">
        <v>459</v>
      </c>
      <c r="D182" s="436"/>
      <c r="E182" s="435"/>
      <c r="F182" s="88"/>
      <c r="G182" s="56">
        <f>SUMIF(JournalsC!D$14:D$920,TrialBalanceC!M182,JournalsC!J$14:J$920)+SUMIF(JournalsC!E$14:E$920,TrialBalanceC!M182,JournalsC!J$14:J$920)</f>
        <v>0</v>
      </c>
      <c r="H182" s="443"/>
      <c r="I182" s="448">
        <f t="shared" si="36"/>
        <v>0</v>
      </c>
      <c r="J182" s="84"/>
      <c r="K182" s="57">
        <f t="shared" si="22"/>
        <v>0</v>
      </c>
      <c r="M182" s="197" t="str">
        <f t="shared" si="23"/>
        <v>5130/003Other reserves - transfer</v>
      </c>
      <c r="N182" s="79"/>
      <c r="P182" s="80"/>
      <c r="Q182" s="60"/>
      <c r="R182" s="34"/>
    </row>
    <row r="183" spans="1:18" x14ac:dyDescent="0.2">
      <c r="A183" s="394"/>
      <c r="B183" s="63" t="s">
        <v>460</v>
      </c>
      <c r="C183" s="397" t="s">
        <v>1005</v>
      </c>
      <c r="D183" s="437"/>
      <c r="E183" s="435"/>
      <c r="F183" s="88">
        <f>K183+SUM(K5:K164)</f>
        <v>0</v>
      </c>
      <c r="G183" s="56">
        <f>SUMIF(JournalsC!D$14:D$920,TrialBalanceC!M183,JournalsC!J$14:J$920)+SUMIF(JournalsC!E$14:E$920,TrialBalanceC!M183,JournalsC!J$14:J$920)</f>
        <v>0</v>
      </c>
      <c r="H183" s="443"/>
      <c r="I183" s="448">
        <f t="shared" si="36"/>
        <v>0</v>
      </c>
      <c r="J183" s="84"/>
      <c r="K183" s="57">
        <f t="shared" si="22"/>
        <v>0</v>
      </c>
      <c r="M183" s="197" t="str">
        <f t="shared" si="23"/>
        <v>5200/000(Retained income) / Accumulated loss</v>
      </c>
      <c r="N183" s="79"/>
      <c r="P183" s="80"/>
      <c r="Q183" s="60"/>
      <c r="R183" s="34"/>
    </row>
    <row r="184" spans="1:18" x14ac:dyDescent="0.2">
      <c r="A184" s="394"/>
      <c r="B184" s="63" t="s">
        <v>158</v>
      </c>
      <c r="C184" s="397" t="s">
        <v>159</v>
      </c>
      <c r="D184" s="437"/>
      <c r="E184" s="435"/>
      <c r="F184" s="88"/>
      <c r="G184" s="56">
        <f>SUMIF(JournalsC!D$14:D$920,TrialBalanceC!M184,JournalsC!J$14:J$920)+SUMIF(JournalsC!E$14:E$920,TrialBalanceC!M184,JournalsC!J$14:J$920)</f>
        <v>0</v>
      </c>
      <c r="H184" s="443"/>
      <c r="I184" s="448">
        <f t="shared" si="36"/>
        <v>0</v>
      </c>
      <c r="J184" s="84"/>
      <c r="K184" s="57">
        <f t="shared" si="22"/>
        <v>0</v>
      </c>
      <c r="M184" s="197" t="str">
        <f t="shared" si="23"/>
        <v>5500/000LONG TERM  INTEREST LIABILITIES</v>
      </c>
      <c r="N184" s="79"/>
      <c r="P184" s="80"/>
      <c r="Q184" s="60"/>
      <c r="R184" s="34"/>
    </row>
    <row r="185" spans="1:18" x14ac:dyDescent="0.2">
      <c r="A185" s="394"/>
      <c r="B185" s="63" t="s">
        <v>160</v>
      </c>
      <c r="C185" s="430">
        <f>TrialBalance!C185</f>
        <v>0</v>
      </c>
      <c r="D185" s="435"/>
      <c r="E185" s="435"/>
      <c r="F185" s="88">
        <f>K185</f>
        <v>0</v>
      </c>
      <c r="G185" s="56">
        <f>SUMIF(JournalsC!D$14:D$920,TrialBalanceC!M185,JournalsC!J$14:J$920)+SUMIF(JournalsC!E$14:E$920,TrialBalanceC!M185,JournalsC!J$14:J$920)</f>
        <v>0</v>
      </c>
      <c r="H185" s="443"/>
      <c r="I185" s="448">
        <f t="shared" si="36"/>
        <v>0</v>
      </c>
      <c r="J185" s="84"/>
      <c r="K185" s="57">
        <f t="shared" si="22"/>
        <v>0</v>
      </c>
      <c r="M185" s="197" t="str">
        <f t="shared" si="23"/>
        <v>5500/0010</v>
      </c>
      <c r="N185" s="79"/>
      <c r="P185" s="80"/>
      <c r="Q185" s="60"/>
      <c r="R185" s="34"/>
    </row>
    <row r="186" spans="1:18" x14ac:dyDescent="0.2">
      <c r="A186" s="394"/>
      <c r="B186" s="63" t="s">
        <v>161</v>
      </c>
      <c r="C186" s="430">
        <f>TrialBalance!C186</f>
        <v>0</v>
      </c>
      <c r="D186" s="435"/>
      <c r="E186" s="435"/>
      <c r="F186" s="88">
        <f>K186</f>
        <v>0</v>
      </c>
      <c r="G186" s="56">
        <f>SUMIF(JournalsC!D$14:D$920,TrialBalanceC!M186,JournalsC!J$14:J$920)+SUMIF(JournalsC!E$14:E$920,TrialBalanceC!M186,JournalsC!J$14:J$920)</f>
        <v>0</v>
      </c>
      <c r="H186" s="443"/>
      <c r="I186" s="448">
        <f t="shared" si="36"/>
        <v>0</v>
      </c>
      <c r="J186" s="84"/>
      <c r="K186" s="57">
        <f t="shared" si="22"/>
        <v>0</v>
      </c>
      <c r="M186" s="197" t="str">
        <f t="shared" si="23"/>
        <v>5500/0020</v>
      </c>
      <c r="N186" s="79"/>
      <c r="P186" s="80"/>
      <c r="Q186" s="60"/>
      <c r="R186" s="34"/>
    </row>
    <row r="187" spans="1:18" x14ac:dyDescent="0.2">
      <c r="A187" s="394"/>
      <c r="B187" s="63" t="s">
        <v>162</v>
      </c>
      <c r="C187" s="430">
        <f>TrialBalance!C187</f>
        <v>0</v>
      </c>
      <c r="D187" s="438"/>
      <c r="E187" s="435"/>
      <c r="F187" s="88">
        <f>K187</f>
        <v>0</v>
      </c>
      <c r="G187" s="56">
        <f>SUMIF(JournalsC!D$14:D$920,TrialBalanceC!M187,JournalsC!J$14:J$920)+SUMIF(JournalsC!E$14:E$920,TrialBalanceC!M187,JournalsC!J$14:J$920)</f>
        <v>0</v>
      </c>
      <c r="H187" s="443"/>
      <c r="I187" s="448">
        <f t="shared" si="36"/>
        <v>0</v>
      </c>
      <c r="J187" s="84"/>
      <c r="K187" s="57">
        <f t="shared" si="22"/>
        <v>0</v>
      </c>
      <c r="M187" s="197" t="str">
        <f t="shared" si="23"/>
        <v>5500/0030</v>
      </c>
      <c r="N187" s="79"/>
      <c r="P187" s="80"/>
      <c r="Q187" s="60"/>
      <c r="R187" s="34"/>
    </row>
    <row r="188" spans="1:18" x14ac:dyDescent="0.2">
      <c r="A188" s="394"/>
      <c r="B188" s="63" t="s">
        <v>163</v>
      </c>
      <c r="C188" s="430">
        <f>TrialBalance!C188</f>
        <v>0</v>
      </c>
      <c r="D188" s="436"/>
      <c r="E188" s="435"/>
      <c r="F188" s="88">
        <f>K188</f>
        <v>0</v>
      </c>
      <c r="G188" s="56">
        <f>SUMIF(JournalsC!D$14:D$920,TrialBalanceC!M188,JournalsC!J$14:J$920)+SUMIF(JournalsC!E$14:E$920,TrialBalanceC!M188,JournalsC!J$14:J$920)</f>
        <v>0</v>
      </c>
      <c r="H188" s="443"/>
      <c r="I188" s="448">
        <f t="shared" si="36"/>
        <v>0</v>
      </c>
      <c r="J188" s="84"/>
      <c r="K188" s="57">
        <f t="shared" si="22"/>
        <v>0</v>
      </c>
      <c r="M188" s="197" t="str">
        <f t="shared" si="23"/>
        <v>5500/0040</v>
      </c>
      <c r="N188" s="79"/>
      <c r="P188" s="80"/>
      <c r="Q188" s="60"/>
      <c r="R188" s="34"/>
    </row>
    <row r="189" spans="1:18" x14ac:dyDescent="0.2">
      <c r="A189" s="394"/>
      <c r="B189" s="63" t="s">
        <v>164</v>
      </c>
      <c r="C189" s="430">
        <f>TrialBalance!C189</f>
        <v>0</v>
      </c>
      <c r="D189" s="436"/>
      <c r="E189" s="435"/>
      <c r="F189" s="88">
        <f>K189</f>
        <v>0</v>
      </c>
      <c r="G189" s="56">
        <f>SUMIF(JournalsC!D$14:D$920,TrialBalanceC!M189,JournalsC!J$14:J$920)+SUMIF(JournalsC!E$14:E$920,TrialBalanceC!M189,JournalsC!J$14:J$920)</f>
        <v>0</v>
      </c>
      <c r="H189" s="443"/>
      <c r="I189" s="448">
        <f t="shared" si="36"/>
        <v>0</v>
      </c>
      <c r="J189" s="84"/>
      <c r="K189" s="57">
        <f t="shared" si="22"/>
        <v>0</v>
      </c>
      <c r="M189" s="197" t="str">
        <f t="shared" si="23"/>
        <v>5500/0050</v>
      </c>
      <c r="N189" s="79"/>
      <c r="P189" s="80"/>
      <c r="Q189" s="60"/>
      <c r="R189" s="34"/>
    </row>
    <row r="190" spans="1:18" x14ac:dyDescent="0.2">
      <c r="A190" s="394"/>
      <c r="B190" s="114" t="s">
        <v>708</v>
      </c>
      <c r="C190" s="430">
        <f>TrialBalance!C190</f>
        <v>0</v>
      </c>
      <c r="D190" s="436"/>
      <c r="E190" s="435"/>
      <c r="F190" s="88">
        <f t="shared" ref="F190:F215" si="37">K190</f>
        <v>0</v>
      </c>
      <c r="G190" s="56">
        <f>SUMIF(JournalsC!D$14:D$920,TrialBalanceC!M190,JournalsC!J$14:J$920)+SUMIF(JournalsC!E$14:E$920,TrialBalanceC!M190,JournalsC!J$14:J$920)</f>
        <v>0</v>
      </c>
      <c r="H190" s="443"/>
      <c r="I190" s="448">
        <f t="shared" si="36"/>
        <v>0</v>
      </c>
      <c r="J190" s="84"/>
      <c r="K190" s="57">
        <f t="shared" si="22"/>
        <v>0</v>
      </c>
      <c r="M190" s="197" t="str">
        <f t="shared" si="23"/>
        <v>5500/0060</v>
      </c>
      <c r="N190" s="79"/>
      <c r="P190" s="80"/>
      <c r="Q190" s="60"/>
      <c r="R190" s="34"/>
    </row>
    <row r="191" spans="1:18" x14ac:dyDescent="0.2">
      <c r="A191" s="394"/>
      <c r="B191" s="114" t="s">
        <v>709</v>
      </c>
      <c r="C191" s="430">
        <f>TrialBalance!C191</f>
        <v>0</v>
      </c>
      <c r="D191" s="436"/>
      <c r="E191" s="435"/>
      <c r="F191" s="88">
        <f t="shared" si="37"/>
        <v>0</v>
      </c>
      <c r="G191" s="56">
        <f>SUMIF(JournalsC!D$14:D$920,TrialBalanceC!M191,JournalsC!J$14:J$920)+SUMIF(JournalsC!E$14:E$920,TrialBalanceC!M191,JournalsC!J$14:J$920)</f>
        <v>0</v>
      </c>
      <c r="H191" s="443"/>
      <c r="I191" s="448">
        <f t="shared" si="36"/>
        <v>0</v>
      </c>
      <c r="J191" s="84"/>
      <c r="K191" s="57">
        <f t="shared" si="22"/>
        <v>0</v>
      </c>
      <c r="M191" s="197" t="str">
        <f t="shared" si="23"/>
        <v>5500/0070</v>
      </c>
      <c r="N191" s="79"/>
      <c r="P191" s="80"/>
      <c r="Q191" s="60"/>
      <c r="R191" s="34"/>
    </row>
    <row r="192" spans="1:18" x14ac:dyDescent="0.2">
      <c r="A192" s="394"/>
      <c r="B192" s="114" t="s">
        <v>710</v>
      </c>
      <c r="C192" s="430">
        <f>TrialBalance!C192</f>
        <v>0</v>
      </c>
      <c r="D192" s="436"/>
      <c r="E192" s="435"/>
      <c r="F192" s="88">
        <f t="shared" si="37"/>
        <v>0</v>
      </c>
      <c r="G192" s="56">
        <f>SUMIF(JournalsC!D$14:D$920,TrialBalanceC!M192,JournalsC!J$14:J$920)+SUMIF(JournalsC!E$14:E$920,TrialBalanceC!M192,JournalsC!J$14:J$920)</f>
        <v>0</v>
      </c>
      <c r="H192" s="443"/>
      <c r="I192" s="448">
        <f t="shared" si="36"/>
        <v>0</v>
      </c>
      <c r="J192" s="84"/>
      <c r="K192" s="57">
        <f t="shared" si="22"/>
        <v>0</v>
      </c>
      <c r="M192" s="197" t="str">
        <f t="shared" si="23"/>
        <v>5500/0080</v>
      </c>
      <c r="N192" s="79"/>
      <c r="P192" s="80"/>
      <c r="Q192" s="60"/>
      <c r="R192" s="34"/>
    </row>
    <row r="193" spans="1:18" x14ac:dyDescent="0.2">
      <c r="A193" s="394"/>
      <c r="B193" s="114" t="s">
        <v>711</v>
      </c>
      <c r="C193" s="430">
        <f>TrialBalance!C193</f>
        <v>0</v>
      </c>
      <c r="D193" s="436"/>
      <c r="E193" s="435"/>
      <c r="F193" s="88">
        <f t="shared" si="37"/>
        <v>0</v>
      </c>
      <c r="G193" s="56">
        <f>SUMIF(JournalsC!D$14:D$920,TrialBalanceC!M193,JournalsC!J$14:J$920)+SUMIF(JournalsC!E$14:E$920,TrialBalanceC!M193,JournalsC!J$14:J$920)</f>
        <v>0</v>
      </c>
      <c r="H193" s="443"/>
      <c r="I193" s="448">
        <f t="shared" si="36"/>
        <v>0</v>
      </c>
      <c r="J193" s="84"/>
      <c r="K193" s="57">
        <f t="shared" si="22"/>
        <v>0</v>
      </c>
      <c r="M193" s="197" t="str">
        <f t="shared" si="23"/>
        <v>5500/0090</v>
      </c>
      <c r="N193" s="79"/>
      <c r="P193" s="80"/>
      <c r="Q193" s="60"/>
      <c r="R193" s="34"/>
    </row>
    <row r="194" spans="1:18" x14ac:dyDescent="0.2">
      <c r="A194" s="394"/>
      <c r="B194" s="114" t="s">
        <v>712</v>
      </c>
      <c r="C194" s="430">
        <f>TrialBalance!C194</f>
        <v>0</v>
      </c>
      <c r="D194" s="436"/>
      <c r="E194" s="435"/>
      <c r="F194" s="88">
        <f t="shared" si="37"/>
        <v>0</v>
      </c>
      <c r="G194" s="56">
        <f>SUMIF(JournalsC!D$14:D$920,TrialBalanceC!M194,JournalsC!J$14:J$920)+SUMIF(JournalsC!E$14:E$920,TrialBalanceC!M194,JournalsC!J$14:J$920)</f>
        <v>0</v>
      </c>
      <c r="H194" s="443"/>
      <c r="I194" s="448">
        <f t="shared" si="36"/>
        <v>0</v>
      </c>
      <c r="J194" s="84"/>
      <c r="K194" s="57">
        <f t="shared" si="22"/>
        <v>0</v>
      </c>
      <c r="M194" s="197" t="str">
        <f t="shared" si="23"/>
        <v>5500/0100</v>
      </c>
      <c r="N194" s="79"/>
      <c r="P194" s="80"/>
      <c r="Q194" s="60"/>
      <c r="R194" s="34"/>
    </row>
    <row r="195" spans="1:18" x14ac:dyDescent="0.2">
      <c r="A195" s="394"/>
      <c r="B195" s="114" t="s">
        <v>713</v>
      </c>
      <c r="C195" s="430">
        <f>TrialBalance!C195</f>
        <v>0</v>
      </c>
      <c r="D195" s="436"/>
      <c r="E195" s="435"/>
      <c r="F195" s="88">
        <f t="shared" si="37"/>
        <v>0</v>
      </c>
      <c r="G195" s="56">
        <f>SUMIF(JournalsC!D$14:D$920,TrialBalanceC!M195,JournalsC!J$14:J$920)+SUMIF(JournalsC!E$14:E$920,TrialBalanceC!M195,JournalsC!J$14:J$920)</f>
        <v>0</v>
      </c>
      <c r="H195" s="443"/>
      <c r="I195" s="448">
        <f t="shared" si="36"/>
        <v>0</v>
      </c>
      <c r="J195" s="84"/>
      <c r="K195" s="57">
        <f t="shared" si="22"/>
        <v>0</v>
      </c>
      <c r="M195" s="197" t="str">
        <f t="shared" si="23"/>
        <v>5500/0110</v>
      </c>
      <c r="N195" s="79"/>
      <c r="P195" s="80"/>
      <c r="Q195" s="60"/>
      <c r="R195" s="34"/>
    </row>
    <row r="196" spans="1:18" x14ac:dyDescent="0.2">
      <c r="A196" s="394"/>
      <c r="B196" s="114" t="s">
        <v>714</v>
      </c>
      <c r="C196" s="430">
        <f>TrialBalance!C196</f>
        <v>0</v>
      </c>
      <c r="D196" s="436"/>
      <c r="E196" s="435"/>
      <c r="F196" s="88">
        <f t="shared" si="37"/>
        <v>0</v>
      </c>
      <c r="G196" s="56">
        <f>SUMIF(JournalsC!D$14:D$920,TrialBalanceC!M196,JournalsC!J$14:J$920)+SUMIF(JournalsC!E$14:E$920,TrialBalanceC!M196,JournalsC!J$14:J$920)</f>
        <v>0</v>
      </c>
      <c r="H196" s="443"/>
      <c r="I196" s="448">
        <f t="shared" si="36"/>
        <v>0</v>
      </c>
      <c r="J196" s="84"/>
      <c r="K196" s="57">
        <f t="shared" si="22"/>
        <v>0</v>
      </c>
      <c r="M196" s="197" t="str">
        <f t="shared" si="23"/>
        <v>5500/0120</v>
      </c>
      <c r="N196" s="79"/>
      <c r="P196" s="80"/>
      <c r="Q196" s="60"/>
      <c r="R196" s="34"/>
    </row>
    <row r="197" spans="1:18" x14ac:dyDescent="0.2">
      <c r="A197" s="394"/>
      <c r="B197" s="114" t="s">
        <v>715</v>
      </c>
      <c r="C197" s="430">
        <f>TrialBalance!C197</f>
        <v>0</v>
      </c>
      <c r="D197" s="436"/>
      <c r="E197" s="435"/>
      <c r="F197" s="88">
        <f t="shared" ref="F197:F198" si="38">K197</f>
        <v>0</v>
      </c>
      <c r="G197" s="56">
        <f>SUMIF(JournalsC!D$14:D$920,TrialBalanceC!M197,JournalsC!J$14:J$920)+SUMIF(JournalsC!E$14:E$920,TrialBalanceC!M197,JournalsC!J$14:J$920)</f>
        <v>0</v>
      </c>
      <c r="H197" s="443"/>
      <c r="I197" s="448">
        <f t="shared" ref="I197:I198" si="39">ROUND(D197-E197+G197+F197,0)</f>
        <v>0</v>
      </c>
      <c r="J197" s="84"/>
      <c r="K197" s="57">
        <f t="shared" ref="K197:K198" si="40">ROUND(SUM(A197),0)</f>
        <v>0</v>
      </c>
      <c r="M197" s="197" t="str">
        <f t="shared" ref="M197:M198" si="41">CONCATENATE(B197,C197)</f>
        <v>5500/0130</v>
      </c>
      <c r="N197" s="79"/>
      <c r="P197" s="80"/>
      <c r="Q197" s="60"/>
      <c r="R197" s="34"/>
    </row>
    <row r="198" spans="1:18" x14ac:dyDescent="0.2">
      <c r="A198" s="394"/>
      <c r="B198" s="114" t="s">
        <v>770</v>
      </c>
      <c r="C198" s="430">
        <f>TrialBalance!C198</f>
        <v>0</v>
      </c>
      <c r="D198" s="436"/>
      <c r="E198" s="435"/>
      <c r="F198" s="88">
        <f t="shared" si="38"/>
        <v>0</v>
      </c>
      <c r="G198" s="56">
        <f>SUMIF(JournalsC!D$14:D$920,TrialBalanceC!M198,JournalsC!J$14:J$920)+SUMIF(JournalsC!E$14:E$920,TrialBalanceC!M198,JournalsC!J$14:J$920)</f>
        <v>0</v>
      </c>
      <c r="H198" s="443"/>
      <c r="I198" s="448">
        <f t="shared" si="39"/>
        <v>0</v>
      </c>
      <c r="J198" s="84"/>
      <c r="K198" s="57">
        <f t="shared" si="40"/>
        <v>0</v>
      </c>
      <c r="M198" s="197" t="str">
        <f t="shared" si="41"/>
        <v>5500/0140</v>
      </c>
      <c r="N198" s="79"/>
      <c r="P198" s="80"/>
      <c r="Q198" s="60"/>
      <c r="R198" s="34"/>
    </row>
    <row r="199" spans="1:18" x14ac:dyDescent="0.2">
      <c r="A199" s="394"/>
      <c r="B199" s="114" t="s">
        <v>771</v>
      </c>
      <c r="C199" s="430">
        <f>TrialBalance!C199</f>
        <v>0</v>
      </c>
      <c r="D199" s="436"/>
      <c r="E199" s="435"/>
      <c r="F199" s="88">
        <f t="shared" si="37"/>
        <v>0</v>
      </c>
      <c r="G199" s="56">
        <f>SUMIF(JournalsC!D$14:D$920,TrialBalanceC!M199,JournalsC!J$14:J$920)+SUMIF(JournalsC!E$14:E$920,TrialBalanceC!M199,JournalsC!J$14:J$920)</f>
        <v>0</v>
      </c>
      <c r="H199" s="443"/>
      <c r="I199" s="448">
        <f t="shared" si="36"/>
        <v>0</v>
      </c>
      <c r="J199" s="84"/>
      <c r="K199" s="57">
        <f t="shared" si="22"/>
        <v>0</v>
      </c>
      <c r="M199" s="197" t="str">
        <f t="shared" si="23"/>
        <v>5500/0150</v>
      </c>
      <c r="N199" s="79"/>
      <c r="P199" s="80"/>
      <c r="Q199" s="60"/>
      <c r="R199" s="34"/>
    </row>
    <row r="200" spans="1:18" x14ac:dyDescent="0.2">
      <c r="A200" s="394"/>
      <c r="B200" s="63" t="s">
        <v>165</v>
      </c>
      <c r="C200" s="395" t="s">
        <v>311</v>
      </c>
      <c r="D200" s="436"/>
      <c r="E200" s="435"/>
      <c r="F200" s="88">
        <f t="shared" si="37"/>
        <v>0</v>
      </c>
      <c r="G200" s="56">
        <f>SUMIF(JournalsC!D$14:D$920,TrialBalanceC!M200,JournalsC!J$14:J$920)+SUMIF(JournalsC!E$14:E$920,TrialBalanceC!M200,JournalsC!J$14:J$920)</f>
        <v>0</v>
      </c>
      <c r="H200" s="443"/>
      <c r="I200" s="448">
        <f t="shared" si="36"/>
        <v>0</v>
      </c>
      <c r="J200" s="84"/>
      <c r="K200" s="57">
        <f t="shared" si="22"/>
        <v>0</v>
      </c>
      <c r="M200" s="197" t="str">
        <f t="shared" si="23"/>
        <v>5520/000Short term portion of long term loans</v>
      </c>
      <c r="N200" s="79"/>
      <c r="P200" s="80"/>
      <c r="Q200" s="60"/>
      <c r="R200" s="34"/>
    </row>
    <row r="201" spans="1:18" x14ac:dyDescent="0.2">
      <c r="A201" s="394"/>
      <c r="B201" s="63" t="s">
        <v>167</v>
      </c>
      <c r="C201" s="397" t="s">
        <v>168</v>
      </c>
      <c r="D201" s="437"/>
      <c r="E201" s="435"/>
      <c r="F201" s="88">
        <f t="shared" si="37"/>
        <v>0</v>
      </c>
      <c r="G201" s="56">
        <f>SUMIF(JournalsC!D$14:D$920,TrialBalanceC!M201,JournalsC!J$14:J$920)+SUMIF(JournalsC!E$14:E$920,TrialBalanceC!M201,JournalsC!J$14:J$920)</f>
        <v>0</v>
      </c>
      <c r="H201" s="443"/>
      <c r="I201" s="448">
        <f t="shared" si="36"/>
        <v>0</v>
      </c>
      <c r="J201" s="84"/>
      <c r="K201" s="57">
        <f t="shared" si="22"/>
        <v>0</v>
      </c>
      <c r="M201" s="197" t="str">
        <f t="shared" si="23"/>
        <v>5550/000LONG TERM INTEREST FREE LOANS</v>
      </c>
      <c r="N201" s="79"/>
      <c r="P201" s="80"/>
      <c r="Q201" s="60"/>
      <c r="R201" s="34"/>
    </row>
    <row r="202" spans="1:18" x14ac:dyDescent="0.2">
      <c r="A202" s="394"/>
      <c r="B202" s="63" t="s">
        <v>169</v>
      </c>
      <c r="C202" s="430">
        <f>TrialBalance!C202</f>
        <v>0</v>
      </c>
      <c r="D202" s="438"/>
      <c r="E202" s="435"/>
      <c r="F202" s="88">
        <f t="shared" si="37"/>
        <v>0</v>
      </c>
      <c r="G202" s="56">
        <f>SUMIF(JournalsC!D$14:D$920,TrialBalanceC!M202,JournalsC!J$14:J$920)+SUMIF(JournalsC!E$14:E$920,TrialBalanceC!M202,JournalsC!J$14:J$920)</f>
        <v>0</v>
      </c>
      <c r="H202" s="443"/>
      <c r="I202" s="412">
        <f t="shared" si="36"/>
        <v>0</v>
      </c>
      <c r="J202" s="115"/>
      <c r="K202" s="57">
        <f t="shared" si="22"/>
        <v>0</v>
      </c>
      <c r="M202" s="197" t="str">
        <f t="shared" si="23"/>
        <v>5550/0010</v>
      </c>
      <c r="N202" s="79"/>
      <c r="P202" s="80"/>
      <c r="Q202" s="60"/>
      <c r="R202" s="34"/>
    </row>
    <row r="203" spans="1:18" x14ac:dyDescent="0.2">
      <c r="A203" s="394"/>
      <c r="B203" s="63" t="s">
        <v>170</v>
      </c>
      <c r="C203" s="430">
        <f>TrialBalance!C203</f>
        <v>0</v>
      </c>
      <c r="D203" s="438"/>
      <c r="E203" s="435"/>
      <c r="F203" s="88">
        <f t="shared" si="37"/>
        <v>0</v>
      </c>
      <c r="G203" s="56">
        <f>SUMIF(JournalsC!D$14:D$920,TrialBalanceC!M203,JournalsC!J$14:J$920)+SUMIF(JournalsC!E$14:E$920,TrialBalanceC!M203,JournalsC!J$14:J$920)</f>
        <v>0</v>
      </c>
      <c r="H203" s="443"/>
      <c r="I203" s="448">
        <f t="shared" si="36"/>
        <v>0</v>
      </c>
      <c r="J203" s="84"/>
      <c r="K203" s="57">
        <f t="shared" si="22"/>
        <v>0</v>
      </c>
      <c r="M203" s="197" t="str">
        <f t="shared" si="23"/>
        <v>5550/0020</v>
      </c>
      <c r="N203" s="79"/>
      <c r="P203" s="80"/>
      <c r="Q203" s="60"/>
      <c r="R203" s="34"/>
    </row>
    <row r="204" spans="1:18" x14ac:dyDescent="0.2">
      <c r="A204" s="394"/>
      <c r="B204" s="63" t="s">
        <v>171</v>
      </c>
      <c r="C204" s="430">
        <f>TrialBalance!C204</f>
        <v>0</v>
      </c>
      <c r="D204" s="438"/>
      <c r="E204" s="435"/>
      <c r="F204" s="88">
        <f t="shared" si="37"/>
        <v>0</v>
      </c>
      <c r="G204" s="56">
        <f>SUMIF(JournalsC!D$14:D$920,TrialBalanceC!M204,JournalsC!J$14:J$920)+SUMIF(JournalsC!E$14:E$920,TrialBalanceC!M204,JournalsC!J$14:J$920)</f>
        <v>0</v>
      </c>
      <c r="H204" s="443"/>
      <c r="I204" s="412">
        <f t="shared" si="36"/>
        <v>0</v>
      </c>
      <c r="J204" s="115"/>
      <c r="K204" s="57">
        <f t="shared" si="22"/>
        <v>0</v>
      </c>
      <c r="M204" s="197" t="str">
        <f t="shared" si="23"/>
        <v>5550/0030</v>
      </c>
      <c r="N204" s="79"/>
      <c r="P204" s="80"/>
      <c r="Q204" s="60"/>
      <c r="R204" s="34"/>
    </row>
    <row r="205" spans="1:18" x14ac:dyDescent="0.2">
      <c r="A205" s="394"/>
      <c r="B205" s="63" t="s">
        <v>172</v>
      </c>
      <c r="C205" s="430">
        <f>TrialBalance!C205</f>
        <v>0</v>
      </c>
      <c r="D205" s="438"/>
      <c r="E205" s="435"/>
      <c r="F205" s="88">
        <f t="shared" si="37"/>
        <v>0</v>
      </c>
      <c r="G205" s="56">
        <f>SUMIF(JournalsC!D$14:D$920,TrialBalanceC!M205,JournalsC!J$14:J$920)+SUMIF(JournalsC!E$14:E$920,TrialBalanceC!M205,JournalsC!J$14:J$920)</f>
        <v>0</v>
      </c>
      <c r="H205" s="443"/>
      <c r="I205" s="412">
        <f t="shared" si="36"/>
        <v>0</v>
      </c>
      <c r="J205" s="115"/>
      <c r="K205" s="57">
        <f t="shared" si="22"/>
        <v>0</v>
      </c>
      <c r="M205" s="197" t="str">
        <f t="shared" si="23"/>
        <v>5550/0040</v>
      </c>
      <c r="N205" s="79"/>
      <c r="P205" s="80"/>
      <c r="Q205" s="60"/>
      <c r="R205" s="34"/>
    </row>
    <row r="206" spans="1:18" x14ac:dyDescent="0.2">
      <c r="A206" s="394"/>
      <c r="B206" s="63" t="s">
        <v>173</v>
      </c>
      <c r="C206" s="430">
        <f>TrialBalance!C206</f>
        <v>0</v>
      </c>
      <c r="D206" s="435"/>
      <c r="E206" s="435"/>
      <c r="F206" s="88">
        <f t="shared" si="37"/>
        <v>0</v>
      </c>
      <c r="G206" s="56">
        <f>SUMIF(JournalsC!D$14:D$920,TrialBalanceC!M206,JournalsC!J$14:J$920)+SUMIF(JournalsC!E$14:E$920,TrialBalanceC!M206,JournalsC!J$14:J$920)</f>
        <v>0</v>
      </c>
      <c r="H206" s="443"/>
      <c r="I206" s="448">
        <f t="shared" si="36"/>
        <v>0</v>
      </c>
      <c r="J206" s="84"/>
      <c r="K206" s="57">
        <f t="shared" si="22"/>
        <v>0</v>
      </c>
      <c r="M206" s="197" t="str">
        <f t="shared" si="23"/>
        <v>5550/0050</v>
      </c>
      <c r="N206" s="79"/>
      <c r="P206" s="80"/>
      <c r="Q206" s="60"/>
      <c r="R206" s="34"/>
    </row>
    <row r="207" spans="1:18" x14ac:dyDescent="0.2">
      <c r="A207" s="394"/>
      <c r="B207" s="114" t="s">
        <v>738</v>
      </c>
      <c r="C207" s="430">
        <f>TrialBalance!C207</f>
        <v>0</v>
      </c>
      <c r="D207" s="438"/>
      <c r="E207" s="435"/>
      <c r="F207" s="88">
        <f t="shared" si="37"/>
        <v>0</v>
      </c>
      <c r="G207" s="56">
        <f>SUMIF(JournalsC!D$14:D$920,TrialBalanceC!M207,JournalsC!J$14:J$920)+SUMIF(JournalsC!E$14:E$920,TrialBalanceC!M207,JournalsC!J$14:J$920)</f>
        <v>0</v>
      </c>
      <c r="H207" s="443"/>
      <c r="I207" s="412">
        <f t="shared" si="36"/>
        <v>0</v>
      </c>
      <c r="J207" s="115"/>
      <c r="K207" s="57">
        <f t="shared" ref="K207:K282" si="42">ROUND(SUM(A207),0)</f>
        <v>0</v>
      </c>
      <c r="M207" s="197" t="str">
        <f t="shared" ref="M207:M282" si="43">CONCATENATE(B207,C207)</f>
        <v>5550/0060</v>
      </c>
      <c r="N207" s="79"/>
      <c r="P207" s="80"/>
      <c r="Q207" s="60"/>
      <c r="R207" s="34"/>
    </row>
    <row r="208" spans="1:18" x14ac:dyDescent="0.2">
      <c r="A208" s="394"/>
      <c r="B208" s="114" t="s">
        <v>739</v>
      </c>
      <c r="C208" s="430">
        <f>TrialBalance!C208</f>
        <v>0</v>
      </c>
      <c r="D208" s="435"/>
      <c r="E208" s="435"/>
      <c r="F208" s="88">
        <f t="shared" si="37"/>
        <v>0</v>
      </c>
      <c r="G208" s="56">
        <f>SUMIF(JournalsC!D$14:D$920,TrialBalanceC!M208,JournalsC!J$14:J$920)+SUMIF(JournalsC!E$14:E$920,TrialBalanceC!M208,JournalsC!J$14:J$920)</f>
        <v>0</v>
      </c>
      <c r="H208" s="443"/>
      <c r="I208" s="412">
        <f t="shared" si="36"/>
        <v>0</v>
      </c>
      <c r="J208" s="115"/>
      <c r="K208" s="57">
        <f t="shared" si="42"/>
        <v>0</v>
      </c>
      <c r="M208" s="197" t="str">
        <f t="shared" si="43"/>
        <v>5550/0070</v>
      </c>
      <c r="N208" s="79"/>
      <c r="P208" s="80"/>
      <c r="Q208" s="60"/>
      <c r="R208" s="34"/>
    </row>
    <row r="209" spans="1:18" x14ac:dyDescent="0.2">
      <c r="A209" s="394"/>
      <c r="B209" s="114" t="s">
        <v>740</v>
      </c>
      <c r="C209" s="430">
        <f>TrialBalance!C209</f>
        <v>0</v>
      </c>
      <c r="D209" s="435"/>
      <c r="E209" s="435"/>
      <c r="F209" s="88">
        <f t="shared" si="37"/>
        <v>0</v>
      </c>
      <c r="G209" s="56">
        <f>SUMIF(JournalsC!D$14:D$920,TrialBalanceC!M209,JournalsC!J$14:J$920)+SUMIF(JournalsC!E$14:E$920,TrialBalanceC!M209,JournalsC!J$14:J$920)</f>
        <v>0</v>
      </c>
      <c r="H209" s="443"/>
      <c r="I209" s="448">
        <f t="shared" si="36"/>
        <v>0</v>
      </c>
      <c r="J209" s="84"/>
      <c r="K209" s="57">
        <f t="shared" si="42"/>
        <v>0</v>
      </c>
      <c r="M209" s="197" t="str">
        <f t="shared" si="43"/>
        <v>5550/0080</v>
      </c>
      <c r="N209" s="79"/>
      <c r="P209" s="80"/>
      <c r="Q209" s="60"/>
      <c r="R209" s="34"/>
    </row>
    <row r="210" spans="1:18" x14ac:dyDescent="0.2">
      <c r="A210" s="394"/>
      <c r="B210" s="114" t="s">
        <v>741</v>
      </c>
      <c r="C210" s="430">
        <f>TrialBalance!C210</f>
        <v>0</v>
      </c>
      <c r="D210" s="440"/>
      <c r="E210" s="435"/>
      <c r="F210" s="88">
        <f t="shared" si="37"/>
        <v>0</v>
      </c>
      <c r="G210" s="56">
        <f>SUMIF(JournalsC!D$14:D$920,TrialBalanceC!M210,JournalsC!J$14:J$920)+SUMIF(JournalsC!E$14:E$920,TrialBalanceC!M210,JournalsC!J$14:J$920)</f>
        <v>0</v>
      </c>
      <c r="H210" s="443"/>
      <c r="I210" s="412">
        <f t="shared" si="36"/>
        <v>0</v>
      </c>
      <c r="J210" s="115"/>
      <c r="K210" s="57">
        <f t="shared" si="42"/>
        <v>0</v>
      </c>
      <c r="M210" s="197" t="str">
        <f t="shared" si="43"/>
        <v>5550/0090</v>
      </c>
      <c r="N210" s="79"/>
      <c r="P210" s="80"/>
      <c r="Q210" s="60"/>
      <c r="R210" s="34"/>
    </row>
    <row r="211" spans="1:18" x14ac:dyDescent="0.2">
      <c r="A211" s="394"/>
      <c r="B211" s="114" t="s">
        <v>764</v>
      </c>
      <c r="C211" s="430">
        <f>TrialBalance!C211</f>
        <v>0</v>
      </c>
      <c r="D211" s="442"/>
      <c r="E211" s="435"/>
      <c r="F211" s="88">
        <f t="shared" si="37"/>
        <v>0</v>
      </c>
      <c r="G211" s="56">
        <f>SUMIF(JournalsC!D$14:D$920,TrialBalanceC!M211,JournalsC!J$14:J$920)+SUMIF(JournalsC!E$14:E$920,TrialBalanceC!M211,JournalsC!J$14:J$920)</f>
        <v>0</v>
      </c>
      <c r="H211" s="443"/>
      <c r="I211" s="448">
        <f t="shared" si="36"/>
        <v>0</v>
      </c>
      <c r="J211" s="84"/>
      <c r="K211" s="57">
        <f t="shared" si="42"/>
        <v>0</v>
      </c>
      <c r="M211" s="197" t="str">
        <f t="shared" si="43"/>
        <v>5550/0100</v>
      </c>
      <c r="N211" s="79"/>
      <c r="P211" s="80"/>
      <c r="Q211" s="60"/>
      <c r="R211" s="34"/>
    </row>
    <row r="212" spans="1:18" x14ac:dyDescent="0.2">
      <c r="A212" s="394"/>
      <c r="B212" s="114" t="s">
        <v>777</v>
      </c>
      <c r="C212" s="430">
        <f>TrialBalance!C212</f>
        <v>0</v>
      </c>
      <c r="D212" s="442"/>
      <c r="E212" s="435"/>
      <c r="F212" s="88">
        <f t="shared" si="37"/>
        <v>0</v>
      </c>
      <c r="G212" s="56">
        <f>SUMIF(JournalsC!D$14:D$920,TrialBalanceC!M212,JournalsC!J$14:J$920)+SUMIF(JournalsC!E$14:E$920,TrialBalanceC!M212,JournalsC!J$14:J$920)</f>
        <v>0</v>
      </c>
      <c r="H212" s="443"/>
      <c r="I212" s="448">
        <f t="shared" si="36"/>
        <v>0</v>
      </c>
      <c r="J212" s="84"/>
      <c r="K212" s="57">
        <f t="shared" si="42"/>
        <v>0</v>
      </c>
      <c r="M212" s="197" t="str">
        <f t="shared" si="43"/>
        <v>5550/0110</v>
      </c>
      <c r="N212" s="79"/>
      <c r="P212" s="80"/>
      <c r="Q212" s="60"/>
      <c r="R212" s="34"/>
    </row>
    <row r="213" spans="1:18" x14ac:dyDescent="0.2">
      <c r="A213" s="394"/>
      <c r="B213" s="114" t="s">
        <v>778</v>
      </c>
      <c r="C213" s="430">
        <f>TrialBalance!C213</f>
        <v>0</v>
      </c>
      <c r="D213" s="442"/>
      <c r="E213" s="435"/>
      <c r="F213" s="88">
        <f t="shared" si="37"/>
        <v>0</v>
      </c>
      <c r="G213" s="56">
        <f>SUMIF(JournalsC!D$14:D$920,TrialBalanceC!M213,JournalsC!J$14:J$920)+SUMIF(JournalsC!E$14:E$920,TrialBalanceC!M213,JournalsC!J$14:J$920)</f>
        <v>0</v>
      </c>
      <c r="H213" s="443"/>
      <c r="I213" s="448">
        <f t="shared" si="36"/>
        <v>0</v>
      </c>
      <c r="J213" s="84"/>
      <c r="K213" s="57">
        <f t="shared" si="42"/>
        <v>0</v>
      </c>
      <c r="M213" s="197" t="str">
        <f t="shared" si="43"/>
        <v>5550/0120</v>
      </c>
      <c r="N213" s="79"/>
      <c r="P213" s="80"/>
      <c r="Q213" s="60"/>
      <c r="R213" s="34"/>
    </row>
    <row r="214" spans="1:18" x14ac:dyDescent="0.2">
      <c r="A214" s="394"/>
      <c r="B214" s="114" t="s">
        <v>779</v>
      </c>
      <c r="C214" s="430">
        <f>TrialBalance!C214</f>
        <v>0</v>
      </c>
      <c r="D214" s="442"/>
      <c r="E214" s="435"/>
      <c r="F214" s="88">
        <f t="shared" si="37"/>
        <v>0</v>
      </c>
      <c r="G214" s="56">
        <f>SUMIF(JournalsC!D$14:D$920,TrialBalanceC!M214,JournalsC!J$14:J$920)+SUMIF(JournalsC!E$14:E$920,TrialBalanceC!M214,JournalsC!J$14:J$920)</f>
        <v>0</v>
      </c>
      <c r="H214" s="443"/>
      <c r="I214" s="448">
        <f t="shared" si="36"/>
        <v>0</v>
      </c>
      <c r="J214" s="84"/>
      <c r="K214" s="57">
        <f t="shared" si="42"/>
        <v>0</v>
      </c>
      <c r="M214" s="197" t="str">
        <f t="shared" si="43"/>
        <v>5550/0130</v>
      </c>
      <c r="N214" s="79"/>
      <c r="P214" s="80"/>
      <c r="Q214" s="60"/>
      <c r="R214" s="34"/>
    </row>
    <row r="215" spans="1:18" x14ac:dyDescent="0.2">
      <c r="A215" s="394"/>
      <c r="B215" s="114" t="s">
        <v>780</v>
      </c>
      <c r="C215" s="430">
        <f>TrialBalance!C215</f>
        <v>0</v>
      </c>
      <c r="D215" s="437"/>
      <c r="E215" s="435"/>
      <c r="F215" s="88">
        <f t="shared" si="37"/>
        <v>0</v>
      </c>
      <c r="G215" s="56">
        <f>SUMIF(JournalsC!D$14:D$920,TrialBalanceC!M215,JournalsC!J$14:J$920)+SUMIF(JournalsC!E$14:E$920,TrialBalanceC!M215,JournalsC!J$14:J$920)</f>
        <v>0</v>
      </c>
      <c r="H215" s="443"/>
      <c r="I215" s="448">
        <f t="shared" si="36"/>
        <v>0</v>
      </c>
      <c r="J215" s="84"/>
      <c r="K215" s="57">
        <f t="shared" si="42"/>
        <v>0</v>
      </c>
      <c r="M215" s="197" t="str">
        <f t="shared" si="43"/>
        <v>5550/0140</v>
      </c>
      <c r="N215" s="79"/>
      <c r="P215" s="80"/>
      <c r="Q215" s="60"/>
      <c r="R215" s="34"/>
    </row>
    <row r="216" spans="1:18" x14ac:dyDescent="0.2">
      <c r="A216" s="394"/>
      <c r="B216" s="114" t="s">
        <v>781</v>
      </c>
      <c r="C216" s="430">
        <f>TrialBalance!C216</f>
        <v>0</v>
      </c>
      <c r="D216" s="436"/>
      <c r="E216" s="435"/>
      <c r="F216" s="88">
        <f>K216</f>
        <v>0</v>
      </c>
      <c r="G216" s="56">
        <f>SUMIF(JournalsC!D$14:D$920,TrialBalanceC!M216,JournalsC!J$14:J$920)+SUMIF(JournalsC!E$14:E$920,TrialBalanceC!M216,JournalsC!J$14:J$920)</f>
        <v>0</v>
      </c>
      <c r="H216" s="443"/>
      <c r="I216" s="448">
        <f t="shared" si="36"/>
        <v>0</v>
      </c>
      <c r="J216" s="84"/>
      <c r="K216" s="57">
        <f t="shared" si="42"/>
        <v>0</v>
      </c>
      <c r="M216" s="197" t="str">
        <f t="shared" si="43"/>
        <v>5550/0150</v>
      </c>
      <c r="N216" s="79"/>
      <c r="P216" s="80"/>
      <c r="Q216" s="60"/>
      <c r="R216" s="34"/>
    </row>
    <row r="217" spans="1:18" x14ac:dyDescent="0.2">
      <c r="A217" s="394"/>
      <c r="B217" s="114" t="s">
        <v>782</v>
      </c>
      <c r="C217" s="430">
        <f>TrialBalance!C217</f>
        <v>0</v>
      </c>
      <c r="D217" s="428"/>
      <c r="E217" s="435"/>
      <c r="F217" s="88">
        <f>K217</f>
        <v>0</v>
      </c>
      <c r="G217" s="56">
        <f>SUMIF(JournalsC!D$14:D$920,TrialBalanceC!M217,JournalsC!J$14:J$920)+SUMIF(JournalsC!E$14:E$920,TrialBalanceC!M217,JournalsC!J$14:J$920)</f>
        <v>0</v>
      </c>
      <c r="H217" s="443"/>
      <c r="I217" s="448">
        <f t="shared" si="36"/>
        <v>0</v>
      </c>
      <c r="J217" s="84"/>
      <c r="K217" s="57">
        <f t="shared" si="42"/>
        <v>0</v>
      </c>
      <c r="M217" s="197" t="str">
        <f t="shared" si="43"/>
        <v>5550/0160</v>
      </c>
      <c r="N217" s="79"/>
      <c r="P217" s="80"/>
      <c r="Q217" s="60"/>
      <c r="R217" s="34"/>
    </row>
    <row r="218" spans="1:18" x14ac:dyDescent="0.2">
      <c r="A218" s="394"/>
      <c r="B218" s="114" t="s">
        <v>783</v>
      </c>
      <c r="C218" s="430">
        <f>TrialBalance!C218</f>
        <v>0</v>
      </c>
      <c r="D218" s="440"/>
      <c r="E218" s="435"/>
      <c r="F218" s="88">
        <f>K218</f>
        <v>0</v>
      </c>
      <c r="G218" s="56">
        <f>SUMIF(JournalsC!D$14:D$920,TrialBalanceC!M218,JournalsC!J$14:J$920)+SUMIF(JournalsC!E$14:E$920,TrialBalanceC!M218,JournalsC!J$14:J$920)</f>
        <v>0</v>
      </c>
      <c r="H218" s="443"/>
      <c r="I218" s="448">
        <f t="shared" si="36"/>
        <v>0</v>
      </c>
      <c r="J218" s="84"/>
      <c r="K218" s="57">
        <f t="shared" si="42"/>
        <v>0</v>
      </c>
      <c r="M218" s="197" t="str">
        <f t="shared" si="43"/>
        <v>5550/0170</v>
      </c>
      <c r="N218" s="79"/>
      <c r="P218" s="80"/>
      <c r="Q218" s="60"/>
      <c r="R218" s="34"/>
    </row>
    <row r="219" spans="1:18" x14ac:dyDescent="0.2">
      <c r="A219" s="394"/>
      <c r="B219" s="63" t="s">
        <v>174</v>
      </c>
      <c r="C219" s="395" t="s">
        <v>232</v>
      </c>
      <c r="D219" s="436"/>
      <c r="E219" s="435"/>
      <c r="F219" s="88"/>
      <c r="G219" s="56">
        <f>SUMIF(JournalsC!D$14:D$920,TrialBalanceC!M219,JournalsC!J$14:J$920)+SUMIF(JournalsC!E$14:E$920,TrialBalanceC!M219,JournalsC!J$14:J$920)</f>
        <v>0</v>
      </c>
      <c r="H219" s="443"/>
      <c r="I219" s="448">
        <f t="shared" si="36"/>
        <v>0</v>
      </c>
      <c r="J219" s="84"/>
      <c r="K219" s="57">
        <f t="shared" si="42"/>
        <v>0</v>
      </c>
      <c r="M219" s="197" t="str">
        <f t="shared" si="43"/>
        <v>5700/000DEFERRED TAX</v>
      </c>
      <c r="N219" s="79"/>
      <c r="P219" s="80"/>
      <c r="Q219" s="60"/>
      <c r="R219" s="34"/>
    </row>
    <row r="220" spans="1:18" x14ac:dyDescent="0.2">
      <c r="A220" s="394"/>
      <c r="B220" s="63" t="s">
        <v>175</v>
      </c>
      <c r="C220" s="398" t="s">
        <v>614</v>
      </c>
      <c r="D220" s="438"/>
      <c r="E220" s="435"/>
      <c r="F220" s="88">
        <f>K220+K222+K224+K226</f>
        <v>0</v>
      </c>
      <c r="G220" s="56">
        <f>SUMIF(JournalsC!D$14:D$920,TrialBalanceC!M220,JournalsC!J$14:J$920)+SUMIF(JournalsC!E$14:E$920,TrialBalanceC!M220,JournalsC!J$14:J$920)</f>
        <v>0</v>
      </c>
      <c r="H220" s="443"/>
      <c r="I220" s="448">
        <f t="shared" si="36"/>
        <v>0</v>
      </c>
      <c r="J220" s="84"/>
      <c r="K220" s="57">
        <f t="shared" si="42"/>
        <v>0</v>
      </c>
      <c r="M220" s="197" t="str">
        <f t="shared" si="43"/>
        <v>5700/010Deferred tax balance  depreciation b/fwd</v>
      </c>
      <c r="N220" s="79"/>
      <c r="P220" s="80"/>
      <c r="Q220" s="60"/>
      <c r="R220" s="34"/>
    </row>
    <row r="221" spans="1:18" x14ac:dyDescent="0.2">
      <c r="A221" s="394"/>
      <c r="B221" s="114" t="s">
        <v>742</v>
      </c>
      <c r="C221" s="398" t="s">
        <v>615</v>
      </c>
      <c r="D221" s="438"/>
      <c r="E221" s="435"/>
      <c r="F221" s="88">
        <f>K221+K223+K225+K227</f>
        <v>0</v>
      </c>
      <c r="G221" s="56">
        <f>SUMIF(JournalsC!D$14:D$920,TrialBalanceC!M221,JournalsC!J$14:J$920)+SUMIF(JournalsC!E$14:E$920,TrialBalanceC!M221,JournalsC!J$14:J$920)</f>
        <v>0</v>
      </c>
      <c r="H221" s="443"/>
      <c r="I221" s="448">
        <f t="shared" si="36"/>
        <v>0</v>
      </c>
      <c r="J221" s="84"/>
      <c r="K221" s="57">
        <f t="shared" si="42"/>
        <v>0</v>
      </c>
      <c r="M221" s="197" t="str">
        <f t="shared" si="43"/>
        <v>5700/020Deferred tax balance  tax loss b/fwd</v>
      </c>
      <c r="N221" s="79"/>
      <c r="P221" s="80"/>
      <c r="Q221" s="60"/>
      <c r="R221" s="34"/>
    </row>
    <row r="222" spans="1:18" x14ac:dyDescent="0.2">
      <c r="A222" s="394"/>
      <c r="B222" s="114" t="s">
        <v>1587</v>
      </c>
      <c r="C222" s="398" t="s">
        <v>1588</v>
      </c>
      <c r="D222" s="438"/>
      <c r="E222" s="435"/>
      <c r="F222" s="88"/>
      <c r="G222" s="56">
        <f>SUMIF(JournalsC!D$14:D$920,TrialBalanceC!M222,JournalsC!J$14:J$920)+SUMIF(JournalsC!E$14:E$920,TrialBalanceC!M222,JournalsC!J$14:J$920)</f>
        <v>0</v>
      </c>
      <c r="H222" s="443"/>
      <c r="I222" s="448">
        <f t="shared" ref="I222:I223" si="44">ROUND(D222-E222+G222+F222,0)</f>
        <v>0</v>
      </c>
      <c r="J222" s="84"/>
      <c r="K222" s="57">
        <f t="shared" ref="K222:K223" si="45">ROUND(SUM(A222),0)</f>
        <v>0</v>
      </c>
      <c r="M222" s="197" t="str">
        <f t="shared" ref="M222:M223" si="46">CONCATENATE(B222,C222)</f>
        <v>5700/021Opening balance depreciation tax rate change</v>
      </c>
      <c r="N222" s="79"/>
      <c r="P222" s="80"/>
      <c r="Q222" s="60"/>
      <c r="R222" s="34"/>
    </row>
    <row r="223" spans="1:18" x14ac:dyDescent="0.2">
      <c r="A223" s="394"/>
      <c r="B223" s="114" t="s">
        <v>1589</v>
      </c>
      <c r="C223" s="398" t="s">
        <v>1590</v>
      </c>
      <c r="D223" s="438"/>
      <c r="E223" s="435"/>
      <c r="F223" s="88"/>
      <c r="G223" s="56">
        <f>SUMIF(JournalsC!D$14:D$920,TrialBalanceC!M223,JournalsC!J$14:J$920)+SUMIF(JournalsC!E$14:E$920,TrialBalanceC!M223,JournalsC!J$14:J$920)</f>
        <v>0</v>
      </c>
      <c r="H223" s="443"/>
      <c r="I223" s="448">
        <f t="shared" si="44"/>
        <v>0</v>
      </c>
      <c r="J223" s="84"/>
      <c r="K223" s="57">
        <f t="shared" si="45"/>
        <v>0</v>
      </c>
      <c r="M223" s="197" t="str">
        <f t="shared" si="46"/>
        <v>5700/022Opening balance tax loss tax rate change</v>
      </c>
      <c r="N223" s="79"/>
      <c r="P223" s="80"/>
      <c r="Q223" s="60"/>
      <c r="R223" s="34"/>
    </row>
    <row r="224" spans="1:18" x14ac:dyDescent="0.2">
      <c r="A224" s="394"/>
      <c r="B224" s="114" t="s">
        <v>743</v>
      </c>
      <c r="C224" s="395" t="s">
        <v>176</v>
      </c>
      <c r="D224" s="436"/>
      <c r="E224" s="435"/>
      <c r="F224" s="88"/>
      <c r="G224" s="56">
        <f>SUMIF(JournalsC!D$14:D$920,TrialBalanceC!M224,JournalsC!J$14:J$920)+SUMIF(JournalsC!E$14:E$920,TrialBalanceC!M224,JournalsC!J$14:J$920)</f>
        <v>0</v>
      </c>
      <c r="H224" s="443"/>
      <c r="I224" s="448">
        <f t="shared" si="36"/>
        <v>0</v>
      </c>
      <c r="J224" s="84"/>
      <c r="K224" s="57">
        <f t="shared" si="42"/>
        <v>0</v>
      </c>
      <c r="M224" s="197" t="str">
        <f t="shared" si="43"/>
        <v>5700/030Deferred tax on depreciation for year</v>
      </c>
      <c r="N224" s="79"/>
      <c r="P224" s="80"/>
      <c r="Q224" s="60"/>
      <c r="R224" s="34"/>
    </row>
    <row r="225" spans="1:18" x14ac:dyDescent="0.2">
      <c r="A225" s="394"/>
      <c r="B225" s="114" t="s">
        <v>744</v>
      </c>
      <c r="C225" s="395" t="s">
        <v>177</v>
      </c>
      <c r="D225" s="436"/>
      <c r="E225" s="435"/>
      <c r="F225" s="88"/>
      <c r="G225" s="56">
        <f>SUMIF(JournalsC!D$14:D$920,TrialBalanceC!M225,JournalsC!J$14:J$920)+SUMIF(JournalsC!E$14:E$920,TrialBalanceC!M225,JournalsC!J$14:J$920)</f>
        <v>0</v>
      </c>
      <c r="H225" s="443"/>
      <c r="I225" s="448">
        <f t="shared" si="36"/>
        <v>0</v>
      </c>
      <c r="J225" s="84"/>
      <c r="K225" s="57">
        <f t="shared" si="42"/>
        <v>0</v>
      </c>
      <c r="M225" s="197" t="str">
        <f t="shared" si="43"/>
        <v>5700/040Deferred tax on tax loss for year</v>
      </c>
      <c r="N225" s="79"/>
      <c r="P225" s="80"/>
      <c r="Q225" s="60"/>
      <c r="R225" s="34"/>
    </row>
    <row r="226" spans="1:18" x14ac:dyDescent="0.2">
      <c r="A226" s="394"/>
      <c r="B226" s="114" t="s">
        <v>745</v>
      </c>
      <c r="C226" s="398" t="s">
        <v>724</v>
      </c>
      <c r="D226" s="438"/>
      <c r="E226" s="435"/>
      <c r="F226" s="88"/>
      <c r="G226" s="56">
        <f>SUMIF(JournalsC!D$14:D$920,TrialBalanceC!M226,JournalsC!J$14:J$920)+SUMIF(JournalsC!E$14:E$920,TrialBalanceC!M226,JournalsC!J$14:J$920)</f>
        <v>0</v>
      </c>
      <c r="H226" s="443"/>
      <c r="I226" s="448">
        <f t="shared" si="36"/>
        <v>0</v>
      </c>
      <c r="J226" s="84"/>
      <c r="K226" s="57">
        <f t="shared" si="42"/>
        <v>0</v>
      </c>
      <c r="M226" s="197" t="str">
        <f t="shared" si="43"/>
        <v>5700/050Def tax adj  depreciation previous year</v>
      </c>
      <c r="N226" s="79"/>
      <c r="P226" s="80"/>
      <c r="Q226" s="60"/>
      <c r="R226" s="34"/>
    </row>
    <row r="227" spans="1:18" x14ac:dyDescent="0.2">
      <c r="A227" s="394"/>
      <c r="B227" s="114" t="s">
        <v>746</v>
      </c>
      <c r="C227" s="398" t="s">
        <v>725</v>
      </c>
      <c r="D227" s="438"/>
      <c r="E227" s="435"/>
      <c r="F227" s="88"/>
      <c r="G227" s="56">
        <f>SUMIF(JournalsC!D$14:D$920,TrialBalanceC!M227,JournalsC!J$14:J$920)+SUMIF(JournalsC!E$14:E$920,TrialBalanceC!M227,JournalsC!J$14:J$920)</f>
        <v>0</v>
      </c>
      <c r="H227" s="443"/>
      <c r="I227" s="448">
        <f t="shared" si="36"/>
        <v>0</v>
      </c>
      <c r="J227" s="84"/>
      <c r="K227" s="57">
        <f t="shared" si="42"/>
        <v>0</v>
      </c>
      <c r="M227" s="197" t="str">
        <f t="shared" si="43"/>
        <v>5700/060Def tax adj tax loss previous year</v>
      </c>
      <c r="N227" s="79"/>
      <c r="P227" s="80"/>
      <c r="Q227" s="60"/>
      <c r="R227" s="34"/>
    </row>
    <row r="228" spans="1:18" x14ac:dyDescent="0.2">
      <c r="A228" s="394"/>
      <c r="B228" s="63" t="s">
        <v>178</v>
      </c>
      <c r="C228" s="397" t="s">
        <v>1620</v>
      </c>
      <c r="D228" s="437"/>
      <c r="E228" s="435"/>
      <c r="F228" s="88"/>
      <c r="G228" s="56">
        <f>SUMIF(JournalsC!D$14:D$920,TrialBalanceC!M228,JournalsC!J$14:J$920)+SUMIF(JournalsC!E$14:E$920,TrialBalanceC!M228,JournalsC!J$14:J$920)</f>
        <v>0</v>
      </c>
      <c r="H228" s="443"/>
      <c r="I228" s="448">
        <f t="shared" si="36"/>
        <v>0</v>
      </c>
      <c r="J228" s="84"/>
      <c r="K228" s="57">
        <f t="shared" si="42"/>
        <v>0</v>
      </c>
      <c r="M228" s="197" t="str">
        <f t="shared" si="43"/>
        <v>6100/000PROPERTY - COST</v>
      </c>
      <c r="N228" s="79"/>
      <c r="P228" s="80"/>
      <c r="Q228" s="60"/>
      <c r="R228" s="34"/>
    </row>
    <row r="229" spans="1:18" x14ac:dyDescent="0.2">
      <c r="A229" s="394"/>
      <c r="B229" s="63" t="s">
        <v>179</v>
      </c>
      <c r="C229" s="398" t="s">
        <v>1621</v>
      </c>
      <c r="D229" s="436"/>
      <c r="E229" s="435"/>
      <c r="F229" s="88">
        <f>SUM(K229:K233)</f>
        <v>0</v>
      </c>
      <c r="G229" s="56">
        <f>SUMIF(JournalsC!D$14:D$920,TrialBalanceC!M229,JournalsC!J$14:J$920)+SUMIF(JournalsC!E$14:E$920,TrialBalanceC!M229,JournalsC!J$14:J$920)</f>
        <v>0</v>
      </c>
      <c r="H229" s="443"/>
      <c r="I229" s="448">
        <f t="shared" si="36"/>
        <v>0</v>
      </c>
      <c r="J229" s="84"/>
      <c r="K229" s="57">
        <f t="shared" si="42"/>
        <v>0</v>
      </c>
      <c r="M229" s="197" t="str">
        <f t="shared" si="43"/>
        <v>6100/001Property - cost b/fwd</v>
      </c>
      <c r="N229" s="79"/>
      <c r="P229" s="80"/>
      <c r="Q229" s="60"/>
      <c r="R229" s="34"/>
    </row>
    <row r="230" spans="1:18" x14ac:dyDescent="0.2">
      <c r="A230" s="394"/>
      <c r="B230" s="63" t="s">
        <v>180</v>
      </c>
      <c r="C230" s="398" t="s">
        <v>1622</v>
      </c>
      <c r="D230" s="436"/>
      <c r="E230" s="435"/>
      <c r="F230" s="88"/>
      <c r="G230" s="56">
        <f>SUMIF(JournalsC!D$14:D$920,TrialBalanceC!M230,JournalsC!J$14:J$920)+SUMIF(JournalsC!E$14:E$920,TrialBalanceC!M230,JournalsC!J$14:J$920)</f>
        <v>0</v>
      </c>
      <c r="H230" s="443"/>
      <c r="I230" s="448">
        <f t="shared" si="36"/>
        <v>0</v>
      </c>
      <c r="J230" s="84"/>
      <c r="K230" s="57">
        <f t="shared" si="42"/>
        <v>0</v>
      </c>
      <c r="M230" s="197" t="str">
        <f t="shared" si="43"/>
        <v>6100/002Property - additions</v>
      </c>
      <c r="N230" s="79"/>
      <c r="P230" s="80"/>
      <c r="Q230" s="60"/>
      <c r="R230" s="34"/>
    </row>
    <row r="231" spans="1:18" x14ac:dyDescent="0.2">
      <c r="A231" s="394"/>
      <c r="B231" s="63" t="s">
        <v>181</v>
      </c>
      <c r="C231" s="398" t="s">
        <v>1623</v>
      </c>
      <c r="D231" s="436"/>
      <c r="E231" s="435"/>
      <c r="F231" s="88"/>
      <c r="G231" s="56">
        <f>SUMIF(JournalsC!D$14:D$920,TrialBalanceC!M231,JournalsC!J$14:J$920)+SUMIF(JournalsC!E$14:E$920,TrialBalanceC!M231,JournalsC!J$14:J$920)</f>
        <v>0</v>
      </c>
      <c r="H231" s="443"/>
      <c r="I231" s="448">
        <f t="shared" si="36"/>
        <v>0</v>
      </c>
      <c r="J231" s="84"/>
      <c r="K231" s="57">
        <f t="shared" si="42"/>
        <v>0</v>
      </c>
      <c r="M231" s="197" t="str">
        <f t="shared" si="43"/>
        <v>6100/003Property - cost of sales</v>
      </c>
      <c r="N231" s="79"/>
      <c r="P231" s="80"/>
      <c r="Q231" s="60"/>
      <c r="R231" s="34"/>
    </row>
    <row r="232" spans="1:18" x14ac:dyDescent="0.2">
      <c r="A232" s="394"/>
      <c r="B232" s="114" t="s">
        <v>1414</v>
      </c>
      <c r="C232" s="398" t="s">
        <v>1624</v>
      </c>
      <c r="D232" s="436"/>
      <c r="E232" s="435"/>
      <c r="F232" s="88"/>
      <c r="G232" s="56">
        <f>SUMIF(JournalsC!D$14:D$920,TrialBalanceC!M232,JournalsC!J$14:J$920)+SUMIF(JournalsC!E$14:E$920,TrialBalanceC!M232,JournalsC!J$14:J$920)</f>
        <v>0</v>
      </c>
      <c r="H232" s="443"/>
      <c r="I232" s="448">
        <f t="shared" ref="I232" si="47">ROUND(D232-E232+G232+F232,0)</f>
        <v>0</v>
      </c>
      <c r="J232" s="84"/>
      <c r="K232" s="57">
        <f t="shared" ref="K232" si="48">ROUND(SUM(A232),0)</f>
        <v>0</v>
      </c>
      <c r="M232" s="197" t="str">
        <f t="shared" ref="M232" si="49">CONCATENATE(B232,C232)</f>
        <v>6100/004Property - transfer to investment property</v>
      </c>
      <c r="N232" s="79"/>
      <c r="P232" s="80"/>
      <c r="Q232" s="60"/>
      <c r="R232" s="34"/>
    </row>
    <row r="233" spans="1:18" x14ac:dyDescent="0.2">
      <c r="A233" s="394"/>
      <c r="B233" s="114" t="s">
        <v>1555</v>
      </c>
      <c r="C233" s="398" t="s">
        <v>1625</v>
      </c>
      <c r="D233" s="436"/>
      <c r="E233" s="435"/>
      <c r="F233" s="88"/>
      <c r="G233" s="56">
        <f>SUMIF(JournalsC!D$14:D$920,TrialBalanceC!M233,JournalsC!J$14:J$920)+SUMIF(JournalsC!E$14:E$920,TrialBalanceC!M233,JournalsC!J$14:J$920)</f>
        <v>0</v>
      </c>
      <c r="H233" s="443"/>
      <c r="I233" s="448">
        <f t="shared" ref="I233" si="50">ROUND(D233-E233+G233+F233,0)</f>
        <v>0</v>
      </c>
      <c r="J233" s="84"/>
      <c r="K233" s="57">
        <f t="shared" ref="K233" si="51">ROUND(SUM(A233),0)</f>
        <v>0</v>
      </c>
      <c r="M233" s="197" t="str">
        <f t="shared" ref="M233" si="52">CONCATENATE(B233,C233)</f>
        <v>6100/005Property - transfer from investment property</v>
      </c>
      <c r="N233" s="79"/>
      <c r="P233" s="80"/>
      <c r="Q233" s="60"/>
      <c r="R233" s="34"/>
    </row>
    <row r="234" spans="1:18" x14ac:dyDescent="0.2">
      <c r="A234" s="394"/>
      <c r="B234" s="63" t="s">
        <v>344</v>
      </c>
      <c r="C234" s="397" t="s">
        <v>1626</v>
      </c>
      <c r="D234" s="437"/>
      <c r="E234" s="435"/>
      <c r="F234" s="88"/>
      <c r="G234" s="56">
        <f>SUMIF(JournalsC!D$14:D$920,TrialBalanceC!M234,JournalsC!J$14:J$920)+SUMIF(JournalsC!E$14:E$920,TrialBalanceC!M234,JournalsC!J$14:J$920)</f>
        <v>0</v>
      </c>
      <c r="H234" s="443"/>
      <c r="I234" s="448">
        <f t="shared" si="36"/>
        <v>0</v>
      </c>
      <c r="J234" s="84"/>
      <c r="K234" s="57">
        <f t="shared" si="42"/>
        <v>0</v>
      </c>
      <c r="M234" s="197" t="str">
        <f t="shared" si="43"/>
        <v>6100/020PROPERTY - ACC DEPR</v>
      </c>
      <c r="N234" s="79"/>
      <c r="P234" s="80"/>
      <c r="Q234" s="60"/>
      <c r="R234" s="34"/>
    </row>
    <row r="235" spans="1:18" x14ac:dyDescent="0.2">
      <c r="A235" s="394"/>
      <c r="B235" s="63" t="s">
        <v>345</v>
      </c>
      <c r="C235" s="398" t="s">
        <v>1627</v>
      </c>
      <c r="D235" s="436"/>
      <c r="E235" s="435"/>
      <c r="F235" s="88">
        <f>SUM(K235:K238)</f>
        <v>0</v>
      </c>
      <c r="G235" s="56">
        <f>SUMIF(JournalsC!D$14:D$920,TrialBalanceC!M235,JournalsC!J$14:J$920)+SUMIF(JournalsC!E$14:E$920,TrialBalanceC!M235,JournalsC!J$14:J$920)</f>
        <v>0</v>
      </c>
      <c r="H235" s="443"/>
      <c r="I235" s="448">
        <f t="shared" si="36"/>
        <v>0</v>
      </c>
      <c r="J235" s="84"/>
      <c r="K235" s="57">
        <f t="shared" si="42"/>
        <v>0</v>
      </c>
      <c r="M235" s="197" t="str">
        <f t="shared" si="43"/>
        <v>6100/021Property - acc depr b/fwd</v>
      </c>
      <c r="N235" s="79"/>
      <c r="P235" s="80"/>
      <c r="Q235" s="60"/>
      <c r="R235" s="34"/>
    </row>
    <row r="236" spans="1:18" x14ac:dyDescent="0.2">
      <c r="A236" s="394"/>
      <c r="B236" s="63" t="s">
        <v>346</v>
      </c>
      <c r="C236" s="398" t="s">
        <v>1628</v>
      </c>
      <c r="D236" s="436"/>
      <c r="E236" s="435"/>
      <c r="F236" s="88"/>
      <c r="G236" s="56">
        <f>SUMIF(JournalsC!D$14:D$920,TrialBalanceC!M236,JournalsC!J$14:J$920)+SUMIF(JournalsC!E$14:E$920,TrialBalanceC!M236,JournalsC!J$14:J$920)</f>
        <v>0</v>
      </c>
      <c r="H236" s="443"/>
      <c r="I236" s="448">
        <f t="shared" si="36"/>
        <v>0</v>
      </c>
      <c r="J236" s="84"/>
      <c r="K236" s="57">
        <f t="shared" si="42"/>
        <v>0</v>
      </c>
      <c r="M236" s="197" t="str">
        <f t="shared" si="43"/>
        <v>6100/022Property - depr this year</v>
      </c>
      <c r="N236" s="79"/>
      <c r="P236" s="80"/>
      <c r="Q236" s="60"/>
      <c r="R236" s="34"/>
    </row>
    <row r="237" spans="1:18" x14ac:dyDescent="0.2">
      <c r="A237" s="394"/>
      <c r="B237" s="63" t="s">
        <v>349</v>
      </c>
      <c r="C237" s="398" t="s">
        <v>1629</v>
      </c>
      <c r="D237" s="436"/>
      <c r="E237" s="435"/>
      <c r="F237" s="88"/>
      <c r="G237" s="56">
        <f>SUMIF(JournalsC!D$14:D$920,TrialBalanceC!M237,JournalsC!J$14:J$920)+SUMIF(JournalsC!E$14:E$920,TrialBalanceC!M237,JournalsC!J$14:J$920)</f>
        <v>0</v>
      </c>
      <c r="H237" s="443"/>
      <c r="I237" s="448">
        <f t="shared" si="36"/>
        <v>0</v>
      </c>
      <c r="J237" s="84"/>
      <c r="K237" s="57">
        <f t="shared" si="42"/>
        <v>0</v>
      </c>
      <c r="M237" s="197" t="str">
        <f t="shared" si="43"/>
        <v>6100/023Property - acc depr on sales</v>
      </c>
      <c r="N237" s="79"/>
      <c r="P237" s="80"/>
      <c r="Q237" s="60"/>
      <c r="R237" s="34"/>
    </row>
    <row r="238" spans="1:18" x14ac:dyDescent="0.2">
      <c r="A238" s="394"/>
      <c r="B238" s="114" t="s">
        <v>1543</v>
      </c>
      <c r="C238" s="398" t="s">
        <v>1630</v>
      </c>
      <c r="D238" s="436"/>
      <c r="E238" s="435"/>
      <c r="F238" s="88"/>
      <c r="G238" s="56">
        <f>SUMIF(JournalsC!D$14:D$920,TrialBalanceC!M238,JournalsC!J$14:J$920)+SUMIF(JournalsC!E$14:E$920,TrialBalanceC!M238,JournalsC!J$14:J$920)</f>
        <v>0</v>
      </c>
      <c r="H238" s="443"/>
      <c r="I238" s="448">
        <f t="shared" ref="I238" si="53">ROUND(D238-E238+G238+F238,0)</f>
        <v>0</v>
      </c>
      <c r="J238" s="84"/>
      <c r="K238" s="57">
        <f t="shared" ref="K238" si="54">ROUND(SUM(A238),0)</f>
        <v>0</v>
      </c>
      <c r="M238" s="197" t="str">
        <f t="shared" ref="M238" si="55">CONCATENATE(B238,C238)</f>
        <v>6100/024Property - recoupment of depr</v>
      </c>
      <c r="N238" s="79"/>
      <c r="P238" s="80"/>
      <c r="Q238" s="60"/>
      <c r="R238" s="34"/>
    </row>
    <row r="239" spans="1:18" x14ac:dyDescent="0.2">
      <c r="A239" s="394"/>
      <c r="B239" s="114" t="s">
        <v>862</v>
      </c>
      <c r="C239" s="397" t="s">
        <v>1409</v>
      </c>
      <c r="D239" s="436"/>
      <c r="E239" s="435"/>
      <c r="F239" s="88"/>
      <c r="G239" s="56">
        <f>SUMIF(JournalsC!D$14:D$920,TrialBalanceC!M239,JournalsC!J$14:J$920)+SUMIF(JournalsC!E$14:E$920,TrialBalanceC!M239,JournalsC!J$14:J$920)</f>
        <v>0</v>
      </c>
      <c r="H239" s="443"/>
      <c r="I239" s="448">
        <f t="shared" ref="I239:I243" si="56">ROUND(D239-E239+G239+F239,0)</f>
        <v>0</v>
      </c>
      <c r="J239" s="84"/>
      <c r="K239" s="57">
        <f t="shared" ref="K239:K243" si="57">ROUND(SUM(A239),0)</f>
        <v>0</v>
      </c>
      <c r="M239" s="197" t="str">
        <f t="shared" ref="M239:M243" si="58">CONCATENATE(B239,C239)</f>
        <v>6100/030INVESTMENT PROPERTY - COST</v>
      </c>
      <c r="N239" s="79"/>
      <c r="P239" s="80"/>
      <c r="Q239" s="60"/>
      <c r="R239" s="34"/>
    </row>
    <row r="240" spans="1:18" x14ac:dyDescent="0.2">
      <c r="A240" s="394"/>
      <c r="B240" s="114" t="s">
        <v>863</v>
      </c>
      <c r="C240" s="398" t="s">
        <v>1410</v>
      </c>
      <c r="D240" s="436"/>
      <c r="E240" s="435"/>
      <c r="F240" s="88">
        <f>SUM(K240:K244)</f>
        <v>0</v>
      </c>
      <c r="G240" s="56">
        <f>SUMIF(JournalsC!D$14:D$920,TrialBalanceC!M240,JournalsC!J$14:J$920)+SUMIF(JournalsC!E$14:E$920,TrialBalanceC!M240,JournalsC!J$14:J$920)</f>
        <v>0</v>
      </c>
      <c r="H240" s="443"/>
      <c r="I240" s="448">
        <f t="shared" si="56"/>
        <v>0</v>
      </c>
      <c r="J240" s="84"/>
      <c r="K240" s="57">
        <f t="shared" si="57"/>
        <v>0</v>
      </c>
      <c r="M240" s="197" t="str">
        <f t="shared" si="58"/>
        <v>6100/031Investment property - cost b/fwd</v>
      </c>
      <c r="N240" s="79"/>
      <c r="P240" s="80"/>
      <c r="Q240" s="60"/>
      <c r="R240" s="34"/>
    </row>
    <row r="241" spans="1:18" x14ac:dyDescent="0.2">
      <c r="A241" s="394"/>
      <c r="B241" s="114" t="s">
        <v>864</v>
      </c>
      <c r="C241" s="398" t="s">
        <v>1411</v>
      </c>
      <c r="D241" s="436"/>
      <c r="E241" s="435"/>
      <c r="F241" s="88"/>
      <c r="G241" s="56">
        <f>SUMIF(JournalsC!D$14:D$920,TrialBalanceC!M241,JournalsC!J$14:J$920)+SUMIF(JournalsC!E$14:E$920,TrialBalanceC!M241,JournalsC!J$14:J$920)</f>
        <v>0</v>
      </c>
      <c r="H241" s="443"/>
      <c r="I241" s="448">
        <f t="shared" si="56"/>
        <v>0</v>
      </c>
      <c r="J241" s="84"/>
      <c r="K241" s="57">
        <f t="shared" si="57"/>
        <v>0</v>
      </c>
      <c r="M241" s="197" t="str">
        <f t="shared" si="58"/>
        <v>6100/032Investment property - additions</v>
      </c>
      <c r="N241" s="79"/>
      <c r="P241" s="80"/>
      <c r="Q241" s="60"/>
      <c r="R241" s="34"/>
    </row>
    <row r="242" spans="1:18" x14ac:dyDescent="0.2">
      <c r="A242" s="394"/>
      <c r="B242" s="114" t="s">
        <v>865</v>
      </c>
      <c r="C242" s="398" t="s">
        <v>1412</v>
      </c>
      <c r="D242" s="436"/>
      <c r="E242" s="435"/>
      <c r="F242" s="88"/>
      <c r="G242" s="56">
        <f>SUMIF(JournalsC!D$14:D$920,TrialBalanceC!M242,JournalsC!J$14:J$920)+SUMIF(JournalsC!E$14:E$920,TrialBalanceC!M242,JournalsC!J$14:J$920)</f>
        <v>0</v>
      </c>
      <c r="H242" s="443"/>
      <c r="I242" s="448">
        <f t="shared" si="56"/>
        <v>0</v>
      </c>
      <c r="J242" s="84"/>
      <c r="K242" s="57">
        <f t="shared" si="57"/>
        <v>0</v>
      </c>
      <c r="M242" s="197" t="str">
        <f t="shared" si="58"/>
        <v>6100/033Investment property - cost of sales</v>
      </c>
      <c r="N242" s="79"/>
      <c r="P242" s="80"/>
      <c r="Q242" s="60"/>
      <c r="R242" s="34"/>
    </row>
    <row r="243" spans="1:18" x14ac:dyDescent="0.2">
      <c r="A243" s="394"/>
      <c r="B243" s="114" t="s">
        <v>1535</v>
      </c>
      <c r="C243" s="398" t="s">
        <v>1413</v>
      </c>
      <c r="D243" s="436"/>
      <c r="E243" s="435"/>
      <c r="F243" s="88"/>
      <c r="G243" s="56">
        <f>SUMIF(JournalsC!D$14:D$920,TrialBalanceC!M243,JournalsC!J$14:J$920)+SUMIF(JournalsC!E$14:E$920,TrialBalanceC!M243,JournalsC!J$14:J$920)</f>
        <v>0</v>
      </c>
      <c r="H243" s="443"/>
      <c r="I243" s="448">
        <f t="shared" si="56"/>
        <v>0</v>
      </c>
      <c r="J243" s="84"/>
      <c r="K243" s="57">
        <f t="shared" si="57"/>
        <v>0</v>
      </c>
      <c r="M243" s="197" t="str">
        <f t="shared" si="58"/>
        <v>6100/034Investment property - transfer from property</v>
      </c>
      <c r="N243" s="79"/>
      <c r="P243" s="80"/>
      <c r="Q243" s="60"/>
      <c r="R243" s="34"/>
    </row>
    <row r="244" spans="1:18" x14ac:dyDescent="0.2">
      <c r="A244" s="394"/>
      <c r="B244" s="114" t="s">
        <v>1556</v>
      </c>
      <c r="C244" s="398" t="s">
        <v>1557</v>
      </c>
      <c r="D244" s="436"/>
      <c r="E244" s="435"/>
      <c r="F244" s="88"/>
      <c r="G244" s="56">
        <f>SUMIF(JournalsC!D$14:D$920,TrialBalanceC!M244,JournalsC!J$14:J$920)+SUMIF(JournalsC!E$14:E$920,TrialBalanceC!M244,JournalsC!J$14:J$920)</f>
        <v>0</v>
      </c>
      <c r="H244" s="443"/>
      <c r="I244" s="448">
        <f t="shared" ref="I244" si="59">ROUND(D244-E244+G244+F244,0)</f>
        <v>0</v>
      </c>
      <c r="J244" s="84"/>
      <c r="K244" s="57">
        <f t="shared" ref="K244" si="60">ROUND(SUM(A244),0)</f>
        <v>0</v>
      </c>
      <c r="M244" s="197" t="str">
        <f t="shared" ref="M244" si="61">CONCATENATE(B244,C244)</f>
        <v>6100/035Investment property - transfer to property</v>
      </c>
      <c r="N244" s="79"/>
      <c r="P244" s="80"/>
      <c r="Q244" s="60"/>
      <c r="R244" s="34"/>
    </row>
    <row r="245" spans="1:18" x14ac:dyDescent="0.2">
      <c r="A245" s="394"/>
      <c r="B245" s="114" t="s">
        <v>1536</v>
      </c>
      <c r="C245" s="397" t="s">
        <v>1540</v>
      </c>
      <c r="D245" s="436"/>
      <c r="E245" s="435"/>
      <c r="F245" s="88"/>
      <c r="G245" s="56">
        <f>SUMIF(JournalsC!D$14:D$920,TrialBalanceC!M245,JournalsC!J$14:J$920)+SUMIF(JournalsC!E$14:E$920,TrialBalanceC!M245,JournalsC!J$14:J$920)</f>
        <v>0</v>
      </c>
      <c r="H245" s="443"/>
      <c r="I245" s="448">
        <f t="shared" ref="I245:I249" si="62">ROUND(D245-E245+G245+F245,0)</f>
        <v>0</v>
      </c>
      <c r="J245" s="84"/>
      <c r="K245" s="57">
        <f t="shared" ref="K245:K249" si="63">ROUND(SUM(A245),0)</f>
        <v>0</v>
      </c>
      <c r="M245" s="197" t="str">
        <f t="shared" ref="M245:M249" si="64">CONCATENATE(B245,C245)</f>
        <v>6100/040INVESTMENT PROPERTY - VALUATION</v>
      </c>
      <c r="N245" s="79"/>
      <c r="P245" s="80"/>
      <c r="Q245" s="60"/>
      <c r="R245" s="34"/>
    </row>
    <row r="246" spans="1:18" x14ac:dyDescent="0.2">
      <c r="A246" s="394"/>
      <c r="B246" s="114" t="s">
        <v>1537</v>
      </c>
      <c r="C246" s="398" t="s">
        <v>1541</v>
      </c>
      <c r="D246" s="436"/>
      <c r="E246" s="435"/>
      <c r="F246" s="88">
        <f>SUM(K246:K249)</f>
        <v>0</v>
      </c>
      <c r="G246" s="56">
        <f>SUMIF(JournalsC!D$14:D$920,TrialBalanceC!M246,JournalsC!J$14:J$920)+SUMIF(JournalsC!E$14:E$920,TrialBalanceC!M246,JournalsC!J$14:J$920)</f>
        <v>0</v>
      </c>
      <c r="H246" s="443"/>
      <c r="I246" s="448">
        <f t="shared" si="62"/>
        <v>0</v>
      </c>
      <c r="J246" s="84"/>
      <c r="K246" s="57">
        <f t="shared" si="63"/>
        <v>0</v>
      </c>
      <c r="M246" s="197" t="str">
        <f t="shared" si="64"/>
        <v>6100/041Investment property - valuation b/fwd</v>
      </c>
      <c r="N246" s="79"/>
      <c r="P246" s="80"/>
      <c r="Q246" s="60"/>
      <c r="R246" s="34"/>
    </row>
    <row r="247" spans="1:18" x14ac:dyDescent="0.2">
      <c r="A247" s="394"/>
      <c r="B247" s="114" t="s">
        <v>1538</v>
      </c>
      <c r="C247" s="398" t="s">
        <v>1542</v>
      </c>
      <c r="D247" s="436"/>
      <c r="E247" s="435"/>
      <c r="F247" s="88"/>
      <c r="G247" s="56">
        <f>SUMIF(JournalsC!D$14:D$920,TrialBalanceC!M247,JournalsC!J$14:J$920)+SUMIF(JournalsC!E$14:E$920,TrialBalanceC!M247,JournalsC!J$14:J$920)</f>
        <v>0</v>
      </c>
      <c r="H247" s="443"/>
      <c r="I247" s="448">
        <f t="shared" si="62"/>
        <v>0</v>
      </c>
      <c r="J247" s="84"/>
      <c r="K247" s="57">
        <f t="shared" si="63"/>
        <v>0</v>
      </c>
      <c r="M247" s="197" t="str">
        <f t="shared" si="64"/>
        <v>6100/042Investment property - valuation additions</v>
      </c>
      <c r="N247" s="79"/>
      <c r="P247" s="80"/>
      <c r="Q247" s="60"/>
      <c r="R247" s="34"/>
    </row>
    <row r="248" spans="1:18" x14ac:dyDescent="0.2">
      <c r="A248" s="394"/>
      <c r="B248" s="114" t="s">
        <v>1539</v>
      </c>
      <c r="C248" s="398" t="s">
        <v>1562</v>
      </c>
      <c r="D248" s="436"/>
      <c r="E248" s="435"/>
      <c r="F248" s="88"/>
      <c r="G248" s="56">
        <f>SUMIF(JournalsC!D$14:D$920,TrialBalanceC!M248,JournalsC!J$14:J$920)+SUMIF(JournalsC!E$14:E$920,TrialBalanceC!M248,JournalsC!J$14:J$920)</f>
        <v>0</v>
      </c>
      <c r="H248" s="443"/>
      <c r="I248" s="448">
        <f t="shared" ref="I248" si="65">ROUND(D248-E248+G248+F248,0)</f>
        <v>0</v>
      </c>
      <c r="J248" s="84"/>
      <c r="K248" s="57">
        <f t="shared" ref="K248" si="66">ROUND(SUM(A248),0)</f>
        <v>0</v>
      </c>
      <c r="M248" s="197" t="str">
        <f t="shared" ref="M248" si="67">CONCATENATE(B248,C248)</f>
        <v>6100/043Investment property - valuation reduction on sales</v>
      </c>
      <c r="N248" s="79"/>
      <c r="P248" s="80"/>
      <c r="Q248" s="60"/>
      <c r="R248" s="34"/>
    </row>
    <row r="249" spans="1:18" x14ac:dyDescent="0.2">
      <c r="A249" s="394"/>
      <c r="B249" s="114" t="s">
        <v>1563</v>
      </c>
      <c r="C249" s="398" t="s">
        <v>1564</v>
      </c>
      <c r="D249" s="436"/>
      <c r="E249" s="435"/>
      <c r="F249" s="88"/>
      <c r="G249" s="56">
        <f>SUMIF(JournalsC!D$14:D$920,TrialBalanceC!M249,JournalsC!J$14:J$920)+SUMIF(JournalsC!E$14:E$920,TrialBalanceC!M249,JournalsC!J$14:J$920)</f>
        <v>0</v>
      </c>
      <c r="H249" s="443"/>
      <c r="I249" s="448">
        <f t="shared" si="62"/>
        <v>0</v>
      </c>
      <c r="J249" s="84"/>
      <c r="K249" s="57">
        <f t="shared" si="63"/>
        <v>0</v>
      </c>
      <c r="M249" s="197" t="str">
        <f t="shared" si="64"/>
        <v>6100/044Investment property - valuation reduction on transfers</v>
      </c>
      <c r="N249" s="79"/>
      <c r="P249" s="80"/>
      <c r="Q249" s="60"/>
      <c r="R249" s="34"/>
    </row>
    <row r="250" spans="1:18" x14ac:dyDescent="0.2">
      <c r="A250" s="394"/>
      <c r="B250" s="63" t="s">
        <v>350</v>
      </c>
      <c r="C250" s="397" t="s">
        <v>1006</v>
      </c>
      <c r="D250" s="437"/>
      <c r="E250" s="435"/>
      <c r="F250" s="88"/>
      <c r="G250" s="56">
        <f>SUMIF(JournalsC!D$14:D$920,TrialBalanceC!M250,JournalsC!J$14:J$920)+SUMIF(JournalsC!E$14:E$920,TrialBalanceC!M250,JournalsC!J$14:J$920)</f>
        <v>0</v>
      </c>
      <c r="H250" s="443"/>
      <c r="I250" s="448">
        <f t="shared" si="36"/>
        <v>0</v>
      </c>
      <c r="J250" s="84"/>
      <c r="K250" s="57">
        <f t="shared" si="42"/>
        <v>0</v>
      </c>
      <c r="M250" s="197" t="str">
        <f t="shared" si="43"/>
        <v>6150/000PLANT AND MACHINERY - COST</v>
      </c>
      <c r="N250" s="79"/>
      <c r="P250" s="80"/>
      <c r="Q250" s="60"/>
      <c r="R250" s="34"/>
    </row>
    <row r="251" spans="1:18" x14ac:dyDescent="0.2">
      <c r="A251" s="394"/>
      <c r="B251" s="63" t="s">
        <v>43</v>
      </c>
      <c r="C251" s="398" t="s">
        <v>1007</v>
      </c>
      <c r="D251" s="436"/>
      <c r="E251" s="435"/>
      <c r="F251" s="88">
        <f>SUM(K251:K253)</f>
        <v>0</v>
      </c>
      <c r="G251" s="56">
        <f>SUMIF(JournalsC!D$14:D$920,TrialBalanceC!M251,JournalsC!J$14:J$920)+SUMIF(JournalsC!E$14:E$920,TrialBalanceC!M251,JournalsC!J$14:J$920)</f>
        <v>0</v>
      </c>
      <c r="H251" s="443"/>
      <c r="I251" s="448">
        <f t="shared" si="36"/>
        <v>0</v>
      </c>
      <c r="J251" s="84"/>
      <c r="K251" s="57">
        <f t="shared" si="42"/>
        <v>0</v>
      </c>
      <c r="M251" s="197" t="str">
        <f t="shared" si="43"/>
        <v>6150/001Plant and machinery - cost b/fwd</v>
      </c>
      <c r="N251" s="79"/>
      <c r="P251" s="80"/>
      <c r="Q251" s="60"/>
      <c r="R251" s="34"/>
    </row>
    <row r="252" spans="1:18" x14ac:dyDescent="0.2">
      <c r="A252" s="394"/>
      <c r="B252" s="63" t="s">
        <v>44</v>
      </c>
      <c r="C252" s="398" t="s">
        <v>1008</v>
      </c>
      <c r="D252" s="436"/>
      <c r="E252" s="435"/>
      <c r="F252" s="88"/>
      <c r="G252" s="56">
        <f>SUMIF(JournalsC!D$14:D$920,TrialBalanceC!M252,JournalsC!J$14:J$920)+SUMIF(JournalsC!E$14:E$920,TrialBalanceC!M252,JournalsC!J$14:J$920)</f>
        <v>0</v>
      </c>
      <c r="H252" s="443"/>
      <c r="I252" s="448">
        <f t="shared" si="36"/>
        <v>0</v>
      </c>
      <c r="J252" s="84"/>
      <c r="K252" s="57">
        <f t="shared" si="42"/>
        <v>0</v>
      </c>
      <c r="M252" s="197" t="str">
        <f t="shared" si="43"/>
        <v>6150/002Plant and machinery - additions</v>
      </c>
      <c r="N252" s="79"/>
      <c r="P252" s="80"/>
      <c r="Q252" s="60"/>
      <c r="R252" s="34"/>
    </row>
    <row r="253" spans="1:18" x14ac:dyDescent="0.2">
      <c r="A253" s="394"/>
      <c r="B253" s="63" t="s">
        <v>45</v>
      </c>
      <c r="C253" s="398" t="s">
        <v>1009</v>
      </c>
      <c r="D253" s="436"/>
      <c r="E253" s="435"/>
      <c r="F253" s="88"/>
      <c r="G253" s="56">
        <f>SUMIF(JournalsC!D$14:D$920,TrialBalanceC!M253,JournalsC!J$14:J$920)+SUMIF(JournalsC!E$14:E$920,TrialBalanceC!M253,JournalsC!J$14:J$920)</f>
        <v>0</v>
      </c>
      <c r="H253" s="443"/>
      <c r="I253" s="448">
        <f t="shared" ref="I253:I354" si="68">ROUND(D253-E253+G253+F253,0)</f>
        <v>0</v>
      </c>
      <c r="J253" s="84"/>
      <c r="K253" s="57">
        <f t="shared" si="42"/>
        <v>0</v>
      </c>
      <c r="M253" s="197" t="str">
        <f t="shared" si="43"/>
        <v>6150/003Plant and machinery - cost of sales</v>
      </c>
      <c r="N253" s="79"/>
      <c r="P253" s="80"/>
      <c r="Q253" s="60"/>
      <c r="R253" s="34"/>
    </row>
    <row r="254" spans="1:18" x14ac:dyDescent="0.2">
      <c r="A254" s="394"/>
      <c r="B254" s="63" t="s">
        <v>20</v>
      </c>
      <c r="C254" s="397" t="s">
        <v>1010</v>
      </c>
      <c r="D254" s="437"/>
      <c r="E254" s="435"/>
      <c r="F254" s="88"/>
      <c r="G254" s="56">
        <f>SUMIF(JournalsC!D$14:D$920,TrialBalanceC!M254,JournalsC!J$14:J$920)+SUMIF(JournalsC!E$14:E$920,TrialBalanceC!M254,JournalsC!J$14:J$920)</f>
        <v>0</v>
      </c>
      <c r="H254" s="443"/>
      <c r="I254" s="448">
        <f t="shared" si="68"/>
        <v>0</v>
      </c>
      <c r="J254" s="84"/>
      <c r="K254" s="57">
        <f t="shared" si="42"/>
        <v>0</v>
      </c>
      <c r="M254" s="197" t="str">
        <f t="shared" si="43"/>
        <v>6150/020PLANT AND MACHINERY - ACC DEPR</v>
      </c>
      <c r="N254" s="79"/>
      <c r="P254" s="80"/>
      <c r="Q254" s="60"/>
      <c r="R254" s="34"/>
    </row>
    <row r="255" spans="1:18" x14ac:dyDescent="0.2">
      <c r="A255" s="394"/>
      <c r="B255" s="63" t="s">
        <v>21</v>
      </c>
      <c r="C255" s="398" t="s">
        <v>1011</v>
      </c>
      <c r="D255" s="436"/>
      <c r="E255" s="435"/>
      <c r="F255" s="88">
        <f>SUM(K255:K257)</f>
        <v>0</v>
      </c>
      <c r="G255" s="56">
        <f>SUMIF(JournalsC!D$14:D$920,TrialBalanceC!M255,JournalsC!J$14:J$920)+SUMIF(JournalsC!E$14:E$920,TrialBalanceC!M255,JournalsC!J$14:J$920)</f>
        <v>0</v>
      </c>
      <c r="H255" s="443"/>
      <c r="I255" s="448">
        <f t="shared" si="68"/>
        <v>0</v>
      </c>
      <c r="J255" s="84"/>
      <c r="K255" s="57">
        <f t="shared" si="42"/>
        <v>0</v>
      </c>
      <c r="M255" s="197" t="str">
        <f t="shared" si="43"/>
        <v>6150/021Plant and machinery - acc depr b/fwd</v>
      </c>
      <c r="N255" s="79"/>
      <c r="P255" s="80"/>
      <c r="Q255" s="60"/>
      <c r="R255" s="34"/>
    </row>
    <row r="256" spans="1:18" x14ac:dyDescent="0.2">
      <c r="A256" s="394"/>
      <c r="B256" s="63" t="s">
        <v>37</v>
      </c>
      <c r="C256" s="398" t="s">
        <v>1012</v>
      </c>
      <c r="D256" s="436"/>
      <c r="E256" s="435"/>
      <c r="F256" s="88"/>
      <c r="G256" s="56">
        <f>SUMIF(JournalsC!D$14:D$920,TrialBalanceC!M256,JournalsC!J$14:J$920)+SUMIF(JournalsC!E$14:E$920,TrialBalanceC!M256,JournalsC!J$14:J$920)</f>
        <v>0</v>
      </c>
      <c r="H256" s="443"/>
      <c r="I256" s="448">
        <f t="shared" si="68"/>
        <v>0</v>
      </c>
      <c r="J256" s="84"/>
      <c r="K256" s="57">
        <f t="shared" si="42"/>
        <v>0</v>
      </c>
      <c r="M256" s="197" t="str">
        <f t="shared" si="43"/>
        <v>6150/022Plant and machinery - depr this year</v>
      </c>
      <c r="N256" s="79"/>
      <c r="P256" s="80"/>
      <c r="Q256" s="60"/>
      <c r="R256" s="34"/>
    </row>
    <row r="257" spans="1:18" x14ac:dyDescent="0.2">
      <c r="A257" s="394"/>
      <c r="B257" s="63" t="s">
        <v>38</v>
      </c>
      <c r="C257" s="398" t="s">
        <v>1013</v>
      </c>
      <c r="D257" s="436"/>
      <c r="E257" s="435"/>
      <c r="F257" s="88"/>
      <c r="G257" s="56">
        <f>SUMIF(JournalsC!D$14:D$920,TrialBalanceC!M257,JournalsC!J$14:J$920)+SUMIF(JournalsC!E$14:E$920,TrialBalanceC!M257,JournalsC!J$14:J$920)</f>
        <v>0</v>
      </c>
      <c r="H257" s="443"/>
      <c r="I257" s="448">
        <f t="shared" si="68"/>
        <v>0</v>
      </c>
      <c r="J257" s="84"/>
      <c r="K257" s="57">
        <f t="shared" si="42"/>
        <v>0</v>
      </c>
      <c r="M257" s="197" t="str">
        <f t="shared" si="43"/>
        <v>6150/023Plant and machinery - acc depr on sales</v>
      </c>
      <c r="N257" s="79"/>
      <c r="P257" s="80"/>
      <c r="Q257" s="60"/>
      <c r="R257" s="34"/>
    </row>
    <row r="258" spans="1:18" x14ac:dyDescent="0.2">
      <c r="A258" s="394"/>
      <c r="B258" s="63" t="s">
        <v>39</v>
      </c>
      <c r="C258" s="397" t="s">
        <v>40</v>
      </c>
      <c r="D258" s="437"/>
      <c r="E258" s="435"/>
      <c r="F258" s="88"/>
      <c r="G258" s="56">
        <f>SUMIF(JournalsC!D$14:D$920,TrialBalanceC!M258,JournalsC!J$14:J$920)+SUMIF(JournalsC!E$14:E$920,TrialBalanceC!M258,JournalsC!J$14:J$920)</f>
        <v>0</v>
      </c>
      <c r="H258" s="443"/>
      <c r="I258" s="448">
        <f t="shared" si="68"/>
        <v>0</v>
      </c>
      <c r="J258" s="84"/>
      <c r="K258" s="57">
        <f t="shared" si="42"/>
        <v>0</v>
      </c>
      <c r="M258" s="197" t="str">
        <f t="shared" si="43"/>
        <v>6200/000MOTOR VEHICLES - COST</v>
      </c>
      <c r="N258" s="79"/>
      <c r="P258" s="80"/>
      <c r="Q258" s="60"/>
      <c r="R258" s="34"/>
    </row>
    <row r="259" spans="1:18" x14ac:dyDescent="0.2">
      <c r="A259" s="394"/>
      <c r="B259" s="63" t="s">
        <v>41</v>
      </c>
      <c r="C259" s="398" t="s">
        <v>1014</v>
      </c>
      <c r="D259" s="436"/>
      <c r="E259" s="435"/>
      <c r="F259" s="88">
        <f>SUM(K259:K261)</f>
        <v>0</v>
      </c>
      <c r="G259" s="56">
        <f>SUMIF(JournalsC!D$14:D$920,TrialBalanceC!M259,JournalsC!J$14:J$920)+SUMIF(JournalsC!E$14:E$920,TrialBalanceC!M259,JournalsC!J$14:J$920)</f>
        <v>0</v>
      </c>
      <c r="H259" s="443"/>
      <c r="I259" s="448">
        <f t="shared" si="68"/>
        <v>0</v>
      </c>
      <c r="J259" s="84"/>
      <c r="K259" s="57">
        <f t="shared" si="42"/>
        <v>0</v>
      </c>
      <c r="M259" s="197" t="str">
        <f t="shared" si="43"/>
        <v>6200/001Motor vehicles - cost b/fwd</v>
      </c>
      <c r="N259" s="79"/>
      <c r="P259" s="80"/>
      <c r="Q259" s="60"/>
      <c r="R259" s="34"/>
    </row>
    <row r="260" spans="1:18" x14ac:dyDescent="0.2">
      <c r="A260" s="394"/>
      <c r="B260" s="63" t="s">
        <v>42</v>
      </c>
      <c r="C260" s="398" t="s">
        <v>1015</v>
      </c>
      <c r="D260" s="436"/>
      <c r="E260" s="435"/>
      <c r="F260" s="88"/>
      <c r="G260" s="56">
        <f>SUMIF(JournalsC!D$14:D$920,TrialBalanceC!M260,JournalsC!J$14:J$920)+SUMIF(JournalsC!E$14:E$920,TrialBalanceC!M260,JournalsC!J$14:J$920)</f>
        <v>0</v>
      </c>
      <c r="H260" s="443"/>
      <c r="I260" s="448">
        <f t="shared" si="68"/>
        <v>0</v>
      </c>
      <c r="J260" s="84"/>
      <c r="K260" s="57">
        <f t="shared" si="42"/>
        <v>0</v>
      </c>
      <c r="M260" s="197" t="str">
        <f t="shared" si="43"/>
        <v>6200/002Motor vehicles - additions</v>
      </c>
      <c r="N260" s="79"/>
      <c r="P260" s="80"/>
      <c r="Q260" s="60"/>
      <c r="R260" s="34"/>
    </row>
    <row r="261" spans="1:18" x14ac:dyDescent="0.2">
      <c r="A261" s="394"/>
      <c r="B261" s="63" t="s">
        <v>556</v>
      </c>
      <c r="C261" s="398" t="s">
        <v>1016</v>
      </c>
      <c r="D261" s="436"/>
      <c r="E261" s="435"/>
      <c r="F261" s="88"/>
      <c r="G261" s="56">
        <f>SUMIF(JournalsC!D$14:D$920,TrialBalanceC!M261,JournalsC!J$14:J$920)+SUMIF(JournalsC!E$14:E$920,TrialBalanceC!M261,JournalsC!J$14:J$920)</f>
        <v>0</v>
      </c>
      <c r="H261" s="443"/>
      <c r="I261" s="448">
        <f t="shared" si="68"/>
        <v>0</v>
      </c>
      <c r="J261" s="84"/>
      <c r="K261" s="57">
        <f t="shared" si="42"/>
        <v>0</v>
      </c>
      <c r="M261" s="197" t="str">
        <f t="shared" si="43"/>
        <v>6200/003Motor vehicles - cost of sales</v>
      </c>
      <c r="N261" s="79"/>
      <c r="P261" s="80"/>
      <c r="Q261" s="60"/>
      <c r="R261" s="34"/>
    </row>
    <row r="262" spans="1:18" x14ac:dyDescent="0.2">
      <c r="A262" s="394"/>
      <c r="B262" s="63" t="s">
        <v>0</v>
      </c>
      <c r="C262" s="397" t="s">
        <v>1</v>
      </c>
      <c r="D262" s="437"/>
      <c r="E262" s="435"/>
      <c r="F262" s="88"/>
      <c r="G262" s="56">
        <f>SUMIF(JournalsC!D$14:D$920,TrialBalanceC!M262,JournalsC!J$14:J$920)+SUMIF(JournalsC!E$14:E$920,TrialBalanceC!M262,JournalsC!J$14:J$920)</f>
        <v>0</v>
      </c>
      <c r="H262" s="443"/>
      <c r="I262" s="448">
        <f t="shared" si="68"/>
        <v>0</v>
      </c>
      <c r="J262" s="84"/>
      <c r="K262" s="57">
        <f t="shared" si="42"/>
        <v>0</v>
      </c>
      <c r="M262" s="197" t="str">
        <f t="shared" si="43"/>
        <v>6200/020MOTOR VEHICLES - ACC DEPR</v>
      </c>
      <c r="N262" s="79"/>
      <c r="P262" s="80"/>
      <c r="Q262" s="60"/>
      <c r="R262" s="34"/>
    </row>
    <row r="263" spans="1:18" x14ac:dyDescent="0.2">
      <c r="A263" s="394"/>
      <c r="B263" s="63" t="s">
        <v>2</v>
      </c>
      <c r="C263" s="398" t="s">
        <v>1017</v>
      </c>
      <c r="D263" s="436"/>
      <c r="E263" s="435"/>
      <c r="F263" s="88">
        <f>SUM(K263:K265)</f>
        <v>0</v>
      </c>
      <c r="G263" s="56">
        <f>SUMIF(JournalsC!D$14:D$920,TrialBalanceC!M263,JournalsC!J$14:J$920)+SUMIF(JournalsC!E$14:E$920,TrialBalanceC!M263,JournalsC!J$14:J$920)</f>
        <v>0</v>
      </c>
      <c r="H263" s="443"/>
      <c r="I263" s="448">
        <f t="shared" si="68"/>
        <v>0</v>
      </c>
      <c r="J263" s="84"/>
      <c r="K263" s="57">
        <f t="shared" si="42"/>
        <v>0</v>
      </c>
      <c r="M263" s="197" t="str">
        <f t="shared" si="43"/>
        <v>6200/021Motor vehicles - acc depr b/fwd</v>
      </c>
      <c r="N263" s="79"/>
      <c r="P263" s="80"/>
      <c r="Q263" s="60"/>
      <c r="R263" s="34"/>
    </row>
    <row r="264" spans="1:18" x14ac:dyDescent="0.2">
      <c r="A264" s="394"/>
      <c r="B264" s="63" t="s">
        <v>3</v>
      </c>
      <c r="C264" s="398" t="s">
        <v>1018</v>
      </c>
      <c r="D264" s="436"/>
      <c r="E264" s="435"/>
      <c r="F264" s="88"/>
      <c r="G264" s="56">
        <f>SUMIF(JournalsC!D$14:D$920,TrialBalanceC!M264,JournalsC!J$14:J$920)+SUMIF(JournalsC!E$14:E$920,TrialBalanceC!M264,JournalsC!J$14:J$920)</f>
        <v>0</v>
      </c>
      <c r="H264" s="443"/>
      <c r="I264" s="448">
        <f t="shared" si="68"/>
        <v>0</v>
      </c>
      <c r="J264" s="84"/>
      <c r="K264" s="57">
        <f t="shared" si="42"/>
        <v>0</v>
      </c>
      <c r="M264" s="197" t="str">
        <f t="shared" si="43"/>
        <v>6200/022Motor vehicles - depr this year</v>
      </c>
      <c r="N264" s="79"/>
      <c r="P264" s="80"/>
      <c r="Q264" s="60"/>
      <c r="R264" s="34"/>
    </row>
    <row r="265" spans="1:18" x14ac:dyDescent="0.2">
      <c r="A265" s="394"/>
      <c r="B265" s="63" t="s">
        <v>4</v>
      </c>
      <c r="C265" s="398" t="s">
        <v>1019</v>
      </c>
      <c r="D265" s="436"/>
      <c r="E265" s="435"/>
      <c r="F265" s="88"/>
      <c r="G265" s="56">
        <f>SUMIF(JournalsC!D$14:D$920,TrialBalanceC!M265,JournalsC!J$14:J$920)+SUMIF(JournalsC!E$14:E$920,TrialBalanceC!M265,JournalsC!J$14:J$920)</f>
        <v>0</v>
      </c>
      <c r="H265" s="443"/>
      <c r="I265" s="448">
        <f t="shared" si="68"/>
        <v>0</v>
      </c>
      <c r="J265" s="84"/>
      <c r="K265" s="57">
        <f t="shared" si="42"/>
        <v>0</v>
      </c>
      <c r="M265" s="197" t="str">
        <f t="shared" si="43"/>
        <v>6200/023Motor vehicles - acc depr on sales</v>
      </c>
      <c r="N265" s="79"/>
      <c r="P265" s="80"/>
      <c r="Q265" s="60"/>
      <c r="R265" s="34"/>
    </row>
    <row r="266" spans="1:18" x14ac:dyDescent="0.2">
      <c r="A266" s="394"/>
      <c r="B266" s="63" t="s">
        <v>5</v>
      </c>
      <c r="C266" s="397" t="s">
        <v>150</v>
      </c>
      <c r="D266" s="437"/>
      <c r="E266" s="435"/>
      <c r="F266" s="88"/>
      <c r="G266" s="56">
        <f>SUMIF(JournalsC!D$14:D$920,TrialBalanceC!M266,JournalsC!J$14:J$920)+SUMIF(JournalsC!E$14:E$920,TrialBalanceC!M266,JournalsC!J$14:J$920)</f>
        <v>0</v>
      </c>
      <c r="H266" s="443"/>
      <c r="I266" s="448">
        <f t="shared" si="68"/>
        <v>0</v>
      </c>
      <c r="J266" s="84"/>
      <c r="K266" s="57">
        <f t="shared" si="42"/>
        <v>0</v>
      </c>
      <c r="M266" s="197" t="str">
        <f t="shared" si="43"/>
        <v>6250/000ELECTRONIC EQUIPMENT - COST</v>
      </c>
      <c r="N266" s="79"/>
      <c r="P266" s="80"/>
      <c r="Q266" s="60"/>
      <c r="R266" s="34"/>
    </row>
    <row r="267" spans="1:18" x14ac:dyDescent="0.2">
      <c r="A267" s="394"/>
      <c r="B267" s="63" t="s">
        <v>6</v>
      </c>
      <c r="C267" s="398" t="s">
        <v>1020</v>
      </c>
      <c r="D267" s="436"/>
      <c r="E267" s="435"/>
      <c r="F267" s="88">
        <f>SUM(K267:K269)</f>
        <v>0</v>
      </c>
      <c r="G267" s="56">
        <f>SUMIF(JournalsC!D$14:D$920,TrialBalanceC!M267,JournalsC!J$14:J$920)+SUMIF(JournalsC!E$14:E$920,TrialBalanceC!M267,JournalsC!J$14:J$920)</f>
        <v>0</v>
      </c>
      <c r="H267" s="443"/>
      <c r="I267" s="448">
        <f t="shared" si="68"/>
        <v>0</v>
      </c>
      <c r="J267" s="84"/>
      <c r="K267" s="57">
        <f t="shared" si="42"/>
        <v>0</v>
      </c>
      <c r="M267" s="197" t="str">
        <f t="shared" si="43"/>
        <v>6250/001Electronic equipment - cost b/fwd</v>
      </c>
      <c r="N267" s="79"/>
      <c r="P267" s="80"/>
      <c r="Q267" s="60"/>
      <c r="R267" s="34"/>
    </row>
    <row r="268" spans="1:18" x14ac:dyDescent="0.2">
      <c r="A268" s="394"/>
      <c r="B268" s="63" t="s">
        <v>7</v>
      </c>
      <c r="C268" s="398" t="s">
        <v>1021</v>
      </c>
      <c r="D268" s="436"/>
      <c r="E268" s="435"/>
      <c r="F268" s="88"/>
      <c r="G268" s="56">
        <f>SUMIF(JournalsC!D$14:D$920,TrialBalanceC!M268,JournalsC!J$14:J$920)+SUMIF(JournalsC!E$14:E$920,TrialBalanceC!M268,JournalsC!J$14:J$920)</f>
        <v>0</v>
      </c>
      <c r="H268" s="443"/>
      <c r="I268" s="448">
        <f t="shared" si="68"/>
        <v>0</v>
      </c>
      <c r="J268" s="84"/>
      <c r="K268" s="57">
        <f t="shared" si="42"/>
        <v>0</v>
      </c>
      <c r="M268" s="197" t="str">
        <f t="shared" si="43"/>
        <v>6250/002Electronic equipment - additions</v>
      </c>
      <c r="N268" s="79"/>
      <c r="P268" s="80"/>
      <c r="Q268" s="60"/>
      <c r="R268" s="34"/>
    </row>
    <row r="269" spans="1:18" x14ac:dyDescent="0.2">
      <c r="A269" s="394"/>
      <c r="B269" s="63" t="s">
        <v>8</v>
      </c>
      <c r="C269" s="398" t="s">
        <v>1022</v>
      </c>
      <c r="D269" s="436"/>
      <c r="E269" s="435"/>
      <c r="F269" s="88"/>
      <c r="G269" s="56">
        <f>SUMIF(JournalsC!D$14:D$920,TrialBalanceC!M269,JournalsC!J$14:J$920)+SUMIF(JournalsC!E$14:E$920,TrialBalanceC!M269,JournalsC!J$14:J$920)</f>
        <v>0</v>
      </c>
      <c r="H269" s="443"/>
      <c r="I269" s="448">
        <f t="shared" si="68"/>
        <v>0</v>
      </c>
      <c r="J269" s="84"/>
      <c r="K269" s="57">
        <f t="shared" si="42"/>
        <v>0</v>
      </c>
      <c r="M269" s="197" t="str">
        <f t="shared" si="43"/>
        <v>6250/003Electronic equipment - cost of sales</v>
      </c>
      <c r="N269" s="79"/>
      <c r="P269" s="80"/>
      <c r="Q269" s="60"/>
      <c r="R269" s="34"/>
    </row>
    <row r="270" spans="1:18" x14ac:dyDescent="0.2">
      <c r="A270" s="394"/>
      <c r="B270" s="63" t="s">
        <v>9</v>
      </c>
      <c r="C270" s="397" t="s">
        <v>151</v>
      </c>
      <c r="D270" s="437"/>
      <c r="E270" s="435"/>
      <c r="F270" s="88"/>
      <c r="G270" s="56">
        <f>SUMIF(JournalsC!D$14:D$920,TrialBalanceC!M270,JournalsC!J$14:J$920)+SUMIF(JournalsC!E$14:E$920,TrialBalanceC!M270,JournalsC!J$14:J$920)</f>
        <v>0</v>
      </c>
      <c r="H270" s="443"/>
      <c r="I270" s="448">
        <f t="shared" si="68"/>
        <v>0</v>
      </c>
      <c r="J270" s="84"/>
      <c r="K270" s="57">
        <f t="shared" si="42"/>
        <v>0</v>
      </c>
      <c r="M270" s="197" t="str">
        <f t="shared" si="43"/>
        <v>6250/020ELECTRONIC EQUIPMENT - ACC DEPR</v>
      </c>
      <c r="N270" s="79"/>
      <c r="P270" s="80"/>
      <c r="Q270" s="60"/>
      <c r="R270" s="34"/>
    </row>
    <row r="271" spans="1:18" x14ac:dyDescent="0.2">
      <c r="A271" s="394"/>
      <c r="B271" s="63" t="s">
        <v>10</v>
      </c>
      <c r="C271" s="398" t="s">
        <v>1023</v>
      </c>
      <c r="D271" s="436"/>
      <c r="E271" s="435"/>
      <c r="F271" s="88">
        <f>SUM(K271:K273)</f>
        <v>0</v>
      </c>
      <c r="G271" s="56">
        <f>SUMIF(JournalsC!D$14:D$920,TrialBalanceC!M271,JournalsC!J$14:J$920)+SUMIF(JournalsC!E$14:E$920,TrialBalanceC!M271,JournalsC!J$14:J$920)</f>
        <v>0</v>
      </c>
      <c r="H271" s="443"/>
      <c r="I271" s="448">
        <f t="shared" si="68"/>
        <v>0</v>
      </c>
      <c r="J271" s="84"/>
      <c r="K271" s="57">
        <f t="shared" si="42"/>
        <v>0</v>
      </c>
      <c r="M271" s="197" t="str">
        <f t="shared" si="43"/>
        <v>6250/021Electronic equipment - acc depr b/fwd</v>
      </c>
      <c r="N271" s="79"/>
      <c r="P271" s="80"/>
      <c r="Q271" s="60"/>
      <c r="R271" s="34"/>
    </row>
    <row r="272" spans="1:18" x14ac:dyDescent="0.2">
      <c r="A272" s="394"/>
      <c r="B272" s="63" t="s">
        <v>11</v>
      </c>
      <c r="C272" s="398" t="s">
        <v>1024</v>
      </c>
      <c r="D272" s="436"/>
      <c r="E272" s="435"/>
      <c r="F272" s="88"/>
      <c r="G272" s="56">
        <f>SUMIF(JournalsC!D$14:D$920,TrialBalanceC!M272,JournalsC!J$14:J$920)+SUMIF(JournalsC!E$14:E$920,TrialBalanceC!M272,JournalsC!J$14:J$920)</f>
        <v>0</v>
      </c>
      <c r="H272" s="443"/>
      <c r="I272" s="448">
        <f t="shared" si="68"/>
        <v>0</v>
      </c>
      <c r="J272" s="84"/>
      <c r="K272" s="57">
        <f t="shared" si="42"/>
        <v>0</v>
      </c>
      <c r="M272" s="197" t="str">
        <f t="shared" si="43"/>
        <v>6250/022Electronic equipment - depr this year</v>
      </c>
      <c r="N272" s="79"/>
      <c r="P272" s="80"/>
      <c r="Q272" s="60"/>
      <c r="R272" s="34"/>
    </row>
    <row r="273" spans="1:18" x14ac:dyDescent="0.2">
      <c r="A273" s="394"/>
      <c r="B273" s="63" t="s">
        <v>12</v>
      </c>
      <c r="C273" s="398" t="s">
        <v>1025</v>
      </c>
      <c r="D273" s="436"/>
      <c r="E273" s="435"/>
      <c r="F273" s="88"/>
      <c r="G273" s="56">
        <f>SUMIF(JournalsC!D$14:D$920,TrialBalanceC!M273,JournalsC!J$14:J$920)+SUMIF(JournalsC!E$14:E$920,TrialBalanceC!M273,JournalsC!J$14:J$920)</f>
        <v>0</v>
      </c>
      <c r="H273" s="443"/>
      <c r="I273" s="448">
        <f t="shared" si="68"/>
        <v>0</v>
      </c>
      <c r="J273" s="84"/>
      <c r="K273" s="57">
        <f t="shared" si="42"/>
        <v>0</v>
      </c>
      <c r="M273" s="197" t="str">
        <f t="shared" si="43"/>
        <v>6250/023Electronic equipment - acc depr on sales</v>
      </c>
      <c r="N273" s="79"/>
      <c r="P273" s="80"/>
      <c r="Q273" s="60"/>
      <c r="R273" s="34"/>
    </row>
    <row r="274" spans="1:18" x14ac:dyDescent="0.2">
      <c r="A274" s="394"/>
      <c r="B274" s="63" t="s">
        <v>16</v>
      </c>
      <c r="C274" s="397" t="s">
        <v>1026</v>
      </c>
      <c r="D274" s="437"/>
      <c r="E274" s="435"/>
      <c r="F274" s="88"/>
      <c r="G274" s="56">
        <f>SUMIF(JournalsC!D$14:D$920,TrialBalanceC!M274,JournalsC!J$14:J$920)+SUMIF(JournalsC!E$14:E$920,TrialBalanceC!M274,JournalsC!J$14:J$920)</f>
        <v>0</v>
      </c>
      <c r="H274" s="443"/>
      <c r="I274" s="448">
        <f t="shared" si="68"/>
        <v>0</v>
      </c>
      <c r="J274" s="84"/>
      <c r="K274" s="57">
        <f t="shared" si="42"/>
        <v>0</v>
      </c>
      <c r="M274" s="197" t="str">
        <f t="shared" si="43"/>
        <v>6350/000FURNITURE AND FITTINGS - COST</v>
      </c>
      <c r="N274" s="79"/>
      <c r="P274" s="80"/>
      <c r="Q274" s="60"/>
      <c r="R274" s="34"/>
    </row>
    <row r="275" spans="1:18" x14ac:dyDescent="0.2">
      <c r="A275" s="394"/>
      <c r="B275" s="63" t="s">
        <v>17</v>
      </c>
      <c r="C275" s="398" t="s">
        <v>1027</v>
      </c>
      <c r="D275" s="436"/>
      <c r="E275" s="435"/>
      <c r="F275" s="88">
        <f>SUM(K275:K277)</f>
        <v>0</v>
      </c>
      <c r="G275" s="56">
        <f>SUMIF(JournalsC!D$14:D$920,TrialBalanceC!M275,JournalsC!J$14:J$920)+SUMIF(JournalsC!E$14:E$920,TrialBalanceC!M275,JournalsC!J$14:J$920)</f>
        <v>0</v>
      </c>
      <c r="H275" s="443"/>
      <c r="I275" s="448">
        <f t="shared" si="68"/>
        <v>0</v>
      </c>
      <c r="J275" s="84"/>
      <c r="K275" s="57">
        <f t="shared" si="42"/>
        <v>0</v>
      </c>
      <c r="M275" s="197" t="str">
        <f t="shared" si="43"/>
        <v>6350/001Furniture and fittings - cost b/fwd</v>
      </c>
      <c r="N275" s="79"/>
      <c r="P275" s="80"/>
      <c r="Q275" s="60"/>
      <c r="R275" s="34"/>
    </row>
    <row r="276" spans="1:18" x14ac:dyDescent="0.2">
      <c r="A276" s="394"/>
      <c r="B276" s="63" t="s">
        <v>500</v>
      </c>
      <c r="C276" s="398" t="s">
        <v>1028</v>
      </c>
      <c r="D276" s="436"/>
      <c r="E276" s="435"/>
      <c r="F276" s="88"/>
      <c r="G276" s="56">
        <f>SUMIF(JournalsC!D$14:D$920,TrialBalanceC!M276,JournalsC!J$14:J$920)+SUMIF(JournalsC!E$14:E$920,TrialBalanceC!M276,JournalsC!J$14:J$920)</f>
        <v>0</v>
      </c>
      <c r="H276" s="443"/>
      <c r="I276" s="448">
        <f t="shared" si="68"/>
        <v>0</v>
      </c>
      <c r="J276" s="84"/>
      <c r="K276" s="57">
        <f t="shared" si="42"/>
        <v>0</v>
      </c>
      <c r="M276" s="197" t="str">
        <f t="shared" si="43"/>
        <v>6350/002Furniture and fittings - additions</v>
      </c>
      <c r="N276" s="79"/>
      <c r="P276" s="80"/>
      <c r="Q276" s="60"/>
      <c r="R276" s="34"/>
    </row>
    <row r="277" spans="1:18" x14ac:dyDescent="0.2">
      <c r="A277" s="394"/>
      <c r="B277" s="63" t="s">
        <v>516</v>
      </c>
      <c r="C277" s="398" t="s">
        <v>1029</v>
      </c>
      <c r="D277" s="436"/>
      <c r="E277" s="435"/>
      <c r="F277" s="88"/>
      <c r="G277" s="56">
        <f>SUMIF(JournalsC!D$14:D$920,TrialBalanceC!M277,JournalsC!J$14:J$920)+SUMIF(JournalsC!E$14:E$920,TrialBalanceC!M277,JournalsC!J$14:J$920)</f>
        <v>0</v>
      </c>
      <c r="H277" s="443"/>
      <c r="I277" s="448">
        <f t="shared" si="68"/>
        <v>0</v>
      </c>
      <c r="J277" s="84"/>
      <c r="K277" s="57">
        <f t="shared" si="42"/>
        <v>0</v>
      </c>
      <c r="M277" s="197" t="str">
        <f t="shared" si="43"/>
        <v>6350/003Furniture and fittings - cost of sales</v>
      </c>
      <c r="N277" s="79"/>
      <c r="P277" s="80"/>
      <c r="Q277" s="60"/>
      <c r="R277" s="34"/>
    </row>
    <row r="278" spans="1:18" x14ac:dyDescent="0.2">
      <c r="A278" s="394"/>
      <c r="B278" s="63" t="s">
        <v>331</v>
      </c>
      <c r="C278" s="397" t="s">
        <v>1030</v>
      </c>
      <c r="D278" s="437"/>
      <c r="E278" s="435"/>
      <c r="F278" s="88"/>
      <c r="G278" s="56">
        <f>SUMIF(JournalsC!D$14:D$920,TrialBalanceC!M278,JournalsC!J$14:J$920)+SUMIF(JournalsC!E$14:E$920,TrialBalanceC!M278,JournalsC!J$14:J$920)</f>
        <v>0</v>
      </c>
      <c r="H278" s="443"/>
      <c r="I278" s="448">
        <f t="shared" si="68"/>
        <v>0</v>
      </c>
      <c r="J278" s="84"/>
      <c r="K278" s="57">
        <f t="shared" si="42"/>
        <v>0</v>
      </c>
      <c r="M278" s="197" t="str">
        <f t="shared" si="43"/>
        <v>6350/020FURNITURE AND FITTINGS - ACC DEPR</v>
      </c>
      <c r="N278" s="79"/>
      <c r="P278" s="80"/>
      <c r="Q278" s="60"/>
      <c r="R278" s="34"/>
    </row>
    <row r="279" spans="1:18" x14ac:dyDescent="0.2">
      <c r="A279" s="394"/>
      <c r="B279" s="63" t="s">
        <v>183</v>
      </c>
      <c r="C279" s="398" t="s">
        <v>1031</v>
      </c>
      <c r="D279" s="436"/>
      <c r="E279" s="435"/>
      <c r="F279" s="88">
        <f>SUM(K279:K281)</f>
        <v>0</v>
      </c>
      <c r="G279" s="56">
        <f>SUMIF(JournalsC!D$14:D$920,TrialBalanceC!M279,JournalsC!J$14:J$920)+SUMIF(JournalsC!E$14:E$920,TrialBalanceC!M279,JournalsC!J$14:J$920)</f>
        <v>0</v>
      </c>
      <c r="H279" s="443"/>
      <c r="I279" s="448">
        <f t="shared" si="68"/>
        <v>0</v>
      </c>
      <c r="J279" s="84"/>
      <c r="K279" s="57">
        <f t="shared" si="42"/>
        <v>0</v>
      </c>
      <c r="M279" s="197" t="str">
        <f t="shared" si="43"/>
        <v>6350/021Furniture and fittings - acc depr b/fwd</v>
      </c>
      <c r="N279" s="79"/>
      <c r="P279" s="80"/>
      <c r="Q279" s="60"/>
      <c r="R279" s="34"/>
    </row>
    <row r="280" spans="1:18" x14ac:dyDescent="0.2">
      <c r="A280" s="394"/>
      <c r="B280" s="63" t="s">
        <v>184</v>
      </c>
      <c r="C280" s="398" t="s">
        <v>1032</v>
      </c>
      <c r="D280" s="436"/>
      <c r="E280" s="435"/>
      <c r="F280" s="88"/>
      <c r="G280" s="56">
        <f>SUMIF(JournalsC!D$14:D$920,TrialBalanceC!M280,JournalsC!J$14:J$920)+SUMIF(JournalsC!E$14:E$920,TrialBalanceC!M280,JournalsC!J$14:J$920)</f>
        <v>0</v>
      </c>
      <c r="H280" s="443"/>
      <c r="I280" s="448">
        <f t="shared" si="68"/>
        <v>0</v>
      </c>
      <c r="J280" s="84"/>
      <c r="K280" s="57">
        <f t="shared" si="42"/>
        <v>0</v>
      </c>
      <c r="M280" s="197" t="str">
        <f t="shared" si="43"/>
        <v>6350/022Furniture and fittings - depr this year</v>
      </c>
      <c r="N280" s="79"/>
      <c r="P280" s="80"/>
      <c r="Q280" s="60"/>
      <c r="R280" s="34"/>
    </row>
    <row r="281" spans="1:18" x14ac:dyDescent="0.2">
      <c r="A281" s="394"/>
      <c r="B281" s="63" t="s">
        <v>300</v>
      </c>
      <c r="C281" s="398" t="s">
        <v>1033</v>
      </c>
      <c r="D281" s="436"/>
      <c r="E281" s="435"/>
      <c r="F281" s="88"/>
      <c r="G281" s="56">
        <f>SUMIF(JournalsC!D$14:D$920,TrialBalanceC!M281,JournalsC!J$14:J$920)+SUMIF(JournalsC!E$14:E$920,TrialBalanceC!M281,JournalsC!J$14:J$920)</f>
        <v>0</v>
      </c>
      <c r="H281" s="443"/>
      <c r="I281" s="448">
        <f t="shared" si="68"/>
        <v>0</v>
      </c>
      <c r="J281" s="84"/>
      <c r="K281" s="57">
        <f t="shared" si="42"/>
        <v>0</v>
      </c>
      <c r="M281" s="197" t="str">
        <f t="shared" si="43"/>
        <v>6350/023Furniture and fittings - acc depr on sales</v>
      </c>
      <c r="N281" s="79"/>
      <c r="P281" s="80"/>
      <c r="Q281" s="60"/>
      <c r="R281" s="34"/>
    </row>
    <row r="282" spans="1:18" x14ac:dyDescent="0.2">
      <c r="A282" s="394"/>
      <c r="B282" s="63" t="s">
        <v>538</v>
      </c>
      <c r="C282" s="397" t="s">
        <v>57</v>
      </c>
      <c r="D282" s="437"/>
      <c r="E282" s="435"/>
      <c r="F282" s="88"/>
      <c r="G282" s="56">
        <f>SUMIF(JournalsC!D$14:D$920,TrialBalanceC!M282,JournalsC!J$14:J$920)+SUMIF(JournalsC!E$14:E$920,TrialBalanceC!M282,JournalsC!J$14:J$920)</f>
        <v>0</v>
      </c>
      <c r="H282" s="443"/>
      <c r="I282" s="448">
        <f t="shared" si="68"/>
        <v>0</v>
      </c>
      <c r="J282" s="84"/>
      <c r="K282" s="57">
        <f t="shared" si="42"/>
        <v>0</v>
      </c>
      <c r="M282" s="197" t="str">
        <f t="shared" si="43"/>
        <v>7000/000INTANGIBLE ASSETS</v>
      </c>
      <c r="N282" s="79"/>
      <c r="P282" s="80"/>
      <c r="Q282" s="60"/>
      <c r="R282" s="34"/>
    </row>
    <row r="283" spans="1:18" x14ac:dyDescent="0.2">
      <c r="A283" s="394"/>
      <c r="B283" s="114" t="s">
        <v>1489</v>
      </c>
      <c r="C283" s="397" t="s">
        <v>1490</v>
      </c>
      <c r="D283" s="437"/>
      <c r="E283" s="435"/>
      <c r="F283" s="88"/>
      <c r="G283" s="56">
        <f>SUMIF(JournalsC!D$14:D$920,TrialBalanceC!M283,JournalsC!J$14:J$920)+SUMIF(JournalsC!E$14:E$920,TrialBalanceC!M283,JournalsC!J$14:J$920)</f>
        <v>0</v>
      </c>
      <c r="H283" s="443"/>
      <c r="I283" s="448">
        <f t="shared" ref="I283:I300" si="69">ROUND(D283-E283+G283+F283,0)</f>
        <v>0</v>
      </c>
      <c r="J283" s="84"/>
      <c r="K283" s="57">
        <f t="shared" ref="K283:K300" si="70">ROUND(SUM(A283),0)</f>
        <v>0</v>
      </c>
      <c r="M283" s="197" t="str">
        <f t="shared" ref="M283:M300" si="71">CONCATENATE(B283,C283)</f>
        <v>7000/001GOODWILL - COST</v>
      </c>
      <c r="N283" s="79"/>
      <c r="P283" s="80"/>
      <c r="Q283" s="60"/>
      <c r="R283" s="34"/>
    </row>
    <row r="284" spans="1:18" x14ac:dyDescent="0.2">
      <c r="A284" s="394"/>
      <c r="B284" s="114" t="s">
        <v>1491</v>
      </c>
      <c r="C284" s="398" t="s">
        <v>1492</v>
      </c>
      <c r="D284" s="437"/>
      <c r="E284" s="435"/>
      <c r="F284" s="88">
        <f>SUM(K284:K285)</f>
        <v>0</v>
      </c>
      <c r="G284" s="56">
        <f>SUMIF(JournalsC!D$14:D$920,TrialBalanceC!M284,JournalsC!J$14:J$920)+SUMIF(JournalsC!E$14:E$920,TrialBalanceC!M284,JournalsC!J$14:J$920)</f>
        <v>0</v>
      </c>
      <c r="H284" s="443"/>
      <c r="I284" s="448">
        <f t="shared" si="69"/>
        <v>0</v>
      </c>
      <c r="J284" s="84"/>
      <c r="K284" s="57">
        <f t="shared" si="70"/>
        <v>0</v>
      </c>
      <c r="M284" s="197" t="str">
        <f t="shared" si="71"/>
        <v>7000/002Goodwill - cost b/fwd</v>
      </c>
      <c r="N284" s="79"/>
      <c r="P284" s="80"/>
      <c r="Q284" s="60"/>
      <c r="R284" s="34"/>
    </row>
    <row r="285" spans="1:18" x14ac:dyDescent="0.2">
      <c r="A285" s="394"/>
      <c r="B285" s="114" t="s">
        <v>1493</v>
      </c>
      <c r="C285" s="398" t="s">
        <v>1494</v>
      </c>
      <c r="D285" s="437"/>
      <c r="E285" s="435"/>
      <c r="F285" s="88"/>
      <c r="G285" s="56">
        <f>SUMIF(JournalsC!D$14:D$920,TrialBalanceC!M285,JournalsC!J$14:J$920)+SUMIF(JournalsC!E$14:E$920,TrialBalanceC!M285,JournalsC!J$14:J$920)</f>
        <v>0</v>
      </c>
      <c r="H285" s="443"/>
      <c r="I285" s="448">
        <f t="shared" si="69"/>
        <v>0</v>
      </c>
      <c r="J285" s="84"/>
      <c r="K285" s="57">
        <f t="shared" si="70"/>
        <v>0</v>
      </c>
      <c r="M285" s="197" t="str">
        <f t="shared" si="71"/>
        <v>7000/003Goodwill - additions</v>
      </c>
      <c r="N285" s="79"/>
      <c r="P285" s="80"/>
      <c r="Q285" s="60"/>
      <c r="R285" s="34"/>
    </row>
    <row r="286" spans="1:18" x14ac:dyDescent="0.2">
      <c r="A286" s="394"/>
      <c r="B286" s="114" t="s">
        <v>1495</v>
      </c>
      <c r="C286" s="397" t="s">
        <v>1496</v>
      </c>
      <c r="D286" s="437"/>
      <c r="E286" s="435"/>
      <c r="F286" s="88"/>
      <c r="G286" s="56">
        <f>SUMIF(JournalsC!D$14:D$920,TrialBalanceC!M286,JournalsC!J$14:J$920)+SUMIF(JournalsC!E$14:E$920,TrialBalanceC!M286,JournalsC!J$14:J$920)</f>
        <v>0</v>
      </c>
      <c r="H286" s="443"/>
      <c r="I286" s="448">
        <f t="shared" si="69"/>
        <v>0</v>
      </c>
      <c r="J286" s="84"/>
      <c r="K286" s="57">
        <f t="shared" si="70"/>
        <v>0</v>
      </c>
      <c r="M286" s="197" t="str">
        <f t="shared" si="71"/>
        <v>7000/005GOODWILL - ACC AMORTISATION</v>
      </c>
      <c r="N286" s="79"/>
      <c r="P286" s="80"/>
      <c r="Q286" s="60"/>
      <c r="R286" s="34"/>
    </row>
    <row r="287" spans="1:18" x14ac:dyDescent="0.2">
      <c r="A287" s="394"/>
      <c r="B287" s="114" t="s">
        <v>1497</v>
      </c>
      <c r="C287" s="398" t="s">
        <v>1498</v>
      </c>
      <c r="D287" s="437"/>
      <c r="E287" s="435"/>
      <c r="F287" s="88">
        <f>SUM(K287:K288)</f>
        <v>0</v>
      </c>
      <c r="G287" s="56">
        <f>SUMIF(JournalsC!D$14:D$920,TrialBalanceC!M287,JournalsC!J$14:J$920)+SUMIF(JournalsC!E$14:E$920,TrialBalanceC!M287,JournalsC!J$14:J$920)</f>
        <v>0</v>
      </c>
      <c r="H287" s="443"/>
      <c r="I287" s="448">
        <f t="shared" si="69"/>
        <v>0</v>
      </c>
      <c r="J287" s="84"/>
      <c r="K287" s="57">
        <f t="shared" si="70"/>
        <v>0</v>
      </c>
      <c r="M287" s="197" t="str">
        <f t="shared" si="71"/>
        <v>7000/006Goodwill - acc amortisation b/fwd</v>
      </c>
      <c r="N287" s="79"/>
      <c r="P287" s="80"/>
      <c r="Q287" s="60"/>
      <c r="R287" s="34"/>
    </row>
    <row r="288" spans="1:18" x14ac:dyDescent="0.2">
      <c r="A288" s="394"/>
      <c r="B288" s="114" t="s">
        <v>1499</v>
      </c>
      <c r="C288" s="398" t="s">
        <v>1500</v>
      </c>
      <c r="D288" s="437"/>
      <c r="E288" s="435"/>
      <c r="F288" s="88"/>
      <c r="G288" s="56">
        <f>SUMIF(JournalsC!D$14:D$920,TrialBalanceC!M288,JournalsC!J$14:J$920)+SUMIF(JournalsC!E$14:E$920,TrialBalanceC!M288,JournalsC!J$14:J$920)</f>
        <v>0</v>
      </c>
      <c r="H288" s="443"/>
      <c r="I288" s="448">
        <f t="shared" si="69"/>
        <v>0</v>
      </c>
      <c r="J288" s="84"/>
      <c r="K288" s="57">
        <f t="shared" si="70"/>
        <v>0</v>
      </c>
      <c r="M288" s="197" t="str">
        <f t="shared" si="71"/>
        <v>7000/007Goodwill - amortisation this year</v>
      </c>
      <c r="N288" s="79"/>
      <c r="P288" s="80"/>
      <c r="Q288" s="60"/>
      <c r="R288" s="34"/>
    </row>
    <row r="289" spans="1:18" x14ac:dyDescent="0.2">
      <c r="A289" s="394"/>
      <c r="B289" s="114" t="s">
        <v>539</v>
      </c>
      <c r="C289" s="397" t="s">
        <v>1501</v>
      </c>
      <c r="D289" s="437"/>
      <c r="E289" s="435"/>
      <c r="F289" s="88"/>
      <c r="G289" s="56">
        <f>SUMIF(JournalsC!D$14:D$920,TrialBalanceC!M289,JournalsC!J$14:J$920)+SUMIF(JournalsC!E$14:E$920,TrialBalanceC!M289,JournalsC!J$14:J$920)</f>
        <v>0</v>
      </c>
      <c r="H289" s="443"/>
      <c r="I289" s="448">
        <f t="shared" si="69"/>
        <v>0</v>
      </c>
      <c r="J289" s="84"/>
      <c r="K289" s="57">
        <f t="shared" si="70"/>
        <v>0</v>
      </c>
      <c r="M289" s="197" t="str">
        <f t="shared" si="71"/>
        <v>7000/010GOODWILL - IMPAIRMENT</v>
      </c>
      <c r="N289" s="79"/>
      <c r="P289" s="80"/>
      <c r="Q289" s="60"/>
      <c r="R289" s="34"/>
    </row>
    <row r="290" spans="1:18" x14ac:dyDescent="0.2">
      <c r="A290" s="394"/>
      <c r="B290" s="114" t="s">
        <v>762</v>
      </c>
      <c r="C290" s="398" t="s">
        <v>1502</v>
      </c>
      <c r="D290" s="437"/>
      <c r="E290" s="435"/>
      <c r="F290" s="88">
        <f>SUM(K290:K291)</f>
        <v>0</v>
      </c>
      <c r="G290" s="56">
        <f>SUMIF(JournalsC!D$14:D$920,TrialBalanceC!M290,JournalsC!J$14:J$920)+SUMIF(JournalsC!E$14:E$920,TrialBalanceC!M290,JournalsC!J$14:J$920)</f>
        <v>0</v>
      </c>
      <c r="H290" s="443"/>
      <c r="I290" s="448">
        <f t="shared" si="69"/>
        <v>0</v>
      </c>
      <c r="J290" s="84"/>
      <c r="K290" s="57">
        <f t="shared" si="70"/>
        <v>0</v>
      </c>
      <c r="M290" s="197" t="str">
        <f t="shared" si="71"/>
        <v>7000/011Goodwill - impairment loss b/fwd</v>
      </c>
      <c r="N290" s="79"/>
      <c r="P290" s="80"/>
      <c r="Q290" s="60"/>
      <c r="R290" s="34"/>
    </row>
    <row r="291" spans="1:18" x14ac:dyDescent="0.2">
      <c r="A291" s="394"/>
      <c r="B291" s="114" t="s">
        <v>1503</v>
      </c>
      <c r="C291" s="398" t="s">
        <v>1504</v>
      </c>
      <c r="D291" s="437"/>
      <c r="E291" s="435"/>
      <c r="F291" s="88"/>
      <c r="G291" s="56">
        <f>SUMIF(JournalsC!D$14:D$920,TrialBalanceC!M291,JournalsC!J$14:J$920)+SUMIF(JournalsC!E$14:E$920,TrialBalanceC!M291,JournalsC!J$14:J$920)</f>
        <v>0</v>
      </c>
      <c r="H291" s="443"/>
      <c r="I291" s="448">
        <f t="shared" si="69"/>
        <v>0</v>
      </c>
      <c r="J291" s="84"/>
      <c r="K291" s="57">
        <f t="shared" si="70"/>
        <v>0</v>
      </c>
      <c r="M291" s="197" t="str">
        <f t="shared" si="71"/>
        <v>7000/012Goodwill - impairment loss this year</v>
      </c>
      <c r="N291" s="79"/>
      <c r="P291" s="80"/>
      <c r="Q291" s="60"/>
      <c r="R291" s="34"/>
    </row>
    <row r="292" spans="1:18" x14ac:dyDescent="0.2">
      <c r="A292" s="394"/>
      <c r="B292" s="114" t="s">
        <v>1505</v>
      </c>
      <c r="C292" s="397" t="s">
        <v>1506</v>
      </c>
      <c r="D292" s="437"/>
      <c r="E292" s="435"/>
      <c r="F292" s="88"/>
      <c r="G292" s="56">
        <f>SUMIF(JournalsC!D$14:D$920,TrialBalanceC!M292,JournalsC!J$14:J$920)+SUMIF(JournalsC!E$14:E$920,TrialBalanceC!M292,JournalsC!J$14:J$920)</f>
        <v>0</v>
      </c>
      <c r="H292" s="443"/>
      <c r="I292" s="448">
        <f t="shared" si="69"/>
        <v>0</v>
      </c>
      <c r="J292" s="84"/>
      <c r="K292" s="57">
        <f t="shared" si="70"/>
        <v>0</v>
      </c>
      <c r="M292" s="197" t="str">
        <f t="shared" si="71"/>
        <v>7000/021PREPAID LEASE AGREEMENT - COST</v>
      </c>
      <c r="N292" s="79"/>
      <c r="P292" s="80"/>
      <c r="Q292" s="60"/>
      <c r="R292" s="34"/>
    </row>
    <row r="293" spans="1:18" x14ac:dyDescent="0.2">
      <c r="A293" s="394"/>
      <c r="B293" s="114" t="s">
        <v>1507</v>
      </c>
      <c r="C293" s="398" t="s">
        <v>1508</v>
      </c>
      <c r="D293" s="437"/>
      <c r="E293" s="435"/>
      <c r="F293" s="88">
        <f>SUM(K293:K294)</f>
        <v>0</v>
      </c>
      <c r="G293" s="56">
        <f>SUMIF(JournalsC!D$14:D$920,TrialBalanceC!M293,JournalsC!J$14:J$920)+SUMIF(JournalsC!E$14:E$920,TrialBalanceC!M293,JournalsC!J$14:J$920)</f>
        <v>0</v>
      </c>
      <c r="H293" s="443"/>
      <c r="I293" s="448">
        <f t="shared" si="69"/>
        <v>0</v>
      </c>
      <c r="J293" s="84"/>
      <c r="K293" s="57">
        <f t="shared" si="70"/>
        <v>0</v>
      </c>
      <c r="M293" s="197" t="str">
        <f t="shared" si="71"/>
        <v>7000/022Prepaid lease agreement - cost b/fwd</v>
      </c>
      <c r="N293" s="79"/>
      <c r="P293" s="80"/>
      <c r="Q293" s="60"/>
      <c r="R293" s="34"/>
    </row>
    <row r="294" spans="1:18" x14ac:dyDescent="0.2">
      <c r="A294" s="394"/>
      <c r="B294" s="114" t="s">
        <v>1509</v>
      </c>
      <c r="C294" s="398" t="s">
        <v>1510</v>
      </c>
      <c r="D294" s="437"/>
      <c r="E294" s="435"/>
      <c r="F294" s="88"/>
      <c r="G294" s="56">
        <f>SUMIF(JournalsC!D$14:D$920,TrialBalanceC!M294,JournalsC!J$14:J$920)+SUMIF(JournalsC!E$14:E$920,TrialBalanceC!M294,JournalsC!J$14:J$920)</f>
        <v>0</v>
      </c>
      <c r="H294" s="443"/>
      <c r="I294" s="448">
        <f t="shared" si="69"/>
        <v>0</v>
      </c>
      <c r="J294" s="84"/>
      <c r="K294" s="57">
        <f t="shared" si="70"/>
        <v>0</v>
      </c>
      <c r="M294" s="197" t="str">
        <f t="shared" si="71"/>
        <v>7000/023Prepaid lease agreement - additions</v>
      </c>
      <c r="N294" s="79"/>
      <c r="P294" s="80"/>
      <c r="Q294" s="60"/>
      <c r="R294" s="34"/>
    </row>
    <row r="295" spans="1:18" x14ac:dyDescent="0.2">
      <c r="A295" s="394"/>
      <c r="B295" s="114" t="s">
        <v>540</v>
      </c>
      <c r="C295" s="397" t="s">
        <v>1511</v>
      </c>
      <c r="D295" s="437"/>
      <c r="E295" s="435"/>
      <c r="F295" s="88"/>
      <c r="G295" s="56">
        <f>SUMIF(JournalsC!D$14:D$920,TrialBalanceC!M295,JournalsC!J$14:J$920)+SUMIF(JournalsC!E$14:E$920,TrialBalanceC!M295,JournalsC!J$14:J$920)</f>
        <v>0</v>
      </c>
      <c r="H295" s="443"/>
      <c r="I295" s="448">
        <f t="shared" si="69"/>
        <v>0</v>
      </c>
      <c r="J295" s="84"/>
      <c r="K295" s="57">
        <f t="shared" si="70"/>
        <v>0</v>
      </c>
      <c r="M295" s="197" t="str">
        <f t="shared" si="71"/>
        <v>7000/025PREPAID LEASE AGREEMENT - ACC AMORTISATION</v>
      </c>
      <c r="N295" s="79"/>
      <c r="P295" s="80"/>
      <c r="Q295" s="60"/>
      <c r="R295" s="34"/>
    </row>
    <row r="296" spans="1:18" x14ac:dyDescent="0.2">
      <c r="A296" s="394"/>
      <c r="B296" s="114" t="s">
        <v>1512</v>
      </c>
      <c r="C296" s="398" t="s">
        <v>1513</v>
      </c>
      <c r="D296" s="437"/>
      <c r="E296" s="435"/>
      <c r="F296" s="88">
        <f>SUM(K296:K297)</f>
        <v>0</v>
      </c>
      <c r="G296" s="56">
        <f>SUMIF(JournalsC!D$14:D$920,TrialBalanceC!M296,JournalsC!J$14:J$920)+SUMIF(JournalsC!E$14:E$920,TrialBalanceC!M296,JournalsC!J$14:J$920)</f>
        <v>0</v>
      </c>
      <c r="H296" s="443"/>
      <c r="I296" s="448">
        <f t="shared" si="69"/>
        <v>0</v>
      </c>
      <c r="J296" s="84"/>
      <c r="K296" s="57">
        <f t="shared" si="70"/>
        <v>0</v>
      </c>
      <c r="M296" s="197" t="str">
        <f t="shared" si="71"/>
        <v>7000/026Prepaid lease agreement - acc amortisation b/fwd</v>
      </c>
      <c r="N296" s="79"/>
      <c r="P296" s="80"/>
      <c r="Q296" s="60"/>
      <c r="R296" s="34"/>
    </row>
    <row r="297" spans="1:18" x14ac:dyDescent="0.2">
      <c r="A297" s="394"/>
      <c r="B297" s="114" t="s">
        <v>1514</v>
      </c>
      <c r="C297" s="398" t="s">
        <v>1515</v>
      </c>
      <c r="D297" s="437"/>
      <c r="E297" s="435"/>
      <c r="F297" s="88"/>
      <c r="G297" s="56">
        <f>SUMIF(JournalsC!D$14:D$920,TrialBalanceC!M297,JournalsC!J$14:J$920)+SUMIF(JournalsC!E$14:E$920,TrialBalanceC!M297,JournalsC!J$14:J$920)</f>
        <v>0</v>
      </c>
      <c r="H297" s="443"/>
      <c r="I297" s="448">
        <f t="shared" si="69"/>
        <v>0</v>
      </c>
      <c r="J297" s="84"/>
      <c r="K297" s="57">
        <f t="shared" si="70"/>
        <v>0</v>
      </c>
      <c r="M297" s="197" t="str">
        <f t="shared" si="71"/>
        <v>7000/027Prepaid lease agreement - amortisation this year</v>
      </c>
      <c r="N297" s="79"/>
      <c r="P297" s="80"/>
      <c r="Q297" s="60"/>
      <c r="R297" s="34"/>
    </row>
    <row r="298" spans="1:18" x14ac:dyDescent="0.2">
      <c r="A298" s="394"/>
      <c r="B298" s="114" t="s">
        <v>1516</v>
      </c>
      <c r="C298" s="397" t="s">
        <v>1517</v>
      </c>
      <c r="D298" s="437"/>
      <c r="E298" s="435"/>
      <c r="F298" s="88"/>
      <c r="G298" s="56">
        <f>SUMIF(JournalsC!D$14:D$920,TrialBalanceC!M298,JournalsC!J$14:J$920)+SUMIF(JournalsC!E$14:E$920,TrialBalanceC!M298,JournalsC!J$14:J$920)</f>
        <v>0</v>
      </c>
      <c r="H298" s="443"/>
      <c r="I298" s="448">
        <f t="shared" si="69"/>
        <v>0</v>
      </c>
      <c r="J298" s="84"/>
      <c r="K298" s="57">
        <f t="shared" si="70"/>
        <v>0</v>
      </c>
      <c r="M298" s="197" t="str">
        <f t="shared" si="71"/>
        <v>7000/030PREPAID LEASE AGREEMENT - IMPAIRMENT</v>
      </c>
      <c r="N298" s="79"/>
      <c r="P298" s="80"/>
      <c r="Q298" s="60"/>
      <c r="R298" s="34"/>
    </row>
    <row r="299" spans="1:18" x14ac:dyDescent="0.2">
      <c r="A299" s="394"/>
      <c r="B299" s="114" t="s">
        <v>1518</v>
      </c>
      <c r="C299" s="398" t="s">
        <v>1519</v>
      </c>
      <c r="D299" s="437"/>
      <c r="E299" s="435"/>
      <c r="F299" s="88">
        <f>SUM(K299:K300)</f>
        <v>0</v>
      </c>
      <c r="G299" s="56">
        <f>SUMIF(JournalsC!D$14:D$920,TrialBalanceC!M299,JournalsC!J$14:J$920)+SUMIF(JournalsC!E$14:E$920,TrialBalanceC!M299,JournalsC!J$14:J$920)</f>
        <v>0</v>
      </c>
      <c r="H299" s="443"/>
      <c r="I299" s="448">
        <f t="shared" si="69"/>
        <v>0</v>
      </c>
      <c r="J299" s="84"/>
      <c r="K299" s="57">
        <f t="shared" si="70"/>
        <v>0</v>
      </c>
      <c r="M299" s="197" t="str">
        <f t="shared" si="71"/>
        <v>7000/031Prepaid lease agreement - impairment loss b/fwd</v>
      </c>
      <c r="N299" s="79"/>
      <c r="P299" s="80"/>
      <c r="Q299" s="60"/>
      <c r="R299" s="34"/>
    </row>
    <row r="300" spans="1:18" x14ac:dyDescent="0.2">
      <c r="A300" s="394"/>
      <c r="B300" s="114" t="s">
        <v>1520</v>
      </c>
      <c r="C300" s="398" t="s">
        <v>1521</v>
      </c>
      <c r="D300" s="437"/>
      <c r="E300" s="435"/>
      <c r="F300" s="88"/>
      <c r="G300" s="56">
        <f>SUMIF(JournalsC!D$14:D$920,TrialBalanceC!M300,JournalsC!J$14:J$920)+SUMIF(JournalsC!E$14:E$920,TrialBalanceC!M300,JournalsC!J$14:J$920)</f>
        <v>0</v>
      </c>
      <c r="H300" s="443"/>
      <c r="I300" s="448">
        <f t="shared" si="69"/>
        <v>0</v>
      </c>
      <c r="J300" s="84"/>
      <c r="K300" s="57">
        <f t="shared" si="70"/>
        <v>0</v>
      </c>
      <c r="M300" s="197" t="str">
        <f t="shared" si="71"/>
        <v>7000/032Prepaid lease agreement - impairment loss this year</v>
      </c>
      <c r="N300" s="79"/>
      <c r="P300" s="80"/>
      <c r="Q300" s="60"/>
      <c r="R300" s="34"/>
    </row>
    <row r="301" spans="1:18" x14ac:dyDescent="0.2">
      <c r="A301" s="394"/>
      <c r="B301" s="63" t="s">
        <v>541</v>
      </c>
      <c r="C301" s="397" t="s">
        <v>209</v>
      </c>
      <c r="D301" s="437"/>
      <c r="E301" s="435"/>
      <c r="F301" s="88"/>
      <c r="G301" s="56">
        <f>SUMIF(JournalsC!D$14:D$920,TrialBalanceC!M301,JournalsC!J$14:J$920)+SUMIF(JournalsC!E$14:E$920,TrialBalanceC!M301,JournalsC!J$14:J$920)</f>
        <v>0</v>
      </c>
      <c r="H301" s="443"/>
      <c r="I301" s="448">
        <f t="shared" si="68"/>
        <v>0</v>
      </c>
      <c r="J301" s="84"/>
      <c r="K301" s="57">
        <f t="shared" ref="K301:K388" si="72">ROUND(SUM(A301),0)</f>
        <v>0</v>
      </c>
      <c r="M301" s="197" t="str">
        <f t="shared" ref="M301:M388" si="73">CONCATENATE(B301,C301)</f>
        <v>7100/000INVESTMENTS</v>
      </c>
      <c r="N301" s="79"/>
      <c r="P301" s="80"/>
      <c r="Q301" s="60"/>
      <c r="R301" s="34"/>
    </row>
    <row r="302" spans="1:18" x14ac:dyDescent="0.2">
      <c r="A302" s="394"/>
      <c r="B302" s="114" t="s">
        <v>1324</v>
      </c>
      <c r="C302" s="398" t="s">
        <v>1318</v>
      </c>
      <c r="D302" s="437"/>
      <c r="E302" s="435"/>
      <c r="F302" s="88"/>
      <c r="G302" s="56">
        <f>SUMIF(JournalsC!D$14:D$920,TrialBalanceC!M302,JournalsC!J$14:J$920)+SUMIF(JournalsC!E$14:E$920,TrialBalanceC!M302,JournalsC!J$14:J$920)</f>
        <v>0</v>
      </c>
      <c r="H302" s="443"/>
      <c r="I302" s="448">
        <f t="shared" ref="I302:I305" si="74">ROUND(D302-E302+G302+F302,0)</f>
        <v>0</v>
      </c>
      <c r="J302" s="84"/>
      <c r="K302" s="57">
        <f t="shared" ref="K302:K305" si="75">ROUND(SUM(A302),0)</f>
        <v>0</v>
      </c>
      <c r="M302" s="197" t="str">
        <f t="shared" ref="M302:M305" si="76">CONCATENATE(B302,C302)</f>
        <v>7100/050INVESTMENTS IN ASSOCIATES</v>
      </c>
      <c r="N302" s="79"/>
      <c r="P302" s="80"/>
      <c r="Q302" s="60"/>
      <c r="R302" s="34"/>
    </row>
    <row r="303" spans="1:18" x14ac:dyDescent="0.2">
      <c r="A303" s="394"/>
      <c r="B303" s="114" t="s">
        <v>1325</v>
      </c>
      <c r="C303" s="430" t="str">
        <f>TrialBalance!C303</f>
        <v>100 Shares in ABC Company (Pty) Ltd - 100% interest</v>
      </c>
      <c r="D303" s="406"/>
      <c r="E303" s="407"/>
      <c r="F303" s="88">
        <f>K303</f>
        <v>0</v>
      </c>
      <c r="G303" s="56">
        <f>SUMIF(JournalsC!D$14:D$920,TrialBalanceC!M303,JournalsC!J$14:J$920)+SUMIF(JournalsC!E$14:E$920,TrialBalanceC!M303,JournalsC!J$14:J$920)</f>
        <v>0</v>
      </c>
      <c r="H303" s="443"/>
      <c r="I303" s="448">
        <f t="shared" si="74"/>
        <v>0</v>
      </c>
      <c r="J303" s="84"/>
      <c r="K303" s="57">
        <f t="shared" si="75"/>
        <v>0</v>
      </c>
      <c r="M303" s="197" t="str">
        <f t="shared" si="76"/>
        <v>7100/051100 Shares in ABC Company (Pty) Ltd - 100% interest</v>
      </c>
      <c r="N303" s="79"/>
      <c r="P303" s="80"/>
      <c r="Q303" s="60"/>
      <c r="R303" s="34"/>
    </row>
    <row r="304" spans="1:18" x14ac:dyDescent="0.2">
      <c r="A304" s="394"/>
      <c r="B304" s="114" t="s">
        <v>1326</v>
      </c>
      <c r="C304" s="430">
        <f>TrialBalance!C304</f>
        <v>0</v>
      </c>
      <c r="D304" s="406"/>
      <c r="E304" s="407"/>
      <c r="F304" s="88">
        <f>K304</f>
        <v>0</v>
      </c>
      <c r="G304" s="56">
        <f>SUMIF(JournalsC!D$14:D$920,TrialBalanceC!M304,JournalsC!J$14:J$920)+SUMIF(JournalsC!E$14:E$920,TrialBalanceC!M304,JournalsC!J$14:J$920)</f>
        <v>0</v>
      </c>
      <c r="H304" s="443"/>
      <c r="I304" s="448">
        <f t="shared" si="74"/>
        <v>0</v>
      </c>
      <c r="J304" s="84"/>
      <c r="K304" s="57">
        <f t="shared" si="75"/>
        <v>0</v>
      </c>
      <c r="M304" s="197" t="str">
        <f t="shared" si="76"/>
        <v>7100/0520</v>
      </c>
      <c r="N304" s="79"/>
      <c r="P304" s="80"/>
      <c r="Q304" s="60"/>
      <c r="R304" s="34"/>
    </row>
    <row r="305" spans="1:18" x14ac:dyDescent="0.2">
      <c r="A305" s="394"/>
      <c r="B305" s="114" t="s">
        <v>1327</v>
      </c>
      <c r="C305" s="430">
        <f>TrialBalance!C305</f>
        <v>0</v>
      </c>
      <c r="D305" s="406"/>
      <c r="E305" s="407"/>
      <c r="F305" s="88">
        <f>K305</f>
        <v>0</v>
      </c>
      <c r="G305" s="56">
        <f>SUMIF(JournalsC!D$14:D$920,TrialBalanceC!M305,JournalsC!J$14:J$920)+SUMIF(JournalsC!E$14:E$920,TrialBalanceC!M305,JournalsC!J$14:J$920)</f>
        <v>0</v>
      </c>
      <c r="H305" s="443"/>
      <c r="I305" s="448">
        <f t="shared" si="74"/>
        <v>0</v>
      </c>
      <c r="J305" s="84"/>
      <c r="K305" s="57">
        <f t="shared" si="75"/>
        <v>0</v>
      </c>
      <c r="M305" s="197" t="str">
        <f t="shared" si="76"/>
        <v>7100/0530</v>
      </c>
      <c r="N305" s="79"/>
      <c r="P305" s="80"/>
      <c r="Q305" s="60"/>
      <c r="R305" s="34"/>
    </row>
    <row r="306" spans="1:18" x14ac:dyDescent="0.2">
      <c r="A306" s="394"/>
      <c r="B306" s="63" t="s">
        <v>542</v>
      </c>
      <c r="C306" s="395" t="s">
        <v>543</v>
      </c>
      <c r="D306" s="436"/>
      <c r="E306" s="435"/>
      <c r="F306" s="88"/>
      <c r="G306" s="56">
        <f>SUMIF(JournalsC!D$14:D$920,TrialBalanceC!M306,JournalsC!J$14:J$920)+SUMIF(JournalsC!E$14:E$920,TrialBalanceC!M306,JournalsC!J$14:J$920)</f>
        <v>0</v>
      </c>
      <c r="H306" s="443"/>
      <c r="I306" s="448">
        <f t="shared" si="68"/>
        <v>0</v>
      </c>
      <c r="J306" s="84"/>
      <c r="K306" s="57">
        <f t="shared" si="72"/>
        <v>0</v>
      </c>
      <c r="M306" s="197" t="str">
        <f t="shared" si="73"/>
        <v>7100/100LISTED INVESTMENTS</v>
      </c>
      <c r="N306" s="79"/>
      <c r="P306" s="80"/>
      <c r="Q306" s="60"/>
      <c r="R306" s="34"/>
    </row>
    <row r="307" spans="1:18" x14ac:dyDescent="0.2">
      <c r="A307" s="394"/>
      <c r="B307" s="63" t="s">
        <v>544</v>
      </c>
      <c r="C307" s="430">
        <f>TrialBalance!C307</f>
        <v>0</v>
      </c>
      <c r="D307" s="436"/>
      <c r="E307" s="435"/>
      <c r="F307" s="88">
        <f>K307</f>
        <v>0</v>
      </c>
      <c r="G307" s="56">
        <f>SUMIF(JournalsC!D$14:D$920,TrialBalanceC!M307,JournalsC!J$14:J$920)+SUMIF(JournalsC!E$14:E$920,TrialBalanceC!M307,JournalsC!J$14:J$920)</f>
        <v>0</v>
      </c>
      <c r="H307" s="443"/>
      <c r="I307" s="448">
        <f t="shared" si="68"/>
        <v>0</v>
      </c>
      <c r="J307" s="84"/>
      <c r="K307" s="57">
        <f t="shared" si="72"/>
        <v>0</v>
      </c>
      <c r="M307" s="197" t="str">
        <f t="shared" si="73"/>
        <v>7100/1010</v>
      </c>
      <c r="N307" s="79"/>
      <c r="P307" s="80"/>
      <c r="Q307" s="60"/>
      <c r="R307" s="34"/>
    </row>
    <row r="308" spans="1:18" x14ac:dyDescent="0.2">
      <c r="A308" s="394"/>
      <c r="B308" s="63" t="s">
        <v>545</v>
      </c>
      <c r="C308" s="430">
        <f>TrialBalance!C308</f>
        <v>0</v>
      </c>
      <c r="D308" s="436"/>
      <c r="E308" s="435"/>
      <c r="F308" s="88">
        <f t="shared" ref="F308:F376" si="77">K308</f>
        <v>0</v>
      </c>
      <c r="G308" s="56">
        <f>SUMIF(JournalsC!D$14:D$920,TrialBalanceC!M308,JournalsC!J$14:J$920)+SUMIF(JournalsC!E$14:E$920,TrialBalanceC!M308,JournalsC!J$14:J$920)</f>
        <v>0</v>
      </c>
      <c r="H308" s="443"/>
      <c r="I308" s="448">
        <f t="shared" si="68"/>
        <v>0</v>
      </c>
      <c r="J308" s="84"/>
      <c r="K308" s="57">
        <f t="shared" si="72"/>
        <v>0</v>
      </c>
      <c r="M308" s="197" t="str">
        <f t="shared" si="73"/>
        <v>7100/1020</v>
      </c>
      <c r="N308" s="79"/>
      <c r="P308" s="80"/>
      <c r="Q308" s="60"/>
      <c r="R308" s="34"/>
    </row>
    <row r="309" spans="1:18" x14ac:dyDescent="0.2">
      <c r="A309" s="394"/>
      <c r="B309" s="63" t="s">
        <v>546</v>
      </c>
      <c r="C309" s="430">
        <f>TrialBalance!C309</f>
        <v>0</v>
      </c>
      <c r="D309" s="436"/>
      <c r="E309" s="435"/>
      <c r="F309" s="88">
        <f t="shared" si="77"/>
        <v>0</v>
      </c>
      <c r="G309" s="56">
        <f>SUMIF(JournalsC!D$14:D$920,TrialBalanceC!M309,JournalsC!J$14:J$920)+SUMIF(JournalsC!E$14:E$920,TrialBalanceC!M309,JournalsC!J$14:J$920)</f>
        <v>0</v>
      </c>
      <c r="H309" s="443"/>
      <c r="I309" s="448">
        <f t="shared" si="68"/>
        <v>0</v>
      </c>
      <c r="J309" s="84"/>
      <c r="K309" s="57">
        <f t="shared" si="72"/>
        <v>0</v>
      </c>
      <c r="M309" s="197" t="str">
        <f t="shared" si="73"/>
        <v>7100/1030</v>
      </c>
      <c r="N309" s="79"/>
      <c r="P309" s="80"/>
      <c r="Q309" s="60"/>
      <c r="R309" s="34"/>
    </row>
    <row r="310" spans="1:18" x14ac:dyDescent="0.2">
      <c r="A310" s="394"/>
      <c r="B310" s="63" t="s">
        <v>547</v>
      </c>
      <c r="C310" s="430">
        <f>TrialBalance!C310</f>
        <v>0</v>
      </c>
      <c r="D310" s="436"/>
      <c r="E310" s="435"/>
      <c r="F310" s="88">
        <f t="shared" si="77"/>
        <v>0</v>
      </c>
      <c r="G310" s="56">
        <f>SUMIF(JournalsC!D$14:D$920,TrialBalanceC!M310,JournalsC!J$14:J$920)+SUMIF(JournalsC!E$14:E$920,TrialBalanceC!M310,JournalsC!J$14:J$920)</f>
        <v>0</v>
      </c>
      <c r="H310" s="443"/>
      <c r="I310" s="448">
        <f t="shared" si="68"/>
        <v>0</v>
      </c>
      <c r="J310" s="84"/>
      <c r="K310" s="57">
        <f t="shared" si="72"/>
        <v>0</v>
      </c>
      <c r="M310" s="197" t="str">
        <f t="shared" si="73"/>
        <v>7100/1040</v>
      </c>
      <c r="N310" s="79"/>
      <c r="P310" s="80"/>
      <c r="Q310" s="60"/>
      <c r="R310" s="34"/>
    </row>
    <row r="311" spans="1:18" x14ac:dyDescent="0.2">
      <c r="A311" s="394"/>
      <c r="B311" s="63" t="s">
        <v>548</v>
      </c>
      <c r="C311" s="430">
        <f>TrialBalance!C311</f>
        <v>0</v>
      </c>
      <c r="D311" s="436"/>
      <c r="E311" s="435"/>
      <c r="F311" s="88">
        <f t="shared" si="77"/>
        <v>0</v>
      </c>
      <c r="G311" s="56">
        <f>SUMIF(JournalsC!D$14:D$920,TrialBalanceC!M311,JournalsC!J$14:J$920)+SUMIF(JournalsC!E$14:E$920,TrialBalanceC!M311,JournalsC!J$14:J$920)</f>
        <v>0</v>
      </c>
      <c r="H311" s="443"/>
      <c r="I311" s="448">
        <f t="shared" si="68"/>
        <v>0</v>
      </c>
      <c r="J311" s="84"/>
      <c r="K311" s="57">
        <f t="shared" si="72"/>
        <v>0</v>
      </c>
      <c r="M311" s="197" t="str">
        <f t="shared" si="73"/>
        <v>7100/1050</v>
      </c>
      <c r="N311" s="79"/>
      <c r="P311" s="80"/>
      <c r="Q311" s="60"/>
      <c r="R311" s="34"/>
    </row>
    <row r="312" spans="1:18" x14ac:dyDescent="0.2">
      <c r="A312" s="394"/>
      <c r="B312" s="63" t="s">
        <v>549</v>
      </c>
      <c r="C312" s="397" t="s">
        <v>447</v>
      </c>
      <c r="D312" s="437"/>
      <c r="E312" s="435"/>
      <c r="F312" s="88"/>
      <c r="G312" s="56">
        <f>SUMIF(JournalsC!D$14:D$920,TrialBalanceC!M312,JournalsC!J$14:J$920)+SUMIF(JournalsC!E$14:E$920,TrialBalanceC!M312,JournalsC!J$14:J$920)</f>
        <v>0</v>
      </c>
      <c r="H312" s="443"/>
      <c r="I312" s="448">
        <f t="shared" si="68"/>
        <v>0</v>
      </c>
      <c r="J312" s="84"/>
      <c r="K312" s="57">
        <f t="shared" si="72"/>
        <v>0</v>
      </c>
      <c r="M312" s="197" t="str">
        <f t="shared" si="73"/>
        <v>7100/200OTHER INVESTMENTS</v>
      </c>
      <c r="N312" s="79"/>
      <c r="P312" s="80"/>
      <c r="Q312" s="60"/>
      <c r="R312" s="34"/>
    </row>
    <row r="313" spans="1:18" x14ac:dyDescent="0.2">
      <c r="A313" s="394"/>
      <c r="B313" s="63" t="s">
        <v>550</v>
      </c>
      <c r="C313" s="430">
        <f>TrialBalance!C313</f>
        <v>0</v>
      </c>
      <c r="D313" s="438"/>
      <c r="E313" s="435"/>
      <c r="F313" s="88">
        <f t="shared" si="77"/>
        <v>0</v>
      </c>
      <c r="G313" s="56">
        <f>SUMIF(JournalsC!D$14:D$920,TrialBalanceC!M313,JournalsC!J$14:J$920)+SUMIF(JournalsC!E$14:E$920,TrialBalanceC!M313,JournalsC!J$14:J$920)</f>
        <v>0</v>
      </c>
      <c r="H313" s="443"/>
      <c r="I313" s="448">
        <f t="shared" si="68"/>
        <v>0</v>
      </c>
      <c r="J313" s="84"/>
      <c r="K313" s="57">
        <f t="shared" si="72"/>
        <v>0</v>
      </c>
      <c r="M313" s="197" t="str">
        <f t="shared" si="73"/>
        <v>7100/2010</v>
      </c>
      <c r="N313" s="79"/>
      <c r="P313" s="80"/>
      <c r="Q313" s="60"/>
      <c r="R313" s="34"/>
    </row>
    <row r="314" spans="1:18" x14ac:dyDescent="0.2">
      <c r="A314" s="394"/>
      <c r="B314" s="63" t="s">
        <v>551</v>
      </c>
      <c r="C314" s="430">
        <f>TrialBalance!C314</f>
        <v>0</v>
      </c>
      <c r="D314" s="438"/>
      <c r="E314" s="435"/>
      <c r="F314" s="88">
        <f t="shared" si="77"/>
        <v>0</v>
      </c>
      <c r="G314" s="56">
        <f>SUMIF(JournalsC!D$14:D$920,TrialBalanceC!M314,JournalsC!J$14:J$920)+SUMIF(JournalsC!E$14:E$920,TrialBalanceC!M314,JournalsC!J$14:J$920)</f>
        <v>0</v>
      </c>
      <c r="H314" s="443"/>
      <c r="I314" s="448">
        <f t="shared" si="68"/>
        <v>0</v>
      </c>
      <c r="J314" s="84"/>
      <c r="K314" s="57">
        <f t="shared" si="72"/>
        <v>0</v>
      </c>
      <c r="M314" s="197" t="str">
        <f t="shared" si="73"/>
        <v>7100/2020</v>
      </c>
      <c r="N314" s="79"/>
      <c r="P314" s="80"/>
      <c r="Q314" s="60"/>
      <c r="R314" s="34"/>
    </row>
    <row r="315" spans="1:18" x14ac:dyDescent="0.2">
      <c r="A315" s="394"/>
      <c r="B315" s="63" t="s">
        <v>552</v>
      </c>
      <c r="C315" s="430">
        <f>TrialBalance!C315</f>
        <v>0</v>
      </c>
      <c r="D315" s="436"/>
      <c r="E315" s="435"/>
      <c r="F315" s="88">
        <f t="shared" si="77"/>
        <v>0</v>
      </c>
      <c r="G315" s="56">
        <f>SUMIF(JournalsC!D$14:D$920,TrialBalanceC!M315,JournalsC!J$14:J$920)+SUMIF(JournalsC!E$14:E$920,TrialBalanceC!M315,JournalsC!J$14:J$920)</f>
        <v>0</v>
      </c>
      <c r="H315" s="443"/>
      <c r="I315" s="448">
        <f t="shared" si="68"/>
        <v>0</v>
      </c>
      <c r="J315" s="84"/>
      <c r="K315" s="57">
        <f t="shared" si="72"/>
        <v>0</v>
      </c>
      <c r="M315" s="197" t="str">
        <f t="shared" si="73"/>
        <v>7100/2030</v>
      </c>
      <c r="N315" s="79"/>
      <c r="P315" s="80"/>
      <c r="Q315" s="60"/>
      <c r="R315" s="34"/>
    </row>
    <row r="316" spans="1:18" x14ac:dyDescent="0.2">
      <c r="A316" s="394"/>
      <c r="B316" s="63" t="s">
        <v>553</v>
      </c>
      <c r="C316" s="430">
        <f>TrialBalance!C316</f>
        <v>0</v>
      </c>
      <c r="D316" s="436"/>
      <c r="E316" s="435"/>
      <c r="F316" s="88">
        <f t="shared" si="77"/>
        <v>0</v>
      </c>
      <c r="G316" s="56">
        <f>SUMIF(JournalsC!D$14:D$920,TrialBalanceC!M316,JournalsC!J$14:J$920)+SUMIF(JournalsC!E$14:E$920,TrialBalanceC!M316,JournalsC!J$14:J$920)</f>
        <v>0</v>
      </c>
      <c r="H316" s="443"/>
      <c r="I316" s="448">
        <f t="shared" si="68"/>
        <v>0</v>
      </c>
      <c r="J316" s="84"/>
      <c r="K316" s="57">
        <f t="shared" si="72"/>
        <v>0</v>
      </c>
      <c r="M316" s="197" t="str">
        <f t="shared" si="73"/>
        <v>7100/2040</v>
      </c>
      <c r="N316" s="79"/>
      <c r="P316" s="80"/>
      <c r="Q316" s="60"/>
      <c r="R316" s="34"/>
    </row>
    <row r="317" spans="1:18" x14ac:dyDescent="0.2">
      <c r="A317" s="394"/>
      <c r="B317" s="63" t="s">
        <v>185</v>
      </c>
      <c r="C317" s="430">
        <f>TrialBalance!C317</f>
        <v>0</v>
      </c>
      <c r="D317" s="436"/>
      <c r="E317" s="435"/>
      <c r="F317" s="88">
        <f t="shared" si="77"/>
        <v>0</v>
      </c>
      <c r="G317" s="56">
        <f>SUMIF(JournalsC!D$14:D$920,TrialBalanceC!M317,JournalsC!J$14:J$920)+SUMIF(JournalsC!E$14:E$920,TrialBalanceC!M317,JournalsC!J$14:J$920)</f>
        <v>0</v>
      </c>
      <c r="H317" s="443"/>
      <c r="I317" s="448">
        <f t="shared" si="68"/>
        <v>0</v>
      </c>
      <c r="J317" s="84"/>
      <c r="K317" s="57">
        <f t="shared" si="72"/>
        <v>0</v>
      </c>
      <c r="M317" s="197" t="str">
        <f t="shared" si="73"/>
        <v>7100/2050</v>
      </c>
      <c r="N317" s="79"/>
      <c r="P317" s="80"/>
      <c r="Q317" s="60"/>
      <c r="R317" s="34"/>
    </row>
    <row r="318" spans="1:18" x14ac:dyDescent="0.2">
      <c r="A318" s="394"/>
      <c r="B318" s="63" t="s">
        <v>186</v>
      </c>
      <c r="C318" s="398" t="s">
        <v>944</v>
      </c>
      <c r="D318" s="436"/>
      <c r="E318" s="435"/>
      <c r="F318" s="88"/>
      <c r="G318" s="56">
        <f>SUMIF(JournalsC!D$14:D$920,TrialBalanceC!M318,JournalsC!J$14:J$920)+SUMIF(JournalsC!E$14:E$920,TrialBalanceC!M318,JournalsC!J$14:J$920)</f>
        <v>0</v>
      </c>
      <c r="H318" s="443"/>
      <c r="I318" s="448">
        <f t="shared" si="68"/>
        <v>0</v>
      </c>
      <c r="J318" s="84"/>
      <c r="K318" s="57">
        <f t="shared" si="72"/>
        <v>0</v>
      </c>
      <c r="M318" s="197" t="str">
        <f t="shared" si="73"/>
        <v>7450/000CONNECTED ENTITIES LOANS</v>
      </c>
      <c r="N318" s="79"/>
      <c r="P318" s="80"/>
      <c r="Q318" s="60"/>
      <c r="R318" s="34"/>
    </row>
    <row r="319" spans="1:18" x14ac:dyDescent="0.2">
      <c r="A319" s="394"/>
      <c r="B319" s="63" t="s">
        <v>186</v>
      </c>
      <c r="C319" s="398" t="s">
        <v>788</v>
      </c>
      <c r="D319" s="436"/>
      <c r="E319" s="435"/>
      <c r="F319" s="88"/>
      <c r="G319" s="56">
        <f>SUMIF(JournalsC!D$14:D$920,TrialBalanceC!M319,JournalsC!J$14:J$920)+SUMIF(JournalsC!E$14:E$920,TrialBalanceC!M319,JournalsC!J$14:J$920)</f>
        <v>0</v>
      </c>
      <c r="H319" s="443"/>
      <c r="I319" s="448">
        <f t="shared" ref="I319" si="78">ROUND(D319-E319+G319+F319,0)</f>
        <v>0</v>
      </c>
      <c r="J319" s="84"/>
      <c r="K319" s="57">
        <f t="shared" ref="K319" si="79">ROUND(SUM(A319),0)</f>
        <v>0</v>
      </c>
      <c r="M319" s="197" t="str">
        <f t="shared" ref="M319" si="80">CONCATENATE(B319,C319)</f>
        <v>7450/000Interest bearing</v>
      </c>
      <c r="N319" s="79"/>
      <c r="P319" s="80"/>
      <c r="Q319" s="60"/>
      <c r="R319" s="34"/>
    </row>
    <row r="320" spans="1:18" x14ac:dyDescent="0.2">
      <c r="A320" s="394"/>
      <c r="B320" s="63" t="s">
        <v>187</v>
      </c>
      <c r="C320" s="430">
        <f>TrialBalance!C320</f>
        <v>0</v>
      </c>
      <c r="D320" s="438"/>
      <c r="E320" s="435"/>
      <c r="F320" s="88">
        <f t="shared" si="77"/>
        <v>0</v>
      </c>
      <c r="G320" s="56">
        <f>SUMIF(JournalsC!D$14:D$920,TrialBalanceC!M320,JournalsC!J$14:J$920)+SUMIF(JournalsC!E$14:E$920,TrialBalanceC!M320,JournalsC!J$14:J$920)</f>
        <v>0</v>
      </c>
      <c r="H320" s="443"/>
      <c r="I320" s="448">
        <f t="shared" si="68"/>
        <v>0</v>
      </c>
      <c r="J320" s="84"/>
      <c r="K320" s="57">
        <f t="shared" si="72"/>
        <v>0</v>
      </c>
      <c r="M320" s="197" t="str">
        <f t="shared" si="73"/>
        <v>7450/0010</v>
      </c>
      <c r="N320" s="79"/>
      <c r="P320" s="80"/>
      <c r="Q320" s="60"/>
      <c r="R320" s="34"/>
    </row>
    <row r="321" spans="1:18" x14ac:dyDescent="0.2">
      <c r="A321" s="394"/>
      <c r="B321" s="63" t="s">
        <v>188</v>
      </c>
      <c r="C321" s="430">
        <f>TrialBalance!C321</f>
        <v>0</v>
      </c>
      <c r="D321" s="438"/>
      <c r="E321" s="435"/>
      <c r="F321" s="88">
        <f t="shared" ref="F321:F322" si="81">K321</f>
        <v>0</v>
      </c>
      <c r="G321" s="56">
        <f>SUMIF(JournalsC!D$14:D$920,TrialBalanceC!M321,JournalsC!J$14:J$920)+SUMIF(JournalsC!E$14:E$920,TrialBalanceC!M321,JournalsC!J$14:J$920)</f>
        <v>0</v>
      </c>
      <c r="H321" s="443"/>
      <c r="I321" s="448">
        <f t="shared" ref="I321:I322" si="82">ROUND(D321-E321+G321+F321,0)</f>
        <v>0</v>
      </c>
      <c r="J321" s="84"/>
      <c r="K321" s="57">
        <f t="shared" ref="K321:K322" si="83">ROUND(SUM(A321),0)</f>
        <v>0</v>
      </c>
      <c r="M321" s="197" t="str">
        <f t="shared" ref="M321:M322" si="84">CONCATENATE(B321,C321)</f>
        <v>7450/0020</v>
      </c>
      <c r="N321" s="79"/>
      <c r="P321" s="80"/>
      <c r="Q321" s="60"/>
      <c r="R321" s="34"/>
    </row>
    <row r="322" spans="1:18" x14ac:dyDescent="0.2">
      <c r="A322" s="394"/>
      <c r="B322" s="114" t="s">
        <v>189</v>
      </c>
      <c r="C322" s="430">
        <f>TrialBalance!C322</f>
        <v>0</v>
      </c>
      <c r="D322" s="438"/>
      <c r="E322" s="435"/>
      <c r="F322" s="88">
        <f t="shared" si="81"/>
        <v>0</v>
      </c>
      <c r="G322" s="56">
        <f>SUMIF(JournalsC!D$14:D$920,TrialBalanceC!M322,JournalsC!J$14:J$920)+SUMIF(JournalsC!E$14:E$920,TrialBalanceC!M322,JournalsC!J$14:J$920)</f>
        <v>0</v>
      </c>
      <c r="H322" s="443"/>
      <c r="I322" s="448">
        <f t="shared" si="82"/>
        <v>0</v>
      </c>
      <c r="J322" s="84"/>
      <c r="K322" s="57">
        <f t="shared" si="83"/>
        <v>0</v>
      </c>
      <c r="M322" s="197" t="str">
        <f t="shared" si="84"/>
        <v>7450/0030</v>
      </c>
      <c r="N322" s="79"/>
      <c r="P322" s="80"/>
      <c r="Q322" s="60"/>
      <c r="R322" s="34"/>
    </row>
    <row r="323" spans="1:18" x14ac:dyDescent="0.2">
      <c r="A323" s="394"/>
      <c r="B323" s="114" t="s">
        <v>499</v>
      </c>
      <c r="C323" s="430">
        <f>TrialBalance!C323</f>
        <v>0</v>
      </c>
      <c r="D323" s="438"/>
      <c r="E323" s="435"/>
      <c r="F323" s="88">
        <f t="shared" ref="F323:F328" si="85">K323</f>
        <v>0</v>
      </c>
      <c r="G323" s="56">
        <f>SUMIF(JournalsC!D$14:D$920,TrialBalanceC!M323,JournalsC!J$14:J$920)+SUMIF(JournalsC!E$14:E$920,TrialBalanceC!M323,JournalsC!J$14:J$920)</f>
        <v>0</v>
      </c>
      <c r="H323" s="443"/>
      <c r="I323" s="448">
        <f t="shared" ref="I323:I328" si="86">ROUND(D323-E323+G323+F323,0)</f>
        <v>0</v>
      </c>
      <c r="J323" s="84"/>
      <c r="K323" s="57">
        <f t="shared" ref="K323:K328" si="87">ROUND(SUM(A323),0)</f>
        <v>0</v>
      </c>
      <c r="M323" s="197" t="str">
        <f t="shared" ref="M323:M328" si="88">CONCATENATE(B323,C323)</f>
        <v>7450/0040</v>
      </c>
      <c r="N323" s="79"/>
      <c r="P323" s="80"/>
      <c r="Q323" s="60"/>
      <c r="R323" s="34"/>
    </row>
    <row r="324" spans="1:18" x14ac:dyDescent="0.2">
      <c r="A324" s="394"/>
      <c r="B324" s="114" t="s">
        <v>352</v>
      </c>
      <c r="C324" s="430">
        <f>TrialBalance!C324</f>
        <v>0</v>
      </c>
      <c r="D324" s="438"/>
      <c r="E324" s="435"/>
      <c r="F324" s="88">
        <f t="shared" si="85"/>
        <v>0</v>
      </c>
      <c r="G324" s="56">
        <f>SUMIF(JournalsC!D$14:D$920,TrialBalanceC!M324,JournalsC!J$14:J$920)+SUMIF(JournalsC!E$14:E$920,TrialBalanceC!M324,JournalsC!J$14:J$920)</f>
        <v>0</v>
      </c>
      <c r="H324" s="443"/>
      <c r="I324" s="448">
        <f t="shared" si="86"/>
        <v>0</v>
      </c>
      <c r="J324" s="84"/>
      <c r="K324" s="57">
        <f t="shared" si="87"/>
        <v>0</v>
      </c>
      <c r="M324" s="197" t="str">
        <f t="shared" si="88"/>
        <v>7450/0050</v>
      </c>
      <c r="N324" s="79"/>
      <c r="P324" s="80"/>
      <c r="Q324" s="60"/>
      <c r="R324" s="34"/>
    </row>
    <row r="325" spans="1:18" x14ac:dyDescent="0.2">
      <c r="A325" s="394"/>
      <c r="B325" s="114" t="s">
        <v>986</v>
      </c>
      <c r="C325" s="430">
        <f>TrialBalance!C325</f>
        <v>0</v>
      </c>
      <c r="D325" s="438"/>
      <c r="E325" s="435"/>
      <c r="F325" s="88">
        <f t="shared" si="85"/>
        <v>0</v>
      </c>
      <c r="G325" s="56">
        <f>SUMIF(JournalsC!D$14:D$920,TrialBalanceC!M325,JournalsC!J$14:J$920)+SUMIF(JournalsC!E$14:E$920,TrialBalanceC!M325,JournalsC!J$14:J$920)</f>
        <v>0</v>
      </c>
      <c r="H325" s="443"/>
      <c r="I325" s="448">
        <f t="shared" si="86"/>
        <v>0</v>
      </c>
      <c r="J325" s="84"/>
      <c r="K325" s="57">
        <f t="shared" si="87"/>
        <v>0</v>
      </c>
      <c r="M325" s="197" t="str">
        <f t="shared" si="88"/>
        <v>7450/0060</v>
      </c>
      <c r="N325" s="79"/>
      <c r="P325" s="80"/>
      <c r="Q325" s="60"/>
      <c r="R325" s="34"/>
    </row>
    <row r="326" spans="1:18" x14ac:dyDescent="0.2">
      <c r="A326" s="394"/>
      <c r="B326" s="114" t="s">
        <v>1245</v>
      </c>
      <c r="C326" s="430">
        <f>TrialBalance!C326</f>
        <v>0</v>
      </c>
      <c r="D326" s="438"/>
      <c r="E326" s="435"/>
      <c r="F326" s="88">
        <f t="shared" si="85"/>
        <v>0</v>
      </c>
      <c r="G326" s="56">
        <f>SUMIF(JournalsC!D$14:D$920,TrialBalanceC!M326,JournalsC!J$14:J$920)+SUMIF(JournalsC!E$14:E$920,TrialBalanceC!M326,JournalsC!J$14:J$920)</f>
        <v>0</v>
      </c>
      <c r="H326" s="443"/>
      <c r="I326" s="448">
        <f t="shared" si="86"/>
        <v>0</v>
      </c>
      <c r="J326" s="84"/>
      <c r="K326" s="57">
        <f t="shared" si="87"/>
        <v>0</v>
      </c>
      <c r="M326" s="197" t="str">
        <f t="shared" si="88"/>
        <v>7450/0070</v>
      </c>
      <c r="N326" s="79"/>
      <c r="P326" s="80"/>
      <c r="Q326" s="60"/>
      <c r="R326" s="34"/>
    </row>
    <row r="327" spans="1:18" x14ac:dyDescent="0.2">
      <c r="A327" s="394"/>
      <c r="B327" s="114" t="s">
        <v>1246</v>
      </c>
      <c r="C327" s="430">
        <f>TrialBalance!C327</f>
        <v>0</v>
      </c>
      <c r="D327" s="438"/>
      <c r="E327" s="435"/>
      <c r="F327" s="88">
        <f t="shared" si="85"/>
        <v>0</v>
      </c>
      <c r="G327" s="56">
        <f>SUMIF(JournalsC!D$14:D$920,TrialBalanceC!M327,JournalsC!J$14:J$920)+SUMIF(JournalsC!E$14:E$920,TrialBalanceC!M327,JournalsC!J$14:J$920)</f>
        <v>0</v>
      </c>
      <c r="H327" s="443"/>
      <c r="I327" s="448">
        <f t="shared" si="86"/>
        <v>0</v>
      </c>
      <c r="J327" s="84"/>
      <c r="K327" s="57">
        <f t="shared" si="87"/>
        <v>0</v>
      </c>
      <c r="M327" s="197" t="str">
        <f t="shared" si="88"/>
        <v>7450/0080</v>
      </c>
      <c r="N327" s="79"/>
      <c r="P327" s="80"/>
      <c r="Q327" s="60"/>
      <c r="R327" s="34"/>
    </row>
    <row r="328" spans="1:18" x14ac:dyDescent="0.2">
      <c r="A328" s="394"/>
      <c r="B328" s="114" t="s">
        <v>1247</v>
      </c>
      <c r="C328" s="430">
        <f>TrialBalance!C328</f>
        <v>0</v>
      </c>
      <c r="D328" s="438"/>
      <c r="E328" s="435"/>
      <c r="F328" s="88">
        <f t="shared" si="85"/>
        <v>0</v>
      </c>
      <c r="G328" s="56">
        <f>SUMIF(JournalsC!D$14:D$920,TrialBalanceC!M328,JournalsC!J$14:J$920)+SUMIF(JournalsC!E$14:E$920,TrialBalanceC!M328,JournalsC!J$14:J$920)</f>
        <v>0</v>
      </c>
      <c r="H328" s="443"/>
      <c r="I328" s="448">
        <f t="shared" si="86"/>
        <v>0</v>
      </c>
      <c r="J328" s="84"/>
      <c r="K328" s="57">
        <f t="shared" si="87"/>
        <v>0</v>
      </c>
      <c r="M328" s="197" t="str">
        <f t="shared" si="88"/>
        <v>7450/0090</v>
      </c>
      <c r="N328" s="79"/>
      <c r="P328" s="80"/>
      <c r="Q328" s="60"/>
      <c r="R328" s="34"/>
    </row>
    <row r="329" spans="1:18" x14ac:dyDescent="0.2">
      <c r="A329" s="394"/>
      <c r="B329" s="114" t="s">
        <v>1248</v>
      </c>
      <c r="C329" s="430">
        <f>TrialBalance!C329</f>
        <v>0</v>
      </c>
      <c r="D329" s="436"/>
      <c r="E329" s="435"/>
      <c r="F329" s="88">
        <f t="shared" si="77"/>
        <v>0</v>
      </c>
      <c r="G329" s="56">
        <f>SUMIF(JournalsC!D$14:D$920,TrialBalanceC!M329,JournalsC!J$14:J$920)+SUMIF(JournalsC!E$14:E$920,TrialBalanceC!M329,JournalsC!J$14:J$920)</f>
        <v>0</v>
      </c>
      <c r="H329" s="443"/>
      <c r="I329" s="448">
        <f t="shared" si="68"/>
        <v>0</v>
      </c>
      <c r="J329" s="84"/>
      <c r="K329" s="57">
        <f t="shared" si="72"/>
        <v>0</v>
      </c>
      <c r="M329" s="197" t="str">
        <f t="shared" si="73"/>
        <v>7450/0100</v>
      </c>
      <c r="N329" s="79"/>
      <c r="P329" s="80"/>
      <c r="Q329" s="60"/>
      <c r="R329" s="34"/>
    </row>
    <row r="330" spans="1:18" x14ac:dyDescent="0.2">
      <c r="A330" s="394"/>
      <c r="B330" s="114" t="s">
        <v>1249</v>
      </c>
      <c r="C330" s="398" t="s">
        <v>787</v>
      </c>
      <c r="D330" s="436"/>
      <c r="E330" s="435"/>
      <c r="F330" s="88"/>
      <c r="G330" s="56">
        <f>SUMIF(JournalsC!D$14:D$920,TrialBalanceC!M330,JournalsC!J$14:J$920)+SUMIF(JournalsC!E$14:E$920,TrialBalanceC!M330,JournalsC!J$14:J$920)</f>
        <v>0</v>
      </c>
      <c r="H330" s="443"/>
      <c r="I330" s="448">
        <f t="shared" ref="I330" si="89">ROUND(D330-E330+G330+F330,0)</f>
        <v>0</v>
      </c>
      <c r="J330" s="84"/>
      <c r="K330" s="57">
        <f t="shared" ref="K330" si="90">ROUND(SUM(A330),0)</f>
        <v>0</v>
      </c>
      <c r="M330" s="197" t="str">
        <f t="shared" ref="M330" si="91">CONCATENATE(B330,C330)</f>
        <v>7455/000Interest free</v>
      </c>
      <c r="N330" s="79"/>
      <c r="P330" s="80"/>
      <c r="Q330" s="60"/>
      <c r="R330" s="34"/>
    </row>
    <row r="331" spans="1:18" x14ac:dyDescent="0.2">
      <c r="A331" s="394"/>
      <c r="B331" s="114" t="s">
        <v>1250</v>
      </c>
      <c r="C331" s="430">
        <f>TrialBalance!C331</f>
        <v>0</v>
      </c>
      <c r="D331" s="436"/>
      <c r="E331" s="435"/>
      <c r="F331" s="88">
        <f t="shared" si="77"/>
        <v>0</v>
      </c>
      <c r="G331" s="56">
        <f>SUMIF(JournalsC!D$14:D$920,TrialBalanceC!M331,JournalsC!J$14:J$920)+SUMIF(JournalsC!E$14:E$920,TrialBalanceC!M331,JournalsC!J$14:J$920)</f>
        <v>0</v>
      </c>
      <c r="H331" s="443"/>
      <c r="I331" s="448">
        <f t="shared" si="68"/>
        <v>0</v>
      </c>
      <c r="J331" s="84"/>
      <c r="K331" s="57">
        <f t="shared" si="72"/>
        <v>0</v>
      </c>
      <c r="M331" s="197" t="str">
        <f t="shared" si="73"/>
        <v>7455/0010</v>
      </c>
      <c r="N331" s="79"/>
      <c r="P331" s="80"/>
      <c r="Q331" s="60"/>
      <c r="R331" s="34"/>
    </row>
    <row r="332" spans="1:18" x14ac:dyDescent="0.2">
      <c r="A332" s="394"/>
      <c r="B332" s="114" t="s">
        <v>1251</v>
      </c>
      <c r="C332" s="430">
        <f>TrialBalance!C332</f>
        <v>0</v>
      </c>
      <c r="D332" s="436"/>
      <c r="E332" s="435"/>
      <c r="F332" s="88">
        <f t="shared" ref="F332" si="92">K332</f>
        <v>0</v>
      </c>
      <c r="G332" s="56">
        <f>SUMIF(JournalsC!D$14:D$920,TrialBalanceC!M332,JournalsC!J$14:J$920)+SUMIF(JournalsC!E$14:E$920,TrialBalanceC!M332,JournalsC!J$14:J$920)</f>
        <v>0</v>
      </c>
      <c r="H332" s="443"/>
      <c r="I332" s="448">
        <f t="shared" ref="I332" si="93">ROUND(D332-E332+G332+F332,0)</f>
        <v>0</v>
      </c>
      <c r="J332" s="84"/>
      <c r="K332" s="57">
        <f t="shared" ref="K332" si="94">ROUND(SUM(A332),0)</f>
        <v>0</v>
      </c>
      <c r="M332" s="197" t="str">
        <f t="shared" ref="M332" si="95">CONCATENATE(B332,C332)</f>
        <v>7455/0020</v>
      </c>
      <c r="N332" s="79"/>
      <c r="P332" s="80"/>
      <c r="Q332" s="60"/>
      <c r="R332" s="34"/>
    </row>
    <row r="333" spans="1:18" x14ac:dyDescent="0.2">
      <c r="A333" s="394"/>
      <c r="B333" s="114" t="s">
        <v>1252</v>
      </c>
      <c r="C333" s="430">
        <f>TrialBalance!C333</f>
        <v>0</v>
      </c>
      <c r="D333" s="436"/>
      <c r="E333" s="435"/>
      <c r="F333" s="88">
        <f t="shared" si="77"/>
        <v>0</v>
      </c>
      <c r="G333" s="56">
        <f>SUMIF(JournalsC!D$14:D$920,TrialBalanceC!M333,JournalsC!J$14:J$920)+SUMIF(JournalsC!E$14:E$920,TrialBalanceC!M333,JournalsC!J$14:J$920)</f>
        <v>0</v>
      </c>
      <c r="H333" s="443"/>
      <c r="I333" s="448">
        <f t="shared" si="68"/>
        <v>0</v>
      </c>
      <c r="J333" s="84"/>
      <c r="K333" s="57">
        <f t="shared" si="72"/>
        <v>0</v>
      </c>
      <c r="M333" s="197" t="str">
        <f t="shared" si="73"/>
        <v>7455/0030</v>
      </c>
      <c r="N333" s="79"/>
      <c r="P333" s="80"/>
      <c r="Q333" s="60"/>
      <c r="R333" s="34"/>
    </row>
    <row r="334" spans="1:18" x14ac:dyDescent="0.2">
      <c r="A334" s="394"/>
      <c r="B334" s="114" t="s">
        <v>1253</v>
      </c>
      <c r="C334" s="430">
        <f>TrialBalance!C334</f>
        <v>0</v>
      </c>
      <c r="D334" s="436"/>
      <c r="E334" s="435"/>
      <c r="F334" s="88">
        <f t="shared" ref="F334:F339" si="96">K334</f>
        <v>0</v>
      </c>
      <c r="G334" s="56">
        <f>SUMIF(JournalsC!D$14:D$920,TrialBalanceC!M334,JournalsC!J$14:J$920)+SUMIF(JournalsC!E$14:E$920,TrialBalanceC!M334,JournalsC!J$14:J$920)</f>
        <v>0</v>
      </c>
      <c r="H334" s="443"/>
      <c r="I334" s="448">
        <f t="shared" ref="I334:I339" si="97">ROUND(D334-E334+G334+F334,0)</f>
        <v>0</v>
      </c>
      <c r="J334" s="84"/>
      <c r="K334" s="57">
        <f t="shared" ref="K334:K339" si="98">ROUND(SUM(A334),0)</f>
        <v>0</v>
      </c>
      <c r="M334" s="197" t="str">
        <f t="shared" ref="M334:M339" si="99">CONCATENATE(B334,C334)</f>
        <v>7455/0040</v>
      </c>
      <c r="N334" s="79"/>
      <c r="P334" s="80"/>
      <c r="Q334" s="60"/>
      <c r="R334" s="34"/>
    </row>
    <row r="335" spans="1:18" x14ac:dyDescent="0.2">
      <c r="A335" s="394"/>
      <c r="B335" s="114" t="s">
        <v>1254</v>
      </c>
      <c r="C335" s="430">
        <f>TrialBalance!C335</f>
        <v>0</v>
      </c>
      <c r="D335" s="436"/>
      <c r="E335" s="435"/>
      <c r="F335" s="88">
        <f t="shared" si="96"/>
        <v>0</v>
      </c>
      <c r="G335" s="56">
        <f>SUMIF(JournalsC!D$14:D$920,TrialBalanceC!M335,JournalsC!J$14:J$920)+SUMIF(JournalsC!E$14:E$920,TrialBalanceC!M335,JournalsC!J$14:J$920)</f>
        <v>0</v>
      </c>
      <c r="H335" s="443"/>
      <c r="I335" s="448">
        <f t="shared" si="97"/>
        <v>0</v>
      </c>
      <c r="J335" s="84"/>
      <c r="K335" s="57">
        <f t="shared" si="98"/>
        <v>0</v>
      </c>
      <c r="M335" s="197" t="str">
        <f t="shared" si="99"/>
        <v>7455/0050</v>
      </c>
      <c r="N335" s="79"/>
      <c r="P335" s="80"/>
      <c r="Q335" s="60"/>
      <c r="R335" s="34"/>
    </row>
    <row r="336" spans="1:18" x14ac:dyDescent="0.2">
      <c r="A336" s="394"/>
      <c r="B336" s="114" t="s">
        <v>1255</v>
      </c>
      <c r="C336" s="430">
        <f>TrialBalance!C336</f>
        <v>0</v>
      </c>
      <c r="D336" s="436"/>
      <c r="E336" s="435"/>
      <c r="F336" s="88">
        <f t="shared" si="96"/>
        <v>0</v>
      </c>
      <c r="G336" s="56">
        <f>SUMIF(JournalsC!D$14:D$920,TrialBalanceC!M336,JournalsC!J$14:J$920)+SUMIF(JournalsC!E$14:E$920,TrialBalanceC!M336,JournalsC!J$14:J$920)</f>
        <v>0</v>
      </c>
      <c r="H336" s="443"/>
      <c r="I336" s="448">
        <f t="shared" si="97"/>
        <v>0</v>
      </c>
      <c r="J336" s="84"/>
      <c r="K336" s="57">
        <f t="shared" si="98"/>
        <v>0</v>
      </c>
      <c r="M336" s="197" t="str">
        <f t="shared" si="99"/>
        <v>7455/0060</v>
      </c>
      <c r="N336" s="79"/>
      <c r="P336" s="80"/>
      <c r="Q336" s="60"/>
      <c r="R336" s="34"/>
    </row>
    <row r="337" spans="1:18" x14ac:dyDescent="0.2">
      <c r="A337" s="394"/>
      <c r="B337" s="114" t="s">
        <v>1256</v>
      </c>
      <c r="C337" s="430">
        <f>TrialBalance!C337</f>
        <v>0</v>
      </c>
      <c r="D337" s="436"/>
      <c r="E337" s="435"/>
      <c r="F337" s="88">
        <f t="shared" si="96"/>
        <v>0</v>
      </c>
      <c r="G337" s="56">
        <f>SUMIF(JournalsC!D$14:D$920,TrialBalanceC!M337,JournalsC!J$14:J$920)+SUMIF(JournalsC!E$14:E$920,TrialBalanceC!M337,JournalsC!J$14:J$920)</f>
        <v>0</v>
      </c>
      <c r="H337" s="443"/>
      <c r="I337" s="448">
        <f t="shared" si="97"/>
        <v>0</v>
      </c>
      <c r="J337" s="84"/>
      <c r="K337" s="57">
        <f t="shared" si="98"/>
        <v>0</v>
      </c>
      <c r="M337" s="197" t="str">
        <f t="shared" si="99"/>
        <v>7455/0070</v>
      </c>
      <c r="N337" s="79"/>
      <c r="P337" s="80"/>
      <c r="Q337" s="60"/>
      <c r="R337" s="34"/>
    </row>
    <row r="338" spans="1:18" x14ac:dyDescent="0.2">
      <c r="A338" s="394"/>
      <c r="B338" s="114" t="s">
        <v>1257</v>
      </c>
      <c r="C338" s="430">
        <f>TrialBalance!C338</f>
        <v>0</v>
      </c>
      <c r="D338" s="436"/>
      <c r="E338" s="435"/>
      <c r="F338" s="88">
        <f t="shared" si="96"/>
        <v>0</v>
      </c>
      <c r="G338" s="56">
        <f>SUMIF(JournalsC!D$14:D$920,TrialBalanceC!M338,JournalsC!J$14:J$920)+SUMIF(JournalsC!E$14:E$920,TrialBalanceC!M338,JournalsC!J$14:J$920)</f>
        <v>0</v>
      </c>
      <c r="H338" s="443"/>
      <c r="I338" s="448">
        <f t="shared" si="97"/>
        <v>0</v>
      </c>
      <c r="J338" s="84"/>
      <c r="K338" s="57">
        <f t="shared" si="98"/>
        <v>0</v>
      </c>
      <c r="M338" s="197" t="str">
        <f t="shared" si="99"/>
        <v>7455/0080</v>
      </c>
      <c r="N338" s="79"/>
      <c r="P338" s="80"/>
      <c r="Q338" s="60"/>
      <c r="R338" s="34"/>
    </row>
    <row r="339" spans="1:18" x14ac:dyDescent="0.2">
      <c r="A339" s="394"/>
      <c r="B339" s="114" t="s">
        <v>1258</v>
      </c>
      <c r="C339" s="430">
        <f>TrialBalance!C339</f>
        <v>0</v>
      </c>
      <c r="D339" s="436"/>
      <c r="E339" s="435"/>
      <c r="F339" s="88">
        <f t="shared" si="96"/>
        <v>0</v>
      </c>
      <c r="G339" s="56">
        <f>SUMIF(JournalsC!D$14:D$920,TrialBalanceC!M339,JournalsC!J$14:J$920)+SUMIF(JournalsC!E$14:E$920,TrialBalanceC!M339,JournalsC!J$14:J$920)</f>
        <v>0</v>
      </c>
      <c r="H339" s="443"/>
      <c r="I339" s="448">
        <f t="shared" si="97"/>
        <v>0</v>
      </c>
      <c r="J339" s="84"/>
      <c r="K339" s="57">
        <f t="shared" si="98"/>
        <v>0</v>
      </c>
      <c r="M339" s="197" t="str">
        <f t="shared" si="99"/>
        <v>7455/0090</v>
      </c>
      <c r="N339" s="79"/>
      <c r="P339" s="80"/>
      <c r="Q339" s="60"/>
      <c r="R339" s="34"/>
    </row>
    <row r="340" spans="1:18" x14ac:dyDescent="0.2">
      <c r="A340" s="394"/>
      <c r="B340" s="114" t="s">
        <v>1259</v>
      </c>
      <c r="C340" s="430">
        <f>TrialBalance!C340</f>
        <v>0</v>
      </c>
      <c r="D340" s="436"/>
      <c r="E340" s="435"/>
      <c r="F340" s="88">
        <f t="shared" si="77"/>
        <v>0</v>
      </c>
      <c r="G340" s="56">
        <f>SUMIF(JournalsC!D$14:D$920,TrialBalanceC!M340,JournalsC!J$14:J$920)+SUMIF(JournalsC!E$14:E$920,TrialBalanceC!M340,JournalsC!J$14:J$920)</f>
        <v>0</v>
      </c>
      <c r="H340" s="443"/>
      <c r="I340" s="448">
        <f t="shared" si="68"/>
        <v>0</v>
      </c>
      <c r="J340" s="84"/>
      <c r="K340" s="57">
        <f t="shared" si="72"/>
        <v>0</v>
      </c>
      <c r="M340" s="197" t="str">
        <f t="shared" si="73"/>
        <v>7455/0100</v>
      </c>
      <c r="N340" s="79"/>
      <c r="P340" s="80"/>
      <c r="Q340" s="60"/>
      <c r="R340" s="34"/>
    </row>
    <row r="341" spans="1:18" x14ac:dyDescent="0.2">
      <c r="A341" s="394"/>
      <c r="B341" s="63" t="s">
        <v>353</v>
      </c>
      <c r="C341" s="396" t="s">
        <v>929</v>
      </c>
      <c r="D341" s="428"/>
      <c r="E341" s="435"/>
      <c r="F341" s="88"/>
      <c r="G341" s="56">
        <f>SUMIF(JournalsC!D$14:D$920,TrialBalanceC!M341,JournalsC!J$14:J$920)+SUMIF(JournalsC!E$14:E$920,TrialBalanceC!M341,JournalsC!J$14:J$920)</f>
        <v>0</v>
      </c>
      <c r="H341" s="443"/>
      <c r="I341" s="448">
        <f t="shared" si="68"/>
        <v>0</v>
      </c>
      <c r="J341" s="84"/>
      <c r="K341" s="57">
        <f t="shared" si="72"/>
        <v>0</v>
      </c>
      <c r="M341" s="197" t="str">
        <f t="shared" si="73"/>
        <v>7460/000OTHER NON - CURRENT RECEIVABLES</v>
      </c>
      <c r="N341" s="79"/>
      <c r="P341" s="80"/>
      <c r="Q341" s="60"/>
      <c r="R341" s="34"/>
    </row>
    <row r="342" spans="1:18" x14ac:dyDescent="0.2">
      <c r="A342" s="394"/>
      <c r="B342" s="63" t="s">
        <v>353</v>
      </c>
      <c r="C342" s="396" t="s">
        <v>788</v>
      </c>
      <c r="D342" s="428"/>
      <c r="E342" s="435"/>
      <c r="F342" s="88"/>
      <c r="G342" s="56">
        <f>SUMIF(JournalsC!D$14:D$920,TrialBalanceC!M342,JournalsC!J$14:J$920)+SUMIF(JournalsC!E$14:E$920,TrialBalanceC!M342,JournalsC!J$14:J$920)</f>
        <v>0</v>
      </c>
      <c r="H342" s="443"/>
      <c r="I342" s="448">
        <f t="shared" ref="I342" si="100">ROUND(D342-E342+G342+F342,0)</f>
        <v>0</v>
      </c>
      <c r="J342" s="84"/>
      <c r="K342" s="57">
        <f t="shared" ref="K342" si="101">ROUND(SUM(A342),0)</f>
        <v>0</v>
      </c>
      <c r="M342" s="197" t="str">
        <f t="shared" ref="M342" si="102">CONCATENATE(B342,C342)</f>
        <v>7460/000Interest bearing</v>
      </c>
      <c r="N342" s="79"/>
      <c r="P342" s="80"/>
      <c r="Q342" s="60"/>
      <c r="R342" s="34"/>
    </row>
    <row r="343" spans="1:18" x14ac:dyDescent="0.2">
      <c r="A343" s="394"/>
      <c r="B343" s="63" t="s">
        <v>355</v>
      </c>
      <c r="C343" s="430">
        <f>TrialBalance!C343</f>
        <v>0</v>
      </c>
      <c r="D343" s="435"/>
      <c r="E343" s="435"/>
      <c r="F343" s="88">
        <f t="shared" si="77"/>
        <v>0</v>
      </c>
      <c r="G343" s="56">
        <f>SUMIF(JournalsC!D$14:D$920,TrialBalanceC!M343,JournalsC!J$14:J$920)+SUMIF(JournalsC!E$14:E$920,TrialBalanceC!M343,JournalsC!J$14:J$920)</f>
        <v>0</v>
      </c>
      <c r="H343" s="443"/>
      <c r="I343" s="448">
        <f t="shared" si="68"/>
        <v>0</v>
      </c>
      <c r="J343" s="84"/>
      <c r="K343" s="57">
        <f t="shared" si="72"/>
        <v>0</v>
      </c>
      <c r="M343" s="197" t="str">
        <f t="shared" si="73"/>
        <v>7460/0010</v>
      </c>
      <c r="N343" s="79"/>
      <c r="P343" s="80"/>
      <c r="Q343" s="60"/>
      <c r="R343" s="34"/>
    </row>
    <row r="344" spans="1:18" x14ac:dyDescent="0.2">
      <c r="A344" s="394"/>
      <c r="B344" s="63" t="s">
        <v>356</v>
      </c>
      <c r="C344" s="430">
        <f>TrialBalance!C344</f>
        <v>0</v>
      </c>
      <c r="D344" s="435"/>
      <c r="E344" s="435"/>
      <c r="F344" s="88">
        <f t="shared" ref="F344" si="103">K344</f>
        <v>0</v>
      </c>
      <c r="G344" s="56">
        <f>SUMIF(JournalsC!D$14:D$920,TrialBalanceC!M344,JournalsC!J$14:J$920)+SUMIF(JournalsC!E$14:E$920,TrialBalanceC!M344,JournalsC!J$14:J$920)</f>
        <v>0</v>
      </c>
      <c r="H344" s="443"/>
      <c r="I344" s="448">
        <f t="shared" ref="I344" si="104">ROUND(D344-E344+G344+F344,0)</f>
        <v>0</v>
      </c>
      <c r="J344" s="84"/>
      <c r="K344" s="57">
        <f t="shared" ref="K344" si="105">ROUND(SUM(A344),0)</f>
        <v>0</v>
      </c>
      <c r="M344" s="197" t="str">
        <f t="shared" ref="M344" si="106">CONCATENATE(B344,C344)</f>
        <v>7460/0020</v>
      </c>
      <c r="N344" s="79"/>
      <c r="P344" s="80"/>
      <c r="Q344" s="60"/>
      <c r="R344" s="34"/>
    </row>
    <row r="345" spans="1:18" x14ac:dyDescent="0.2">
      <c r="A345" s="394"/>
      <c r="B345" s="63" t="s">
        <v>357</v>
      </c>
      <c r="C345" s="430">
        <f>TrialBalance!C345</f>
        <v>0</v>
      </c>
      <c r="D345" s="436"/>
      <c r="E345" s="435"/>
      <c r="F345" s="88">
        <f t="shared" si="77"/>
        <v>0</v>
      </c>
      <c r="G345" s="56">
        <f>SUMIF(JournalsC!D$14:D$920,TrialBalanceC!M345,JournalsC!J$14:J$920)+SUMIF(JournalsC!E$14:E$920,TrialBalanceC!M345,JournalsC!J$14:J$920)</f>
        <v>0</v>
      </c>
      <c r="H345" s="443"/>
      <c r="I345" s="448">
        <f t="shared" si="68"/>
        <v>0</v>
      </c>
      <c r="J345" s="84"/>
      <c r="K345" s="57">
        <f t="shared" si="72"/>
        <v>0</v>
      </c>
      <c r="M345" s="197" t="str">
        <f t="shared" si="73"/>
        <v>7460/0030</v>
      </c>
      <c r="N345" s="79"/>
      <c r="P345" s="80"/>
      <c r="Q345" s="60"/>
      <c r="R345" s="34"/>
    </row>
    <row r="346" spans="1:18" x14ac:dyDescent="0.2">
      <c r="A346" s="394"/>
      <c r="B346" s="114" t="s">
        <v>747</v>
      </c>
      <c r="C346" s="430">
        <f>TrialBalance!C346</f>
        <v>0</v>
      </c>
      <c r="D346" s="436"/>
      <c r="E346" s="435"/>
      <c r="F346" s="88">
        <f t="shared" si="77"/>
        <v>0</v>
      </c>
      <c r="G346" s="56">
        <f>SUMIF(JournalsC!D$14:D$920,TrialBalanceC!M346,JournalsC!J$14:J$920)+SUMIF(JournalsC!E$14:E$920,TrialBalanceC!M346,JournalsC!J$14:J$920)</f>
        <v>0</v>
      </c>
      <c r="H346" s="443"/>
      <c r="I346" s="448">
        <f t="shared" si="68"/>
        <v>0</v>
      </c>
      <c r="J346" s="84"/>
      <c r="K346" s="57">
        <f t="shared" si="72"/>
        <v>0</v>
      </c>
      <c r="M346" s="197" t="str">
        <f t="shared" si="73"/>
        <v>7460/0040</v>
      </c>
      <c r="N346" s="79"/>
      <c r="P346" s="80"/>
      <c r="Q346" s="60"/>
      <c r="R346" s="34"/>
    </row>
    <row r="347" spans="1:18" x14ac:dyDescent="0.2">
      <c r="A347" s="394"/>
      <c r="B347" s="63" t="s">
        <v>353</v>
      </c>
      <c r="C347" s="398" t="s">
        <v>787</v>
      </c>
      <c r="D347" s="436"/>
      <c r="E347" s="435"/>
      <c r="F347" s="88"/>
      <c r="G347" s="56">
        <f>SUMIF(JournalsC!D$14:D$920,TrialBalanceC!M347,JournalsC!J$14:J$920)+SUMIF(JournalsC!E$14:E$920,TrialBalanceC!M347,JournalsC!J$14:J$920)</f>
        <v>0</v>
      </c>
      <c r="H347" s="443"/>
      <c r="I347" s="448">
        <f t="shared" ref="I347" si="107">ROUND(D347-E347+G347+F347,0)</f>
        <v>0</v>
      </c>
      <c r="J347" s="84"/>
      <c r="K347" s="57">
        <f t="shared" ref="K347" si="108">ROUND(SUM(A347),0)</f>
        <v>0</v>
      </c>
      <c r="M347" s="197" t="str">
        <f t="shared" ref="M347" si="109">CONCATENATE(B347,C347)</f>
        <v>7460/000Interest free</v>
      </c>
      <c r="N347" s="79"/>
      <c r="P347" s="80"/>
      <c r="Q347" s="60"/>
      <c r="R347" s="34"/>
    </row>
    <row r="348" spans="1:18" x14ac:dyDescent="0.2">
      <c r="A348" s="394"/>
      <c r="B348" s="114" t="s">
        <v>747</v>
      </c>
      <c r="C348" s="430">
        <f>TrialBalance!C348</f>
        <v>0</v>
      </c>
      <c r="D348" s="436"/>
      <c r="E348" s="435"/>
      <c r="F348" s="88">
        <f t="shared" si="77"/>
        <v>0</v>
      </c>
      <c r="G348" s="56">
        <f>SUMIF(JournalsC!D$14:D$920,TrialBalanceC!M348,JournalsC!J$14:J$920)+SUMIF(JournalsC!E$14:E$920,TrialBalanceC!M348,JournalsC!J$14:J$920)</f>
        <v>0</v>
      </c>
      <c r="H348" s="443"/>
      <c r="I348" s="448">
        <f t="shared" si="68"/>
        <v>0</v>
      </c>
      <c r="J348" s="84"/>
      <c r="K348" s="57">
        <f t="shared" si="72"/>
        <v>0</v>
      </c>
      <c r="M348" s="197" t="str">
        <f t="shared" si="73"/>
        <v>7460/0040</v>
      </c>
      <c r="N348" s="79"/>
      <c r="P348" s="80"/>
      <c r="Q348" s="60"/>
      <c r="R348" s="34"/>
    </row>
    <row r="349" spans="1:18" x14ac:dyDescent="0.2">
      <c r="A349" s="394"/>
      <c r="B349" s="114" t="s">
        <v>748</v>
      </c>
      <c r="C349" s="430">
        <f>TrialBalance!C349</f>
        <v>0</v>
      </c>
      <c r="D349" s="436"/>
      <c r="E349" s="435"/>
      <c r="F349" s="88">
        <f t="shared" si="77"/>
        <v>0</v>
      </c>
      <c r="G349" s="56">
        <f>SUMIF(JournalsC!D$14:D$920,TrialBalanceC!M349,JournalsC!J$14:J$920)+SUMIF(JournalsC!E$14:E$920,TrialBalanceC!M349,JournalsC!J$14:J$920)</f>
        <v>0</v>
      </c>
      <c r="H349" s="443"/>
      <c r="I349" s="448">
        <f t="shared" si="68"/>
        <v>0</v>
      </c>
      <c r="J349" s="84"/>
      <c r="K349" s="57">
        <f t="shared" si="72"/>
        <v>0</v>
      </c>
      <c r="M349" s="197" t="str">
        <f t="shared" si="73"/>
        <v>7460/0050</v>
      </c>
      <c r="N349" s="79"/>
      <c r="P349" s="80"/>
      <c r="Q349" s="60"/>
      <c r="R349" s="34"/>
    </row>
    <row r="350" spans="1:18" x14ac:dyDescent="0.2">
      <c r="A350" s="394"/>
      <c r="B350" s="114" t="s">
        <v>358</v>
      </c>
      <c r="C350" s="430">
        <f>TrialBalance!C350</f>
        <v>0</v>
      </c>
      <c r="D350" s="436"/>
      <c r="E350" s="435"/>
      <c r="F350" s="88">
        <f>K350</f>
        <v>0</v>
      </c>
      <c r="G350" s="56">
        <f>SUMIF(JournalsC!D$14:D$920,TrialBalanceC!M350,JournalsC!J$14:J$920)+SUMIF(JournalsC!E$14:E$920,TrialBalanceC!M350,JournalsC!J$14:J$920)</f>
        <v>0</v>
      </c>
      <c r="H350" s="443"/>
      <c r="I350" s="448">
        <f t="shared" si="68"/>
        <v>0</v>
      </c>
      <c r="J350" s="84"/>
      <c r="K350" s="57">
        <f t="shared" si="72"/>
        <v>0</v>
      </c>
      <c r="M350" s="197" t="str">
        <f t="shared" si="73"/>
        <v>7460/0060</v>
      </c>
      <c r="N350" s="79"/>
      <c r="P350" s="80"/>
      <c r="Q350" s="60"/>
      <c r="R350" s="34"/>
    </row>
    <row r="351" spans="1:18" x14ac:dyDescent="0.2">
      <c r="A351" s="394"/>
      <c r="B351" s="114" t="s">
        <v>359</v>
      </c>
      <c r="C351" s="430">
        <f>TrialBalance!C351</f>
        <v>0</v>
      </c>
      <c r="D351" s="436"/>
      <c r="E351" s="435"/>
      <c r="F351" s="88">
        <f>K351</f>
        <v>0</v>
      </c>
      <c r="G351" s="56">
        <f>SUMIF(JournalsC!D$14:D$920,TrialBalanceC!M351,JournalsC!J$14:J$920)+SUMIF(JournalsC!E$14:E$920,TrialBalanceC!M351,JournalsC!J$14:J$920)</f>
        <v>0</v>
      </c>
      <c r="H351" s="443"/>
      <c r="I351" s="448">
        <f t="shared" si="68"/>
        <v>0</v>
      </c>
      <c r="J351" s="84"/>
      <c r="K351" s="57">
        <f t="shared" si="72"/>
        <v>0</v>
      </c>
      <c r="M351" s="197" t="str">
        <f t="shared" si="73"/>
        <v>7460/0070</v>
      </c>
      <c r="N351" s="79"/>
      <c r="P351" s="80"/>
      <c r="Q351" s="60"/>
      <c r="R351" s="34"/>
    </row>
    <row r="352" spans="1:18" x14ac:dyDescent="0.2">
      <c r="A352" s="394"/>
      <c r="B352" s="114" t="s">
        <v>591</v>
      </c>
      <c r="C352" s="430">
        <f>TrialBalance!C352</f>
        <v>0</v>
      </c>
      <c r="D352" s="436"/>
      <c r="E352" s="435"/>
      <c r="F352" s="88">
        <f>K352</f>
        <v>0</v>
      </c>
      <c r="G352" s="56">
        <f>SUMIF(JournalsC!D$14:D$920,TrialBalanceC!M352,JournalsC!J$14:J$920)+SUMIF(JournalsC!E$14:E$920,TrialBalanceC!M352,JournalsC!J$14:J$920)</f>
        <v>0</v>
      </c>
      <c r="H352" s="443"/>
      <c r="I352" s="448">
        <f t="shared" si="68"/>
        <v>0</v>
      </c>
      <c r="J352" s="84"/>
      <c r="K352" s="57">
        <f t="shared" si="72"/>
        <v>0</v>
      </c>
      <c r="M352" s="197" t="str">
        <f t="shared" si="73"/>
        <v>7460/0080</v>
      </c>
      <c r="N352" s="79"/>
      <c r="P352" s="80"/>
      <c r="Q352" s="60"/>
      <c r="R352" s="34"/>
    </row>
    <row r="353" spans="1:18" x14ac:dyDescent="0.2">
      <c r="A353" s="394"/>
      <c r="B353" s="63" t="s">
        <v>492</v>
      </c>
      <c r="C353" s="397" t="s">
        <v>58</v>
      </c>
      <c r="D353" s="437"/>
      <c r="E353" s="435"/>
      <c r="F353" s="88"/>
      <c r="G353" s="56">
        <f>SUMIF(JournalsC!D$14:D$920,TrialBalanceC!M353,JournalsC!J$14:J$920)+SUMIF(JournalsC!E$14:E$920,TrialBalanceC!M353,JournalsC!J$14:J$920)</f>
        <v>0</v>
      </c>
      <c r="H353" s="443"/>
      <c r="I353" s="448">
        <f t="shared" si="68"/>
        <v>0</v>
      </c>
      <c r="J353" s="84"/>
      <c r="K353" s="57">
        <f t="shared" si="72"/>
        <v>0</v>
      </c>
      <c r="M353" s="197" t="str">
        <f t="shared" si="73"/>
        <v>7500/000INVENTORY</v>
      </c>
      <c r="N353" s="79"/>
      <c r="P353" s="80"/>
      <c r="Q353" s="60"/>
      <c r="R353" s="34"/>
    </row>
    <row r="354" spans="1:18" x14ac:dyDescent="0.2">
      <c r="A354" s="394"/>
      <c r="B354" s="63" t="s">
        <v>493</v>
      </c>
      <c r="C354" s="395" t="s">
        <v>494</v>
      </c>
      <c r="D354" s="436"/>
      <c r="E354" s="435"/>
      <c r="F354" s="88">
        <f t="shared" si="77"/>
        <v>0</v>
      </c>
      <c r="G354" s="56">
        <f>SUMIF(JournalsC!D$14:D$920,TrialBalanceC!M354,JournalsC!J$14:J$920)+SUMIF(JournalsC!E$14:E$920,TrialBalanceC!M354,JournalsC!J$14:J$920)</f>
        <v>0</v>
      </c>
      <c r="H354" s="443"/>
      <c r="I354" s="448">
        <f t="shared" si="68"/>
        <v>0</v>
      </c>
      <c r="J354" s="84"/>
      <c r="K354" s="57">
        <f t="shared" si="72"/>
        <v>0</v>
      </c>
      <c r="M354" s="197" t="str">
        <f t="shared" si="73"/>
        <v>7500/001Raw materials</v>
      </c>
      <c r="N354" s="79"/>
      <c r="P354" s="80"/>
      <c r="Q354" s="60"/>
      <c r="R354" s="34"/>
    </row>
    <row r="355" spans="1:18" x14ac:dyDescent="0.2">
      <c r="A355" s="394"/>
      <c r="B355" s="63" t="s">
        <v>23</v>
      </c>
      <c r="C355" s="395" t="s">
        <v>24</v>
      </c>
      <c r="D355" s="436"/>
      <c r="E355" s="435"/>
      <c r="F355" s="88">
        <f t="shared" si="77"/>
        <v>0</v>
      </c>
      <c r="G355" s="56">
        <f>SUMIF(JournalsC!D$14:D$920,TrialBalanceC!M355,JournalsC!J$14:J$920)+SUMIF(JournalsC!E$14:E$920,TrialBalanceC!M355,JournalsC!J$14:J$920)</f>
        <v>0</v>
      </c>
      <c r="H355" s="443"/>
      <c r="I355" s="448">
        <f t="shared" ref="I355:I400" si="110">ROUND(D355-E355+G355+F355,0)</f>
        <v>0</v>
      </c>
      <c r="J355" s="84"/>
      <c r="K355" s="57">
        <f t="shared" si="72"/>
        <v>0</v>
      </c>
      <c r="M355" s="197" t="str">
        <f t="shared" si="73"/>
        <v>7500/002Work in progress</v>
      </c>
      <c r="N355" s="79"/>
      <c r="P355" s="80"/>
      <c r="Q355" s="60"/>
      <c r="R355" s="34"/>
    </row>
    <row r="356" spans="1:18" x14ac:dyDescent="0.2">
      <c r="A356" s="394"/>
      <c r="B356" s="63" t="s">
        <v>25</v>
      </c>
      <c r="C356" s="395" t="s">
        <v>26</v>
      </c>
      <c r="D356" s="436"/>
      <c r="E356" s="435"/>
      <c r="F356" s="88">
        <f t="shared" si="77"/>
        <v>0</v>
      </c>
      <c r="G356" s="56">
        <f>SUMIF(JournalsC!D$14:D$920,TrialBalanceC!M356,JournalsC!J$14:J$920)+SUMIF(JournalsC!E$14:E$920,TrialBalanceC!M356,JournalsC!J$14:J$920)</f>
        <v>0</v>
      </c>
      <c r="H356" s="443"/>
      <c r="I356" s="448">
        <f t="shared" si="110"/>
        <v>0</v>
      </c>
      <c r="J356" s="84"/>
      <c r="K356" s="57">
        <f t="shared" si="72"/>
        <v>0</v>
      </c>
      <c r="M356" s="197" t="str">
        <f t="shared" si="73"/>
        <v>7500/003Finished goods</v>
      </c>
      <c r="N356" s="79"/>
      <c r="P356" s="80"/>
      <c r="Q356" s="60"/>
      <c r="R356" s="34"/>
    </row>
    <row r="357" spans="1:18" x14ac:dyDescent="0.2">
      <c r="A357" s="394"/>
      <c r="B357" s="63" t="s">
        <v>29</v>
      </c>
      <c r="C357" s="395" t="s">
        <v>30</v>
      </c>
      <c r="D357" s="436"/>
      <c r="E357" s="435"/>
      <c r="F357" s="88">
        <f t="shared" si="77"/>
        <v>0</v>
      </c>
      <c r="G357" s="56">
        <f>SUMIF(JournalsC!D$14:D$920,TrialBalanceC!M357,JournalsC!J$14:J$920)+SUMIF(JournalsC!E$14:E$920,TrialBalanceC!M357,JournalsC!J$14:J$920)</f>
        <v>0</v>
      </c>
      <c r="H357" s="443"/>
      <c r="I357" s="448">
        <f t="shared" si="110"/>
        <v>0</v>
      </c>
      <c r="J357" s="84"/>
      <c r="K357" s="57">
        <f t="shared" si="72"/>
        <v>0</v>
      </c>
      <c r="M357" s="197" t="str">
        <f t="shared" si="73"/>
        <v>7500/004Trading stock</v>
      </c>
      <c r="N357" s="79"/>
      <c r="P357" s="80"/>
      <c r="Q357" s="60"/>
      <c r="R357" s="34"/>
    </row>
    <row r="358" spans="1:18" x14ac:dyDescent="0.2">
      <c r="A358" s="394"/>
      <c r="B358" s="63" t="s">
        <v>32</v>
      </c>
      <c r="C358" s="397" t="s">
        <v>33</v>
      </c>
      <c r="D358" s="437"/>
      <c r="E358" s="435"/>
      <c r="F358" s="88"/>
      <c r="G358" s="56">
        <f>SUMIF(JournalsC!D$14:D$920,TrialBalanceC!M358,JournalsC!J$14:J$920)+SUMIF(JournalsC!E$14:E$920,TrialBalanceC!M358,JournalsC!J$14:J$920)</f>
        <v>0</v>
      </c>
      <c r="H358" s="443"/>
      <c r="I358" s="448">
        <f t="shared" si="110"/>
        <v>0</v>
      </c>
      <c r="J358" s="84"/>
      <c r="K358" s="57">
        <f t="shared" si="72"/>
        <v>0</v>
      </c>
      <c r="M358" s="197" t="str">
        <f t="shared" si="73"/>
        <v>8000/000DEBTORS</v>
      </c>
      <c r="N358" s="79"/>
      <c r="P358" s="80"/>
      <c r="Q358" s="60"/>
      <c r="R358" s="34"/>
    </row>
    <row r="359" spans="1:18" x14ac:dyDescent="0.2">
      <c r="A359" s="394"/>
      <c r="B359" s="63" t="s">
        <v>34</v>
      </c>
      <c r="C359" s="395" t="s">
        <v>35</v>
      </c>
      <c r="D359" s="436"/>
      <c r="E359" s="435"/>
      <c r="F359" s="88">
        <f t="shared" si="77"/>
        <v>0</v>
      </c>
      <c r="G359" s="56">
        <f>SUMIF(JournalsC!D$14:D$920,TrialBalanceC!M359,JournalsC!J$14:J$920)+SUMIF(JournalsC!E$14:E$920,TrialBalanceC!M359,JournalsC!J$14:J$920)</f>
        <v>0</v>
      </c>
      <c r="H359" s="443"/>
      <c r="I359" s="448">
        <f t="shared" si="110"/>
        <v>0</v>
      </c>
      <c r="J359" s="84"/>
      <c r="K359" s="57">
        <f t="shared" si="72"/>
        <v>0</v>
      </c>
      <c r="M359" s="197" t="str">
        <f t="shared" si="73"/>
        <v>8010/000Trade debtors</v>
      </c>
      <c r="N359" s="79"/>
      <c r="P359" s="80"/>
      <c r="Q359" s="60"/>
      <c r="R359" s="34"/>
    </row>
    <row r="360" spans="1:18" x14ac:dyDescent="0.2">
      <c r="A360" s="394"/>
      <c r="B360" s="114" t="s">
        <v>36</v>
      </c>
      <c r="C360" s="398" t="s">
        <v>689</v>
      </c>
      <c r="D360" s="436"/>
      <c r="E360" s="435"/>
      <c r="F360" s="88">
        <f t="shared" si="77"/>
        <v>0</v>
      </c>
      <c r="G360" s="56">
        <f>SUMIF(JournalsC!D$14:D$920,TrialBalanceC!M360,JournalsC!J$14:J$920)+SUMIF(JournalsC!E$14:E$920,TrialBalanceC!M360,JournalsC!J$14:J$920)</f>
        <v>0</v>
      </c>
      <c r="H360" s="443"/>
      <c r="I360" s="448">
        <f t="shared" si="110"/>
        <v>0</v>
      </c>
      <c r="J360" s="84"/>
      <c r="K360" s="57">
        <f t="shared" si="72"/>
        <v>0</v>
      </c>
      <c r="M360" s="197" t="str">
        <f t="shared" si="73"/>
        <v>8020/000Less: Provision for doubtful debts</v>
      </c>
      <c r="N360" s="79"/>
      <c r="P360" s="80"/>
      <c r="Q360" s="60"/>
      <c r="R360" s="34"/>
    </row>
    <row r="361" spans="1:18" x14ac:dyDescent="0.2">
      <c r="A361" s="394"/>
      <c r="B361" s="114" t="s">
        <v>691</v>
      </c>
      <c r="C361" s="395" t="s">
        <v>394</v>
      </c>
      <c r="D361" s="436"/>
      <c r="E361" s="435"/>
      <c r="F361" s="88">
        <f t="shared" si="77"/>
        <v>0</v>
      </c>
      <c r="G361" s="56">
        <f>SUMIF(JournalsC!D$14:D$920,TrialBalanceC!M361,JournalsC!J$14:J$920)+SUMIF(JournalsC!E$14:E$920,TrialBalanceC!M361,JournalsC!J$14:J$920)</f>
        <v>0</v>
      </c>
      <c r="H361" s="443"/>
      <c r="I361" s="448">
        <f t="shared" si="110"/>
        <v>0</v>
      </c>
      <c r="J361" s="84"/>
      <c r="K361" s="57">
        <f t="shared" si="72"/>
        <v>0</v>
      </c>
      <c r="M361" s="197" t="str">
        <f t="shared" si="73"/>
        <v>8030/000Service deposits</v>
      </c>
      <c r="N361" s="79"/>
      <c r="P361" s="80"/>
      <c r="Q361" s="60"/>
      <c r="R361" s="34"/>
    </row>
    <row r="362" spans="1:18" x14ac:dyDescent="0.2">
      <c r="A362" s="394"/>
      <c r="B362" s="63" t="s">
        <v>554</v>
      </c>
      <c r="C362" s="398" t="s">
        <v>1034</v>
      </c>
      <c r="D362" s="436"/>
      <c r="E362" s="435"/>
      <c r="F362" s="88">
        <f t="shared" si="77"/>
        <v>0</v>
      </c>
      <c r="G362" s="56">
        <f>SUMIF(JournalsC!D$14:D$920,TrialBalanceC!M362,JournalsC!J$14:J$920)+SUMIF(JournalsC!E$14:E$920,TrialBalanceC!M362,JournalsC!J$14:J$920)</f>
        <v>0</v>
      </c>
      <c r="H362" s="443"/>
      <c r="I362" s="448">
        <f t="shared" si="110"/>
        <v>0</v>
      </c>
      <c r="J362" s="84"/>
      <c r="K362" s="57">
        <f t="shared" si="72"/>
        <v>0</v>
      </c>
      <c r="M362" s="197" t="str">
        <f t="shared" si="73"/>
        <v>8200/000Sundry customers</v>
      </c>
      <c r="N362" s="79"/>
      <c r="P362" s="80"/>
      <c r="Q362" s="60"/>
      <c r="R362" s="34"/>
    </row>
    <row r="363" spans="1:18" x14ac:dyDescent="0.2">
      <c r="A363" s="394"/>
      <c r="B363" s="63" t="s">
        <v>555</v>
      </c>
      <c r="C363" s="395" t="s">
        <v>450</v>
      </c>
      <c r="D363" s="436"/>
      <c r="E363" s="435"/>
      <c r="F363" s="88">
        <f t="shared" si="77"/>
        <v>0</v>
      </c>
      <c r="G363" s="56">
        <f>SUMIF(JournalsC!D$14:D$920,TrialBalanceC!M363,JournalsC!J$14:J$920)+SUMIF(JournalsC!E$14:E$920,TrialBalanceC!M363,JournalsC!J$14:J$920)</f>
        <v>0</v>
      </c>
      <c r="H363" s="443"/>
      <c r="I363" s="448">
        <f t="shared" si="110"/>
        <v>0</v>
      </c>
      <c r="J363" s="84"/>
      <c r="K363" s="57">
        <f t="shared" si="72"/>
        <v>0</v>
      </c>
      <c r="M363" s="197" t="str">
        <f t="shared" si="73"/>
        <v>8200/010Prepayments</v>
      </c>
      <c r="N363" s="79"/>
      <c r="P363" s="80"/>
      <c r="Q363" s="60"/>
      <c r="R363" s="34"/>
    </row>
    <row r="364" spans="1:18" x14ac:dyDescent="0.2">
      <c r="A364" s="394"/>
      <c r="B364" s="63" t="s">
        <v>293</v>
      </c>
      <c r="C364" s="396" t="s">
        <v>657</v>
      </c>
      <c r="D364" s="428"/>
      <c r="E364" s="435"/>
      <c r="F364" s="88">
        <f t="shared" si="77"/>
        <v>0</v>
      </c>
      <c r="G364" s="56">
        <f>SUMIF(JournalsC!D$14:D$920,TrialBalanceC!M364,JournalsC!J$14:J$920)+SUMIF(JournalsC!E$14:E$920,TrialBalanceC!M364,JournalsC!J$14:J$920)</f>
        <v>0</v>
      </c>
      <c r="H364" s="443"/>
      <c r="I364" s="448">
        <f t="shared" si="110"/>
        <v>0</v>
      </c>
      <c r="J364" s="84"/>
      <c r="K364" s="57">
        <f t="shared" si="72"/>
        <v>0</v>
      </c>
      <c r="M364" s="197" t="str">
        <f t="shared" si="73"/>
        <v>8200/020Staff loans</v>
      </c>
      <c r="N364" s="79"/>
      <c r="P364" s="80"/>
      <c r="Q364" s="60"/>
      <c r="R364" s="34"/>
    </row>
    <row r="365" spans="1:18" x14ac:dyDescent="0.2">
      <c r="A365" s="394"/>
      <c r="B365" s="63" t="s">
        <v>294</v>
      </c>
      <c r="C365" s="400" t="s">
        <v>154</v>
      </c>
      <c r="D365" s="426"/>
      <c r="E365" s="435"/>
      <c r="F365" s="88"/>
      <c r="G365" s="56">
        <f>SUMIF(JournalsC!D$14:D$920,TrialBalanceC!M365,JournalsC!J$14:J$920)+SUMIF(JournalsC!E$14:E$920,TrialBalanceC!M365,JournalsC!J$14:J$920)</f>
        <v>0</v>
      </c>
      <c r="H365" s="443"/>
      <c r="I365" s="448">
        <f t="shared" si="110"/>
        <v>0</v>
      </c>
      <c r="J365" s="84"/>
      <c r="K365" s="57">
        <f t="shared" si="72"/>
        <v>0</v>
      </c>
      <c r="M365" s="197" t="str">
        <f t="shared" si="73"/>
        <v>8400/000BANK ACCOUNTS</v>
      </c>
      <c r="N365" s="79"/>
      <c r="P365" s="80"/>
      <c r="Q365" s="60"/>
      <c r="R365" s="34"/>
    </row>
    <row r="366" spans="1:18" x14ac:dyDescent="0.2">
      <c r="A366" s="394"/>
      <c r="B366" s="63" t="s">
        <v>295</v>
      </c>
      <c r="C366" s="430">
        <f>TrialBalance!C366</f>
        <v>0</v>
      </c>
      <c r="D366" s="435"/>
      <c r="E366" s="435"/>
      <c r="F366" s="88">
        <f t="shared" si="77"/>
        <v>0</v>
      </c>
      <c r="G366" s="56">
        <f>SUMIF(JournalsC!D$14:D$920,TrialBalanceC!M366,JournalsC!J$14:J$920)+SUMIF(JournalsC!E$14:E$920,TrialBalanceC!M366,JournalsC!J$14:J$920)</f>
        <v>0</v>
      </c>
      <c r="H366" s="443"/>
      <c r="I366" s="448">
        <f t="shared" si="110"/>
        <v>0</v>
      </c>
      <c r="J366" s="84"/>
      <c r="K366" s="57">
        <f t="shared" si="72"/>
        <v>0</v>
      </c>
      <c r="M366" s="197" t="str">
        <f t="shared" si="73"/>
        <v>8410/0000</v>
      </c>
      <c r="N366" s="79"/>
      <c r="P366" s="80"/>
      <c r="Q366" s="60"/>
      <c r="R366" s="34"/>
    </row>
    <row r="367" spans="1:18" x14ac:dyDescent="0.2">
      <c r="A367" s="394"/>
      <c r="B367" s="63" t="s">
        <v>296</v>
      </c>
      <c r="C367" s="430">
        <f>TrialBalance!C367</f>
        <v>0</v>
      </c>
      <c r="D367" s="435"/>
      <c r="E367" s="435"/>
      <c r="F367" s="88">
        <f t="shared" si="77"/>
        <v>0</v>
      </c>
      <c r="G367" s="56">
        <f>SUMIF(JournalsC!D$14:D$920,TrialBalanceC!M367,JournalsC!J$14:J$920)+SUMIF(JournalsC!E$14:E$920,TrialBalanceC!M367,JournalsC!J$14:J$920)</f>
        <v>0</v>
      </c>
      <c r="H367" s="443"/>
      <c r="I367" s="448">
        <f t="shared" si="110"/>
        <v>0</v>
      </c>
      <c r="J367" s="84"/>
      <c r="K367" s="57">
        <f t="shared" si="72"/>
        <v>0</v>
      </c>
      <c r="M367" s="197" t="str">
        <f t="shared" si="73"/>
        <v>8420/0000</v>
      </c>
      <c r="N367" s="79"/>
      <c r="P367" s="80"/>
      <c r="Q367" s="60"/>
      <c r="R367" s="34"/>
    </row>
    <row r="368" spans="1:18" x14ac:dyDescent="0.2">
      <c r="A368" s="394"/>
      <c r="B368" s="63" t="s">
        <v>297</v>
      </c>
      <c r="C368" s="430">
        <f>TrialBalance!C368</f>
        <v>0</v>
      </c>
      <c r="D368" s="428"/>
      <c r="E368" s="435"/>
      <c r="F368" s="88">
        <f t="shared" si="77"/>
        <v>0</v>
      </c>
      <c r="G368" s="56">
        <f>SUMIF(JournalsC!D$14:D$920,TrialBalanceC!M368,JournalsC!J$14:J$920)+SUMIF(JournalsC!E$14:E$920,TrialBalanceC!M368,JournalsC!J$14:J$920)</f>
        <v>0</v>
      </c>
      <c r="H368" s="443"/>
      <c r="I368" s="448">
        <f t="shared" si="110"/>
        <v>0</v>
      </c>
      <c r="J368" s="84"/>
      <c r="K368" s="57">
        <f t="shared" si="72"/>
        <v>0</v>
      </c>
      <c r="M368" s="197" t="str">
        <f t="shared" si="73"/>
        <v>8430/0000</v>
      </c>
      <c r="N368" s="79"/>
      <c r="P368" s="80"/>
      <c r="Q368" s="60"/>
      <c r="R368" s="34"/>
    </row>
    <row r="369" spans="1:18" x14ac:dyDescent="0.2">
      <c r="A369" s="394"/>
      <c r="B369" s="63" t="s">
        <v>298</v>
      </c>
      <c r="C369" s="430">
        <f>TrialBalance!C369</f>
        <v>0</v>
      </c>
      <c r="D369" s="436"/>
      <c r="E369" s="435"/>
      <c r="F369" s="88">
        <f t="shared" si="77"/>
        <v>0</v>
      </c>
      <c r="G369" s="56">
        <f>SUMIF(JournalsC!D$14:D$920,TrialBalanceC!M369,JournalsC!J$14:J$920)+SUMIF(JournalsC!E$14:E$920,TrialBalanceC!M369,JournalsC!J$14:J$920)</f>
        <v>0</v>
      </c>
      <c r="H369" s="443"/>
      <c r="I369" s="448">
        <f t="shared" si="110"/>
        <v>0</v>
      </c>
      <c r="J369" s="84"/>
      <c r="K369" s="57">
        <f t="shared" si="72"/>
        <v>0</v>
      </c>
      <c r="M369" s="197" t="str">
        <f t="shared" si="73"/>
        <v>8440/0000</v>
      </c>
      <c r="N369" s="79"/>
      <c r="P369" s="80"/>
      <c r="Q369" s="60"/>
      <c r="R369" s="34"/>
    </row>
    <row r="370" spans="1:18" x14ac:dyDescent="0.2">
      <c r="A370" s="394"/>
      <c r="B370" s="63" t="s">
        <v>299</v>
      </c>
      <c r="C370" s="430">
        <f>TrialBalance!C370</f>
        <v>0</v>
      </c>
      <c r="D370" s="436"/>
      <c r="E370" s="435"/>
      <c r="F370" s="88">
        <f t="shared" si="77"/>
        <v>0</v>
      </c>
      <c r="G370" s="56">
        <f>SUMIF(JournalsC!D$14:D$920,TrialBalanceC!M370,JournalsC!J$14:J$920)+SUMIF(JournalsC!E$14:E$920,TrialBalanceC!M370,JournalsC!J$14:J$920)</f>
        <v>0</v>
      </c>
      <c r="H370" s="443"/>
      <c r="I370" s="448">
        <f t="shared" si="110"/>
        <v>0</v>
      </c>
      <c r="J370" s="84"/>
      <c r="K370" s="57">
        <f t="shared" si="72"/>
        <v>0</v>
      </c>
      <c r="M370" s="197" t="str">
        <f t="shared" si="73"/>
        <v>8450/0000</v>
      </c>
      <c r="N370" s="79"/>
      <c r="P370" s="80"/>
      <c r="Q370" s="60"/>
      <c r="R370" s="34"/>
    </row>
    <row r="371" spans="1:18" x14ac:dyDescent="0.2">
      <c r="A371" s="394"/>
      <c r="B371" s="63" t="s">
        <v>155</v>
      </c>
      <c r="C371" s="430">
        <f>TrialBalance!C371</f>
        <v>0</v>
      </c>
      <c r="D371" s="436"/>
      <c r="E371" s="435"/>
      <c r="F371" s="88">
        <f t="shared" si="77"/>
        <v>0</v>
      </c>
      <c r="G371" s="56">
        <f>SUMIF(JournalsC!D$14:D$920,TrialBalanceC!M371,JournalsC!J$14:J$920)+SUMIF(JournalsC!E$14:E$920,TrialBalanceC!M371,JournalsC!J$14:J$920)</f>
        <v>0</v>
      </c>
      <c r="H371" s="443"/>
      <c r="I371" s="448">
        <f t="shared" si="110"/>
        <v>0</v>
      </c>
      <c r="J371" s="84"/>
      <c r="K371" s="57">
        <f t="shared" si="72"/>
        <v>0</v>
      </c>
      <c r="M371" s="197" t="str">
        <f t="shared" si="73"/>
        <v>8460/0000</v>
      </c>
      <c r="N371" s="79"/>
      <c r="P371" s="80"/>
      <c r="Q371" s="60"/>
      <c r="R371" s="34"/>
    </row>
    <row r="372" spans="1:18" x14ac:dyDescent="0.2">
      <c r="A372" s="394"/>
      <c r="B372" s="63" t="s">
        <v>501</v>
      </c>
      <c r="C372" s="402" t="s">
        <v>502</v>
      </c>
      <c r="D372" s="428"/>
      <c r="E372" s="435"/>
      <c r="F372" s="88">
        <f t="shared" si="77"/>
        <v>0</v>
      </c>
      <c r="G372" s="56">
        <f>SUMIF(JournalsC!D$14:D$920,TrialBalanceC!M372,JournalsC!J$14:J$920)+SUMIF(JournalsC!E$14:E$920,TrialBalanceC!M372,JournalsC!J$14:J$920)</f>
        <v>0</v>
      </c>
      <c r="H372" s="443"/>
      <c r="I372" s="448">
        <f t="shared" si="110"/>
        <v>0</v>
      </c>
      <c r="J372" s="84"/>
      <c r="K372" s="57">
        <f t="shared" si="72"/>
        <v>0</v>
      </c>
      <c r="M372" s="197" t="str">
        <f t="shared" si="73"/>
        <v>8500/000Cash on hand</v>
      </c>
      <c r="N372" s="79"/>
      <c r="P372" s="80"/>
      <c r="Q372" s="60"/>
      <c r="R372" s="34"/>
    </row>
    <row r="373" spans="1:18" x14ac:dyDescent="0.2">
      <c r="A373" s="394"/>
      <c r="B373" s="63" t="s">
        <v>503</v>
      </c>
      <c r="C373" s="400" t="s">
        <v>347</v>
      </c>
      <c r="D373" s="426"/>
      <c r="E373" s="435"/>
      <c r="F373" s="88"/>
      <c r="G373" s="56">
        <f>SUMIF(JournalsC!D$14:D$920,TrialBalanceC!M373,JournalsC!J$14:J$920)+SUMIF(JournalsC!E$14:E$920,TrialBalanceC!M373,JournalsC!J$14:J$920)</f>
        <v>0</v>
      </c>
      <c r="H373" s="443"/>
      <c r="I373" s="448">
        <f t="shared" si="110"/>
        <v>0</v>
      </c>
      <c r="J373" s="84"/>
      <c r="K373" s="57">
        <f t="shared" si="72"/>
        <v>0</v>
      </c>
      <c r="M373" s="197" t="str">
        <f t="shared" si="73"/>
        <v>8900/000SHORT TERM LOANS</v>
      </c>
      <c r="N373" s="79"/>
      <c r="P373" s="80"/>
      <c r="Q373" s="60"/>
      <c r="R373" s="34"/>
    </row>
    <row r="374" spans="1:18" x14ac:dyDescent="0.2">
      <c r="A374" s="394"/>
      <c r="B374" s="63" t="s">
        <v>504</v>
      </c>
      <c r="C374" s="430">
        <f>TrialBalance!C374</f>
        <v>0</v>
      </c>
      <c r="D374" s="428"/>
      <c r="E374" s="435"/>
      <c r="F374" s="88">
        <f t="shared" si="77"/>
        <v>0</v>
      </c>
      <c r="G374" s="56">
        <f>SUMIF(JournalsC!D$14:D$920,TrialBalanceC!M374,JournalsC!J$14:J$920)+SUMIF(JournalsC!E$14:E$920,TrialBalanceC!M374,JournalsC!J$14:J$920)</f>
        <v>0</v>
      </c>
      <c r="H374" s="443"/>
      <c r="I374" s="448">
        <f t="shared" si="110"/>
        <v>0</v>
      </c>
      <c r="J374" s="84"/>
      <c r="K374" s="57">
        <f t="shared" si="72"/>
        <v>0</v>
      </c>
      <c r="M374" s="197" t="str">
        <f t="shared" si="73"/>
        <v>8900/0010</v>
      </c>
      <c r="N374" s="79"/>
      <c r="P374" s="80"/>
      <c r="Q374" s="60"/>
      <c r="R374" s="34"/>
    </row>
    <row r="375" spans="1:18" x14ac:dyDescent="0.2">
      <c r="A375" s="394"/>
      <c r="B375" s="63" t="s">
        <v>505</v>
      </c>
      <c r="C375" s="430">
        <f>TrialBalance!C375</f>
        <v>0</v>
      </c>
      <c r="D375" s="436"/>
      <c r="E375" s="435"/>
      <c r="F375" s="88">
        <f t="shared" si="77"/>
        <v>0</v>
      </c>
      <c r="G375" s="56">
        <f>SUMIF(JournalsC!D$14:D$920,TrialBalanceC!M375,JournalsC!J$14:J$920)+SUMIF(JournalsC!E$14:E$920,TrialBalanceC!M375,JournalsC!J$14:J$920)</f>
        <v>0</v>
      </c>
      <c r="H375" s="443"/>
      <c r="I375" s="448">
        <f t="shared" si="110"/>
        <v>0</v>
      </c>
      <c r="J375" s="84"/>
      <c r="K375" s="57">
        <f t="shared" si="72"/>
        <v>0</v>
      </c>
      <c r="M375" s="197" t="str">
        <f t="shared" si="73"/>
        <v>8900/0020</v>
      </c>
      <c r="N375" s="79"/>
      <c r="P375" s="80"/>
      <c r="Q375" s="60"/>
      <c r="R375" s="34"/>
    </row>
    <row r="376" spans="1:18" x14ac:dyDescent="0.2">
      <c r="A376" s="394"/>
      <c r="B376" s="63" t="s">
        <v>506</v>
      </c>
      <c r="C376" s="430">
        <f>TrialBalance!C376</f>
        <v>0</v>
      </c>
      <c r="D376" s="436"/>
      <c r="E376" s="435"/>
      <c r="F376" s="88">
        <f t="shared" si="77"/>
        <v>0</v>
      </c>
      <c r="G376" s="56">
        <f>SUMIF(JournalsC!D$14:D$920,TrialBalanceC!M376,JournalsC!J$14:J$920)+SUMIF(JournalsC!E$14:E$920,TrialBalanceC!M376,JournalsC!J$14:J$920)</f>
        <v>0</v>
      </c>
      <c r="H376" s="443"/>
      <c r="I376" s="448">
        <f t="shared" si="110"/>
        <v>0</v>
      </c>
      <c r="J376" s="84"/>
      <c r="K376" s="57">
        <f t="shared" si="72"/>
        <v>0</v>
      </c>
      <c r="M376" s="197" t="str">
        <f t="shared" si="73"/>
        <v>8900/0030</v>
      </c>
      <c r="N376" s="79"/>
      <c r="P376" s="80"/>
      <c r="Q376" s="60"/>
      <c r="R376" s="34"/>
    </row>
    <row r="377" spans="1:18" x14ac:dyDescent="0.2">
      <c r="A377" s="394"/>
      <c r="B377" s="63" t="s">
        <v>507</v>
      </c>
      <c r="C377" s="397" t="s">
        <v>311</v>
      </c>
      <c r="D377" s="437"/>
      <c r="E377" s="435"/>
      <c r="F377" s="88"/>
      <c r="G377" s="56">
        <f>SUMIF(JournalsC!D$14:D$920,TrialBalanceC!M377,JournalsC!J$14:J$920)+SUMIF(JournalsC!E$14:E$920,TrialBalanceC!M377,JournalsC!J$14:J$920)</f>
        <v>0</v>
      </c>
      <c r="H377" s="443"/>
      <c r="I377" s="448">
        <f t="shared" si="110"/>
        <v>0</v>
      </c>
      <c r="J377" s="84"/>
      <c r="K377" s="57">
        <f t="shared" si="72"/>
        <v>0</v>
      </c>
      <c r="M377" s="197" t="str">
        <f t="shared" si="73"/>
        <v>8900/004Short term portion of long term loans</v>
      </c>
      <c r="N377" s="79"/>
      <c r="P377" s="80"/>
      <c r="Q377" s="60"/>
      <c r="R377" s="34"/>
    </row>
    <row r="378" spans="1:18" x14ac:dyDescent="0.2">
      <c r="A378" s="394"/>
      <c r="B378" s="63" t="s">
        <v>508</v>
      </c>
      <c r="C378" s="397" t="s">
        <v>509</v>
      </c>
      <c r="D378" s="437"/>
      <c r="E378" s="435"/>
      <c r="F378" s="88"/>
      <c r="G378" s="56">
        <f>SUMIF(JournalsC!D$14:D$920,TrialBalanceC!M378,JournalsC!J$14:J$920)+SUMIF(JournalsC!E$14:E$920,TrialBalanceC!M378,JournalsC!J$14:J$920)</f>
        <v>0</v>
      </c>
      <c r="H378" s="443"/>
      <c r="I378" s="448">
        <f t="shared" si="110"/>
        <v>0</v>
      </c>
      <c r="J378" s="84"/>
      <c r="K378" s="57">
        <f t="shared" si="72"/>
        <v>0</v>
      </c>
      <c r="M378" s="197" t="str">
        <f t="shared" si="73"/>
        <v>9000/000CREDITORS</v>
      </c>
      <c r="N378" s="79"/>
      <c r="P378" s="80"/>
      <c r="Q378" s="60"/>
      <c r="R378" s="34"/>
    </row>
    <row r="379" spans="1:18" x14ac:dyDescent="0.2">
      <c r="A379" s="394"/>
      <c r="B379" s="63" t="s">
        <v>510</v>
      </c>
      <c r="C379" s="395" t="s">
        <v>511</v>
      </c>
      <c r="D379" s="436"/>
      <c r="E379" s="435"/>
      <c r="F379" s="88">
        <f>K379</f>
        <v>0</v>
      </c>
      <c r="G379" s="56">
        <f>SUMIF(JournalsC!D$14:D$920,TrialBalanceC!M379,JournalsC!J$14:J$920)+SUMIF(JournalsC!E$14:E$920,TrialBalanceC!M379,JournalsC!J$14:J$920)</f>
        <v>0</v>
      </c>
      <c r="H379" s="443"/>
      <c r="I379" s="448">
        <f t="shared" si="110"/>
        <v>0</v>
      </c>
      <c r="J379" s="84"/>
      <c r="K379" s="57">
        <f t="shared" si="72"/>
        <v>0</v>
      </c>
      <c r="M379" s="197" t="str">
        <f t="shared" si="73"/>
        <v>9010/000Trade creditors</v>
      </c>
      <c r="N379" s="79"/>
      <c r="P379" s="80"/>
      <c r="Q379" s="60"/>
      <c r="R379" s="34"/>
    </row>
    <row r="380" spans="1:18" x14ac:dyDescent="0.2">
      <c r="A380" s="394"/>
      <c r="B380" s="63" t="s">
        <v>512</v>
      </c>
      <c r="C380" s="398" t="s">
        <v>676</v>
      </c>
      <c r="D380" s="436"/>
      <c r="E380" s="435"/>
      <c r="F380" s="88">
        <f>K380</f>
        <v>0</v>
      </c>
      <c r="G380" s="56">
        <f>SUMIF(JournalsC!D$14:D$920,TrialBalanceC!M380,JournalsC!J$14:J$920)+SUMIF(JournalsC!E$14:E$920,TrialBalanceC!M380,JournalsC!J$14:J$920)</f>
        <v>0</v>
      </c>
      <c r="H380" s="443"/>
      <c r="I380" s="448">
        <f t="shared" si="110"/>
        <v>0</v>
      </c>
      <c r="J380" s="84"/>
      <c r="K380" s="57">
        <f t="shared" si="72"/>
        <v>0</v>
      </c>
      <c r="M380" s="197" t="str">
        <f t="shared" si="73"/>
        <v>9200/000Sundry suppliers</v>
      </c>
      <c r="N380" s="79"/>
      <c r="P380" s="80"/>
      <c r="Q380" s="60"/>
      <c r="R380" s="34"/>
    </row>
    <row r="381" spans="1:18" x14ac:dyDescent="0.2">
      <c r="A381" s="394"/>
      <c r="B381" s="63" t="s">
        <v>513</v>
      </c>
      <c r="C381" s="398" t="s">
        <v>984</v>
      </c>
      <c r="D381" s="438"/>
      <c r="E381" s="435"/>
      <c r="F381" s="88">
        <f>K381</f>
        <v>0</v>
      </c>
      <c r="G381" s="56">
        <f>SUMIF(JournalsC!D$14:D$920,TrialBalanceC!M381,JournalsC!J$14:J$920)+SUMIF(JournalsC!E$14:E$920,TrialBalanceC!M381,JournalsC!J$14:J$920)</f>
        <v>0</v>
      </c>
      <c r="H381" s="443"/>
      <c r="I381" s="448">
        <f t="shared" si="110"/>
        <v>0</v>
      </c>
      <c r="J381" s="84"/>
      <c r="K381" s="57">
        <f t="shared" si="72"/>
        <v>0</v>
      </c>
      <c r="M381" s="197" t="str">
        <f t="shared" si="73"/>
        <v>9200/010Audit and accounting fee accrual</v>
      </c>
      <c r="N381" s="79"/>
      <c r="P381" s="80"/>
      <c r="Q381" s="60"/>
      <c r="R381" s="34"/>
    </row>
    <row r="382" spans="1:18" x14ac:dyDescent="0.2">
      <c r="A382" s="394"/>
      <c r="B382" s="63" t="s">
        <v>514</v>
      </c>
      <c r="C382" s="398" t="s">
        <v>677</v>
      </c>
      <c r="D382" s="436"/>
      <c r="E382" s="435"/>
      <c r="F382" s="88">
        <f>K382</f>
        <v>0</v>
      </c>
      <c r="G382" s="56">
        <f>SUMIF(JournalsC!D$14:D$920,TrialBalanceC!M382,JournalsC!J$14:J$920)+SUMIF(JournalsC!E$14:E$920,TrialBalanceC!M382,JournalsC!J$14:J$920)</f>
        <v>0</v>
      </c>
      <c r="H382" s="443"/>
      <c r="I382" s="448">
        <f t="shared" si="110"/>
        <v>0</v>
      </c>
      <c r="J382" s="84"/>
      <c r="K382" s="57">
        <f t="shared" si="72"/>
        <v>0</v>
      </c>
      <c r="M382" s="197" t="str">
        <f t="shared" si="73"/>
        <v>9200/020Other accruals</v>
      </c>
      <c r="N382" s="79"/>
      <c r="P382" s="80"/>
      <c r="Q382" s="60"/>
      <c r="R382" s="34"/>
    </row>
    <row r="383" spans="1:18" x14ac:dyDescent="0.2">
      <c r="A383" s="394"/>
      <c r="B383" s="63" t="s">
        <v>515</v>
      </c>
      <c r="C383" s="398" t="s">
        <v>963</v>
      </c>
      <c r="D383" s="436"/>
      <c r="E383" s="435"/>
      <c r="F383" s="88">
        <f>K383</f>
        <v>0</v>
      </c>
      <c r="G383" s="56">
        <f>SUMIF(JournalsC!D$14:D$920,TrialBalanceC!M383,JournalsC!J$14:J$920)+SUMIF(JournalsC!E$14:E$920,TrialBalanceC!M383,JournalsC!J$14:J$920)</f>
        <v>0</v>
      </c>
      <c r="H383" s="443"/>
      <c r="I383" s="448">
        <f t="shared" si="110"/>
        <v>0</v>
      </c>
      <c r="J383" s="84"/>
      <c r="K383" s="57">
        <f t="shared" si="72"/>
        <v>0</v>
      </c>
      <c r="M383" s="197" t="str">
        <f t="shared" si="73"/>
        <v>9250/000Salary and wages control</v>
      </c>
      <c r="N383" s="79"/>
      <c r="P383" s="80"/>
      <c r="Q383" s="60"/>
      <c r="R383" s="34"/>
    </row>
    <row r="384" spans="1:18" x14ac:dyDescent="0.2">
      <c r="A384" s="394"/>
      <c r="B384" s="63" t="s">
        <v>403</v>
      </c>
      <c r="C384" s="397" t="s">
        <v>141</v>
      </c>
      <c r="D384" s="437"/>
      <c r="E384" s="435"/>
      <c r="F384" s="88"/>
      <c r="G384" s="56">
        <f>SUMIF(JournalsC!D$14:D$920,TrialBalanceC!M384,JournalsC!J$14:J$920)+SUMIF(JournalsC!E$14:E$920,TrialBalanceC!M384,JournalsC!J$14:J$920)</f>
        <v>0</v>
      </c>
      <c r="H384" s="443"/>
      <c r="I384" s="448">
        <f t="shared" si="110"/>
        <v>0</v>
      </c>
      <c r="J384" s="84"/>
      <c r="K384" s="57">
        <f t="shared" si="72"/>
        <v>0</v>
      </c>
      <c r="M384" s="197" t="str">
        <f t="shared" si="73"/>
        <v>9300/000TAXATION</v>
      </c>
      <c r="N384" s="79"/>
      <c r="P384" s="80"/>
      <c r="Q384" s="60"/>
      <c r="R384" s="34"/>
    </row>
    <row r="385" spans="1:18" x14ac:dyDescent="0.2">
      <c r="A385" s="394"/>
      <c r="B385" s="63" t="s">
        <v>526</v>
      </c>
      <c r="C385" s="395" t="s">
        <v>103</v>
      </c>
      <c r="D385" s="436"/>
      <c r="E385" s="435"/>
      <c r="F385" s="88">
        <f>SUM(K385:K392)</f>
        <v>0</v>
      </c>
      <c r="G385" s="56">
        <f>SUMIF(JournalsC!D$14:D$920,TrialBalanceC!M385,JournalsC!J$14:J$920)+SUMIF(JournalsC!E$14:E$920,TrialBalanceC!M385,JournalsC!J$14:J$920)</f>
        <v>0</v>
      </c>
      <c r="H385" s="443"/>
      <c r="I385" s="448">
        <f t="shared" si="110"/>
        <v>0</v>
      </c>
      <c r="J385" s="84"/>
      <c r="K385" s="57">
        <f t="shared" si="72"/>
        <v>0</v>
      </c>
      <c r="M385" s="197" t="str">
        <f t="shared" si="73"/>
        <v>9300/010Balance b/fwd</v>
      </c>
      <c r="N385" s="79"/>
      <c r="P385" s="80"/>
      <c r="Q385" s="60"/>
      <c r="R385" s="34"/>
    </row>
    <row r="386" spans="1:18" x14ac:dyDescent="0.2">
      <c r="A386" s="394"/>
      <c r="B386" s="63" t="s">
        <v>527</v>
      </c>
      <c r="C386" s="402" t="s">
        <v>152</v>
      </c>
      <c r="D386" s="428"/>
      <c r="E386" s="435"/>
      <c r="F386" s="88"/>
      <c r="G386" s="56">
        <f>SUMIF(JournalsC!D$14:D$920,TrialBalanceC!M386,JournalsC!J$14:J$920)+SUMIF(JournalsC!E$14:E$920,TrialBalanceC!M386,JournalsC!J$14:J$920)</f>
        <v>0</v>
      </c>
      <c r="H386" s="443"/>
      <c r="I386" s="448">
        <f t="shared" si="110"/>
        <v>0</v>
      </c>
      <c r="J386" s="84"/>
      <c r="K386" s="57">
        <f t="shared" si="72"/>
        <v>0</v>
      </c>
      <c r="M386" s="197" t="str">
        <f t="shared" si="73"/>
        <v>9300/020Tax provision this year</v>
      </c>
      <c r="N386" s="79"/>
      <c r="P386" s="80"/>
      <c r="Q386" s="60"/>
      <c r="R386" s="34"/>
    </row>
    <row r="387" spans="1:18" x14ac:dyDescent="0.2">
      <c r="A387" s="394"/>
      <c r="B387" s="63" t="s">
        <v>528</v>
      </c>
      <c r="C387" s="398" t="s">
        <v>1165</v>
      </c>
      <c r="D387" s="436"/>
      <c r="E387" s="435"/>
      <c r="F387" s="88"/>
      <c r="G387" s="56">
        <f>SUMIF(JournalsC!D$14:D$920,TrialBalanceC!M387,JournalsC!J$14:J$920)+SUMIF(JournalsC!E$14:E$920,TrialBalanceC!M387,JournalsC!J$14:J$920)</f>
        <v>0</v>
      </c>
      <c r="H387" s="443"/>
      <c r="I387" s="448">
        <f t="shared" si="110"/>
        <v>0</v>
      </c>
      <c r="J387" s="84"/>
      <c r="K387" s="57">
        <f t="shared" si="72"/>
        <v>0</v>
      </c>
      <c r="M387" s="197" t="str">
        <f t="shared" si="73"/>
        <v>9300/030Over-/(Under) provision previous year</v>
      </c>
      <c r="N387" s="79"/>
      <c r="P387" s="80"/>
      <c r="Q387" s="60"/>
      <c r="R387" s="34"/>
    </row>
    <row r="388" spans="1:18" x14ac:dyDescent="0.2">
      <c r="A388" s="394"/>
      <c r="B388" s="63" t="s">
        <v>529</v>
      </c>
      <c r="C388" s="398" t="s">
        <v>1166</v>
      </c>
      <c r="D388" s="436"/>
      <c r="E388" s="435"/>
      <c r="F388" s="88"/>
      <c r="G388" s="56">
        <f>SUMIF(JournalsC!D$14:D$920,TrialBalanceC!M388,JournalsC!J$14:J$920)+SUMIF(JournalsC!E$14:E$920,TrialBalanceC!M388,JournalsC!J$14:J$920)</f>
        <v>0</v>
      </c>
      <c r="H388" s="443"/>
      <c r="I388" s="448">
        <f t="shared" si="110"/>
        <v>0</v>
      </c>
      <c r="J388" s="84"/>
      <c r="K388" s="57">
        <f t="shared" si="72"/>
        <v>0</v>
      </c>
      <c r="M388" s="197" t="str">
        <f t="shared" si="73"/>
        <v>9300/040Tax paid/(refund) for previous year provisions</v>
      </c>
      <c r="N388" s="79"/>
      <c r="P388" s="80"/>
      <c r="Q388" s="60"/>
      <c r="R388" s="34"/>
    </row>
    <row r="389" spans="1:18" x14ac:dyDescent="0.2">
      <c r="A389" s="394"/>
      <c r="B389" s="63" t="s">
        <v>530</v>
      </c>
      <c r="C389" s="398" t="s">
        <v>1035</v>
      </c>
      <c r="D389" s="436"/>
      <c r="E389" s="435"/>
      <c r="F389" s="88"/>
      <c r="G389" s="56">
        <f>SUMIF(JournalsC!D$14:D$920,TrialBalanceC!M389,JournalsC!J$14:J$920)+SUMIF(JournalsC!E$14:E$920,TrialBalanceC!M389,JournalsC!J$14:J$920)</f>
        <v>0</v>
      </c>
      <c r="H389" s="443"/>
      <c r="I389" s="448">
        <f t="shared" si="110"/>
        <v>0</v>
      </c>
      <c r="J389" s="84"/>
      <c r="K389" s="57">
        <f t="shared" ref="K389:K400" si="111">ROUND(SUM(A389),0)</f>
        <v>0</v>
      </c>
      <c r="M389" s="197" t="str">
        <f t="shared" ref="M389:M400" si="112">CONCATENATE(B389,C389)</f>
        <v>9300/0501st Provisional paid</v>
      </c>
      <c r="N389" s="79"/>
      <c r="P389" s="80"/>
      <c r="Q389" s="60"/>
      <c r="R389" s="34"/>
    </row>
    <row r="390" spans="1:18" x14ac:dyDescent="0.2">
      <c r="A390" s="394"/>
      <c r="B390" s="63" t="s">
        <v>531</v>
      </c>
      <c r="C390" s="398" t="s">
        <v>1036</v>
      </c>
      <c r="D390" s="436"/>
      <c r="E390" s="435"/>
      <c r="F390" s="88"/>
      <c r="G390" s="56">
        <f>SUMIF(JournalsC!D$14:D$920,TrialBalanceC!M390,JournalsC!J$14:J$920)+SUMIF(JournalsC!E$14:E$920,TrialBalanceC!M390,JournalsC!J$14:J$920)</f>
        <v>0</v>
      </c>
      <c r="H390" s="443"/>
      <c r="I390" s="448">
        <f t="shared" si="110"/>
        <v>0</v>
      </c>
      <c r="J390" s="84"/>
      <c r="K390" s="57">
        <f t="shared" si="111"/>
        <v>0</v>
      </c>
      <c r="M390" s="197" t="str">
        <f t="shared" si="112"/>
        <v>9300/0602nd Provisional paid</v>
      </c>
      <c r="N390" s="79"/>
      <c r="P390" s="80"/>
      <c r="Q390" s="60"/>
      <c r="R390" s="34"/>
    </row>
    <row r="391" spans="1:18" x14ac:dyDescent="0.2">
      <c r="A391" s="394"/>
      <c r="B391" s="63" t="s">
        <v>532</v>
      </c>
      <c r="C391" s="395" t="s">
        <v>153</v>
      </c>
      <c r="D391" s="436"/>
      <c r="E391" s="435"/>
      <c r="F391" s="88"/>
      <c r="G391" s="56">
        <f>SUMIF(JournalsC!D$14:D$920,TrialBalanceC!M391,JournalsC!J$14:J$920)+SUMIF(JournalsC!E$14:E$920,TrialBalanceC!M391,JournalsC!J$14:J$920)</f>
        <v>0</v>
      </c>
      <c r="H391" s="443"/>
      <c r="I391" s="448">
        <f t="shared" si="110"/>
        <v>0</v>
      </c>
      <c r="J391" s="84"/>
      <c r="K391" s="57">
        <f t="shared" si="111"/>
        <v>0</v>
      </c>
      <c r="M391" s="197" t="str">
        <f t="shared" si="112"/>
        <v>9300/0703rd Provisional paid</v>
      </c>
      <c r="N391" s="79"/>
      <c r="P391" s="80"/>
      <c r="Q391" s="60"/>
      <c r="R391" s="34"/>
    </row>
    <row r="392" spans="1:18" x14ac:dyDescent="0.2">
      <c r="A392" s="394"/>
      <c r="B392" s="63" t="s">
        <v>533</v>
      </c>
      <c r="C392" s="398" t="s">
        <v>1168</v>
      </c>
      <c r="D392" s="436"/>
      <c r="E392" s="435"/>
      <c r="F392" s="88"/>
      <c r="G392" s="56">
        <f>SUMIF(JournalsC!D$14:D$920,TrialBalanceC!M392,JournalsC!J$14:J$920)+SUMIF(JournalsC!E$14:E$920,TrialBalanceC!M392,JournalsC!J$14:J$920)</f>
        <v>0</v>
      </c>
      <c r="H392" s="443"/>
      <c r="I392" s="448">
        <f t="shared" si="110"/>
        <v>0</v>
      </c>
      <c r="J392" s="84"/>
      <c r="K392" s="57">
        <f t="shared" si="111"/>
        <v>0</v>
      </c>
      <c r="M392" s="197" t="str">
        <f t="shared" si="112"/>
        <v>9300/090Dividends tax provision</v>
      </c>
      <c r="N392" s="79"/>
      <c r="P392" s="80"/>
      <c r="Q392" s="60"/>
      <c r="R392" s="34"/>
    </row>
    <row r="393" spans="1:18" x14ac:dyDescent="0.2">
      <c r="A393" s="394"/>
      <c r="B393" s="63" t="s">
        <v>404</v>
      </c>
      <c r="C393" s="398" t="s">
        <v>659</v>
      </c>
      <c r="D393" s="436"/>
      <c r="E393" s="435"/>
      <c r="F393" s="88">
        <f>K393</f>
        <v>0</v>
      </c>
      <c r="G393" s="56">
        <f>SUMIF(JournalsC!D$14:D$920,TrialBalanceC!M393,JournalsC!J$14:J$920)+SUMIF(JournalsC!E$14:E$920,TrialBalanceC!M393,JournalsC!J$14:J$920)</f>
        <v>0</v>
      </c>
      <c r="H393" s="443"/>
      <c r="I393" s="448">
        <f t="shared" si="110"/>
        <v>0</v>
      </c>
      <c r="J393" s="84"/>
      <c r="K393" s="57">
        <f t="shared" si="111"/>
        <v>0</v>
      </c>
      <c r="M393" s="197" t="str">
        <f t="shared" si="112"/>
        <v>9350/000Dividends payable</v>
      </c>
      <c r="N393" s="79"/>
      <c r="P393" s="80"/>
      <c r="Q393" s="60"/>
      <c r="R393" s="34"/>
    </row>
    <row r="394" spans="1:18" x14ac:dyDescent="0.2">
      <c r="A394" s="394"/>
      <c r="B394" s="63" t="s">
        <v>405</v>
      </c>
      <c r="C394" s="398" t="s">
        <v>660</v>
      </c>
      <c r="D394" s="436"/>
      <c r="E394" s="435"/>
      <c r="F394" s="88">
        <f>K394</f>
        <v>0</v>
      </c>
      <c r="G394" s="56">
        <f>SUMIF(JournalsC!D$14:D$920,TrialBalanceC!M394,JournalsC!J$14:J$920)+SUMIF(JournalsC!E$14:E$920,TrialBalanceC!M394,JournalsC!J$14:J$920)</f>
        <v>0</v>
      </c>
      <c r="H394" s="443"/>
      <c r="I394" s="448">
        <f t="shared" si="110"/>
        <v>0</v>
      </c>
      <c r="J394" s="84"/>
      <c r="K394" s="57">
        <f t="shared" si="111"/>
        <v>0</v>
      </c>
      <c r="M394" s="197" t="str">
        <f t="shared" si="112"/>
        <v>9400/000Provision for future expenses</v>
      </c>
      <c r="N394" s="79"/>
      <c r="P394" s="80"/>
      <c r="Q394" s="60"/>
      <c r="R394" s="34"/>
    </row>
    <row r="395" spans="1:18" x14ac:dyDescent="0.2">
      <c r="A395" s="394"/>
      <c r="B395" s="63" t="s">
        <v>406</v>
      </c>
      <c r="C395" s="398" t="s">
        <v>661</v>
      </c>
      <c r="D395" s="436"/>
      <c r="E395" s="435"/>
      <c r="F395" s="88">
        <f>K395</f>
        <v>0</v>
      </c>
      <c r="G395" s="56">
        <f>SUMIF(JournalsC!D$14:D$920,TrialBalanceC!M395,JournalsC!J$14:J$920)+SUMIF(JournalsC!E$14:E$920,TrialBalanceC!M395,JournalsC!J$14:J$920)</f>
        <v>0</v>
      </c>
      <c r="H395" s="443"/>
      <c r="I395" s="448">
        <f t="shared" si="110"/>
        <v>0</v>
      </c>
      <c r="J395" s="84"/>
      <c r="K395" s="57">
        <f t="shared" si="111"/>
        <v>0</v>
      </c>
      <c r="M395" s="197" t="str">
        <f t="shared" si="112"/>
        <v>9400/010Provision for insurance</v>
      </c>
      <c r="N395" s="79"/>
      <c r="P395" s="80"/>
      <c r="Q395" s="60"/>
      <c r="R395" s="34"/>
    </row>
    <row r="396" spans="1:18" x14ac:dyDescent="0.2">
      <c r="A396" s="394"/>
      <c r="B396" s="63" t="s">
        <v>407</v>
      </c>
      <c r="C396" s="398" t="s">
        <v>662</v>
      </c>
      <c r="D396" s="436"/>
      <c r="E396" s="435"/>
      <c r="F396" s="88">
        <f>K396</f>
        <v>0</v>
      </c>
      <c r="G396" s="56">
        <f>SUMIF(JournalsC!D$14:D$920,TrialBalanceC!M396,JournalsC!J$14:J$920)+SUMIF(JournalsC!E$14:E$920,TrialBalanceC!M396,JournalsC!J$14:J$920)</f>
        <v>0</v>
      </c>
      <c r="H396" s="443"/>
      <c r="I396" s="448">
        <f t="shared" si="110"/>
        <v>0</v>
      </c>
      <c r="J396" s="84"/>
      <c r="K396" s="57">
        <f t="shared" si="111"/>
        <v>0</v>
      </c>
      <c r="M396" s="197" t="str">
        <f t="shared" si="112"/>
        <v>9400/020Provision for salary bonus</v>
      </c>
      <c r="N396" s="79"/>
      <c r="P396" s="80"/>
      <c r="Q396" s="60"/>
      <c r="R396" s="34"/>
    </row>
    <row r="397" spans="1:18" x14ac:dyDescent="0.2">
      <c r="A397" s="394"/>
      <c r="B397" s="63" t="s">
        <v>408</v>
      </c>
      <c r="C397" s="397" t="s">
        <v>409</v>
      </c>
      <c r="D397" s="437"/>
      <c r="E397" s="435"/>
      <c r="F397" s="88"/>
      <c r="G397" s="56">
        <f>SUMIF(JournalsC!D$14:D$920,TrialBalanceC!M397,JournalsC!J$14:J$920)+SUMIF(JournalsC!E$14:E$920,TrialBalanceC!M397,JournalsC!J$14:J$920)</f>
        <v>0</v>
      </c>
      <c r="H397" s="443"/>
      <c r="I397" s="448">
        <f t="shared" si="110"/>
        <v>0</v>
      </c>
      <c r="J397" s="84"/>
      <c r="K397" s="57">
        <f t="shared" si="111"/>
        <v>0</v>
      </c>
      <c r="M397" s="197" t="str">
        <f t="shared" si="112"/>
        <v>9500/000VALUE ADDED TAX</v>
      </c>
      <c r="N397" s="79"/>
      <c r="P397" s="80"/>
      <c r="Q397" s="60"/>
      <c r="R397" s="34"/>
    </row>
    <row r="398" spans="1:18" x14ac:dyDescent="0.2">
      <c r="A398" s="394"/>
      <c r="B398" s="63" t="s">
        <v>410</v>
      </c>
      <c r="C398" s="395" t="s">
        <v>411</v>
      </c>
      <c r="D398" s="436"/>
      <c r="E398" s="435"/>
      <c r="F398" s="88">
        <f>K398</f>
        <v>0</v>
      </c>
      <c r="G398" s="56">
        <f>SUMIF(JournalsC!D$14:D$920,TrialBalanceC!M398,JournalsC!J$14:J$920)+SUMIF(JournalsC!E$14:E$920,TrialBalanceC!M398,JournalsC!J$14:J$920)</f>
        <v>0</v>
      </c>
      <c r="H398" s="443"/>
      <c r="I398" s="448">
        <f t="shared" si="110"/>
        <v>0</v>
      </c>
      <c r="J398" s="84"/>
      <c r="K398" s="57">
        <f t="shared" si="111"/>
        <v>0</v>
      </c>
      <c r="M398" s="197" t="str">
        <f t="shared" si="112"/>
        <v>9501/000VAT account</v>
      </c>
      <c r="N398" s="79"/>
      <c r="P398" s="80"/>
      <c r="Q398" s="60"/>
      <c r="R398" s="34"/>
    </row>
    <row r="399" spans="1:18" x14ac:dyDescent="0.2">
      <c r="A399" s="394"/>
      <c r="B399" s="63" t="s">
        <v>412</v>
      </c>
      <c r="C399" s="395" t="s">
        <v>31</v>
      </c>
      <c r="D399" s="436"/>
      <c r="E399" s="435"/>
      <c r="F399" s="88"/>
      <c r="G399" s="56">
        <f>SUMIF(JournalsC!D$14:D$920,TrialBalanceC!M399,JournalsC!J$14:J$920)+SUMIF(JournalsC!E$14:E$920,TrialBalanceC!M399,JournalsC!J$14:J$920)</f>
        <v>0</v>
      </c>
      <c r="H399" s="443"/>
      <c r="I399" s="448">
        <f t="shared" si="110"/>
        <v>0</v>
      </c>
      <c r="J399" s="84"/>
      <c r="K399" s="57">
        <f t="shared" si="111"/>
        <v>0</v>
      </c>
      <c r="M399" s="197" t="str">
        <f t="shared" si="112"/>
        <v>9510/000----------------------------------------</v>
      </c>
      <c r="N399" s="79"/>
      <c r="P399" s="80"/>
      <c r="Q399" s="60"/>
      <c r="R399" s="34"/>
    </row>
    <row r="400" spans="1:18" x14ac:dyDescent="0.2">
      <c r="A400" s="394"/>
      <c r="B400" s="63" t="s">
        <v>413</v>
      </c>
      <c r="C400" s="397" t="s">
        <v>1037</v>
      </c>
      <c r="D400" s="437"/>
      <c r="E400" s="435"/>
      <c r="F400" s="88">
        <f>K400</f>
        <v>0</v>
      </c>
      <c r="G400" s="56">
        <f>SUMIF(JournalsC!D$14:D$920,TrialBalanceC!M400,JournalsC!J$14:J$920)+SUMIF(JournalsC!E$14:E$920,TrialBalanceC!M400,JournalsC!J$14:J$920)</f>
        <v>0</v>
      </c>
      <c r="H400" s="443"/>
      <c r="I400" s="448">
        <f t="shared" si="110"/>
        <v>0</v>
      </c>
      <c r="J400" s="84"/>
      <c r="K400" s="57">
        <f t="shared" si="111"/>
        <v>0</v>
      </c>
      <c r="M400" s="197" t="str">
        <f t="shared" si="112"/>
        <v>9990/000Suspense account</v>
      </c>
      <c r="N400" s="79"/>
      <c r="P400" s="80"/>
      <c r="Q400" s="60"/>
      <c r="R400" s="34"/>
    </row>
    <row r="401" spans="1:18" x14ac:dyDescent="0.2">
      <c r="A401" s="394"/>
      <c r="B401" s="63"/>
      <c r="C401" s="63"/>
      <c r="D401" s="436"/>
      <c r="E401" s="428"/>
      <c r="F401" s="88"/>
      <c r="G401" s="56"/>
      <c r="H401" s="443"/>
      <c r="I401" s="448"/>
      <c r="J401" s="84"/>
      <c r="K401" s="57"/>
      <c r="M401" s="197"/>
      <c r="N401" s="79"/>
      <c r="P401" s="80"/>
      <c r="Q401" s="60"/>
      <c r="R401" s="34"/>
    </row>
    <row r="402" spans="1:18" x14ac:dyDescent="0.2">
      <c r="A402" s="394"/>
      <c r="B402" s="63" t="s">
        <v>284</v>
      </c>
      <c r="C402" s="64" t="s">
        <v>284</v>
      </c>
      <c r="D402" s="419"/>
      <c r="E402" s="419"/>
      <c r="F402" s="91"/>
      <c r="G402" s="56"/>
      <c r="H402" s="443"/>
      <c r="I402" s="448"/>
      <c r="J402" s="84"/>
      <c r="K402" s="57"/>
      <c r="M402" s="197">
        <v>0</v>
      </c>
      <c r="N402" s="79"/>
      <c r="P402" s="82"/>
      <c r="Q402" s="82"/>
      <c r="R402" s="34"/>
    </row>
    <row r="403" spans="1:18" ht="13.5" thickBot="1" x14ac:dyDescent="0.25">
      <c r="A403" s="50">
        <f>SUM(A5:A402)</f>
        <v>0</v>
      </c>
      <c r="B403" s="63" t="s">
        <v>284</v>
      </c>
      <c r="C403" s="64" t="s">
        <v>284</v>
      </c>
      <c r="D403" s="50">
        <f>SUM(D5:D402)</f>
        <v>0</v>
      </c>
      <c r="E403" s="50">
        <f>SUM(E5:E402)</f>
        <v>0</v>
      </c>
      <c r="F403" s="50">
        <f>SUM(F5:F402)</f>
        <v>0</v>
      </c>
      <c r="G403" s="50">
        <f>SUM(G5:G402)</f>
        <v>0</v>
      </c>
      <c r="H403" s="50"/>
      <c r="I403" s="50">
        <f>SUM(I5:I402)</f>
        <v>0</v>
      </c>
      <c r="J403" s="50"/>
      <c r="K403" s="50">
        <f>SUM(K5:K402)</f>
        <v>0</v>
      </c>
      <c r="M403" s="197">
        <v>0</v>
      </c>
      <c r="N403" s="83"/>
      <c r="O403" s="83"/>
      <c r="P403" s="83"/>
      <c r="Q403" s="83"/>
      <c r="R403" s="83"/>
    </row>
    <row r="404" spans="1:18" ht="13.5" thickTop="1" x14ac:dyDescent="0.2">
      <c r="A404" s="47"/>
      <c r="B404" s="51"/>
      <c r="C404" s="54"/>
      <c r="D404" s="48"/>
      <c r="E404" s="48"/>
      <c r="F404" s="48"/>
      <c r="G404" s="48"/>
      <c r="H404" s="48"/>
      <c r="I404" s="68"/>
      <c r="J404" s="68"/>
      <c r="K404" s="47"/>
      <c r="M404" s="197"/>
      <c r="P404" s="48"/>
      <c r="Q404" s="48"/>
    </row>
    <row r="405" spans="1:18" x14ac:dyDescent="0.2">
      <c r="A405" s="47"/>
      <c r="B405" s="51"/>
      <c r="C405" s="54"/>
      <c r="D405" s="48"/>
      <c r="E405" s="48"/>
      <c r="F405" s="48"/>
      <c r="G405" s="48"/>
      <c r="H405" s="48"/>
      <c r="K405" s="51"/>
      <c r="P405" s="48"/>
      <c r="Q405" s="48"/>
    </row>
    <row r="406" spans="1:18" x14ac:dyDescent="0.2">
      <c r="A406" s="47"/>
      <c r="B406" s="51"/>
      <c r="C406" s="54"/>
      <c r="D406" s="48"/>
      <c r="E406" s="48"/>
      <c r="F406" s="48"/>
      <c r="G406" s="48"/>
      <c r="H406" s="48"/>
      <c r="K406" s="51"/>
      <c r="P406" s="48"/>
      <c r="Q406" s="48"/>
    </row>
    <row r="407" spans="1:18" x14ac:dyDescent="0.2">
      <c r="A407" s="47"/>
      <c r="B407" s="51"/>
      <c r="C407" s="54"/>
      <c r="D407" s="48"/>
      <c r="E407" s="48"/>
      <c r="F407" s="48"/>
      <c r="G407" s="48"/>
      <c r="H407" s="48"/>
      <c r="K407" s="51"/>
      <c r="P407" s="48"/>
      <c r="Q407" s="48"/>
    </row>
    <row r="408" spans="1:18" x14ac:dyDescent="0.2">
      <c r="A408" s="47"/>
      <c r="B408" s="51"/>
      <c r="C408" s="54"/>
      <c r="D408" s="48"/>
      <c r="E408" s="48"/>
      <c r="F408" s="48"/>
      <c r="G408" s="48"/>
      <c r="H408" s="48"/>
      <c r="K408" s="51"/>
      <c r="P408" s="48"/>
      <c r="Q408" s="48"/>
    </row>
    <row r="409" spans="1:18" x14ac:dyDescent="0.2">
      <c r="A409" s="47"/>
      <c r="B409" s="51"/>
      <c r="C409" s="54"/>
      <c r="D409" s="48"/>
      <c r="E409" s="48"/>
      <c r="F409" s="48"/>
      <c r="G409" s="48"/>
      <c r="H409" s="48"/>
      <c r="K409" s="51"/>
      <c r="P409" s="48"/>
      <c r="Q409" s="48"/>
    </row>
    <row r="410" spans="1:18" x14ac:dyDescent="0.2">
      <c r="A410" s="47"/>
      <c r="B410" s="51"/>
      <c r="C410" s="54"/>
      <c r="D410" s="48"/>
      <c r="E410" s="48"/>
      <c r="F410" s="48"/>
      <c r="G410" s="48"/>
      <c r="H410" s="48"/>
      <c r="K410" s="51"/>
      <c r="P410" s="48"/>
      <c r="Q410" s="48"/>
    </row>
    <row r="411" spans="1:18" x14ac:dyDescent="0.2">
      <c r="A411" s="47"/>
      <c r="B411" s="51"/>
      <c r="C411" s="54"/>
      <c r="D411" s="48"/>
      <c r="E411" s="48"/>
      <c r="F411" s="48"/>
      <c r="G411" s="48"/>
      <c r="H411" s="48"/>
      <c r="K411" s="51"/>
      <c r="P411" s="48" t="s">
        <v>120</v>
      </c>
      <c r="Q411" s="48" t="s">
        <v>120</v>
      </c>
    </row>
    <row r="412" spans="1:18" x14ac:dyDescent="0.2">
      <c r="A412" s="47"/>
      <c r="B412" s="51"/>
      <c r="C412" s="54"/>
      <c r="D412" s="48"/>
      <c r="E412" s="48"/>
      <c r="F412" s="48"/>
      <c r="G412" s="48"/>
      <c r="H412" s="48"/>
      <c r="K412" s="51"/>
      <c r="P412" s="48" t="s">
        <v>120</v>
      </c>
      <c r="Q412" s="48" t="s">
        <v>120</v>
      </c>
    </row>
    <row r="413" spans="1:18" x14ac:dyDescent="0.2">
      <c r="A413" s="47"/>
      <c r="B413" s="51"/>
      <c r="C413" s="54"/>
      <c r="D413" s="48"/>
      <c r="E413" s="48"/>
      <c r="F413" s="48"/>
      <c r="G413" s="48"/>
      <c r="H413" s="48"/>
      <c r="K413" s="51"/>
      <c r="P413" s="48" t="s">
        <v>120</v>
      </c>
      <c r="Q413" s="48" t="s">
        <v>120</v>
      </c>
    </row>
    <row r="414" spans="1:18" x14ac:dyDescent="0.2">
      <c r="A414" s="47"/>
      <c r="B414" s="51"/>
      <c r="C414" s="54"/>
      <c r="D414" s="48"/>
      <c r="E414" s="48"/>
      <c r="F414" s="48"/>
      <c r="G414" s="48"/>
      <c r="H414" s="48"/>
      <c r="K414" s="51"/>
      <c r="P414" s="48" t="s">
        <v>120</v>
      </c>
      <c r="Q414" s="48" t="s">
        <v>120</v>
      </c>
    </row>
    <row r="415" spans="1:18" x14ac:dyDescent="0.2">
      <c r="A415" s="47"/>
      <c r="B415" s="51"/>
      <c r="C415" s="54"/>
      <c r="D415" s="48"/>
      <c r="E415" s="48"/>
      <c r="F415" s="48"/>
      <c r="G415" s="48"/>
      <c r="H415" s="48"/>
      <c r="K415" s="51"/>
      <c r="P415" s="48" t="s">
        <v>120</v>
      </c>
      <c r="Q415" s="48" t="s">
        <v>120</v>
      </c>
    </row>
    <row r="416" spans="1:18" x14ac:dyDescent="0.2">
      <c r="A416" s="47"/>
      <c r="B416" s="51"/>
      <c r="C416" s="54"/>
      <c r="D416" s="48"/>
      <c r="E416" s="48"/>
      <c r="F416" s="48"/>
      <c r="G416" s="48"/>
      <c r="H416" s="48"/>
      <c r="K416" s="51"/>
      <c r="P416" s="48"/>
      <c r="Q416" s="48"/>
    </row>
    <row r="417" spans="1:17" x14ac:dyDescent="0.2">
      <c r="A417" s="47"/>
      <c r="B417" s="51"/>
      <c r="C417" s="54"/>
      <c r="D417" s="48"/>
      <c r="E417" s="48"/>
      <c r="F417" s="48"/>
      <c r="G417" s="48"/>
      <c r="H417" s="48"/>
      <c r="K417" s="51"/>
      <c r="P417" s="48"/>
      <c r="Q417" s="48"/>
    </row>
    <row r="418" spans="1:17" x14ac:dyDescent="0.2">
      <c r="A418" s="47"/>
      <c r="B418" s="51"/>
      <c r="C418" s="54"/>
      <c r="D418" s="48"/>
      <c r="E418" s="48"/>
      <c r="F418" s="48"/>
      <c r="G418" s="48"/>
      <c r="H418" s="48"/>
      <c r="K418" s="51"/>
      <c r="P418" s="48"/>
      <c r="Q418" s="48"/>
    </row>
    <row r="419" spans="1:17" x14ac:dyDescent="0.2">
      <c r="A419" s="47"/>
      <c r="B419" s="51"/>
      <c r="C419" s="54"/>
      <c r="D419" s="48"/>
      <c r="E419" s="48"/>
      <c r="F419" s="48"/>
      <c r="G419" s="48"/>
      <c r="H419" s="48"/>
      <c r="K419" s="51"/>
      <c r="P419" s="48"/>
      <c r="Q419" s="48"/>
    </row>
    <row r="420" spans="1:17" x14ac:dyDescent="0.2">
      <c r="A420" s="47"/>
      <c r="B420" s="51"/>
      <c r="C420" s="54"/>
      <c r="D420" s="48"/>
      <c r="E420" s="48"/>
      <c r="F420" s="48"/>
      <c r="G420" s="48"/>
      <c r="H420" s="48"/>
      <c r="K420" s="51"/>
      <c r="P420" s="48"/>
      <c r="Q420" s="48"/>
    </row>
    <row r="421" spans="1:17" x14ac:dyDescent="0.2">
      <c r="A421" s="47"/>
      <c r="B421" s="51"/>
      <c r="C421" s="54"/>
      <c r="D421" s="48"/>
      <c r="E421" s="48"/>
      <c r="F421" s="48"/>
      <c r="G421" s="48"/>
      <c r="H421" s="48"/>
      <c r="K421" s="51"/>
      <c r="P421" s="48"/>
      <c r="Q421" s="48"/>
    </row>
    <row r="422" spans="1:17" x14ac:dyDescent="0.2">
      <c r="A422" s="47"/>
      <c r="B422" s="51"/>
      <c r="C422" s="54"/>
      <c r="D422" s="48"/>
      <c r="E422" s="48"/>
      <c r="F422" s="48"/>
      <c r="G422" s="48"/>
      <c r="H422" s="48"/>
      <c r="K422" s="51"/>
      <c r="P422" s="48"/>
      <c r="Q422" s="48"/>
    </row>
    <row r="423" spans="1:17" x14ac:dyDescent="0.2">
      <c r="A423" s="47"/>
      <c r="B423" s="51"/>
      <c r="C423" s="54"/>
      <c r="D423" s="48"/>
      <c r="E423" s="48"/>
      <c r="F423" s="48"/>
      <c r="G423" s="48"/>
      <c r="H423" s="48"/>
      <c r="K423" s="51"/>
      <c r="P423" s="48"/>
      <c r="Q423" s="48"/>
    </row>
    <row r="424" spans="1:17" x14ac:dyDescent="0.2">
      <c r="A424" s="47"/>
      <c r="B424" s="51"/>
      <c r="C424" s="54"/>
      <c r="D424" s="48"/>
      <c r="E424" s="48"/>
      <c r="F424" s="48"/>
      <c r="G424" s="48"/>
      <c r="H424" s="48"/>
      <c r="K424" s="51"/>
      <c r="P424" s="48"/>
      <c r="Q424" s="48"/>
    </row>
    <row r="425" spans="1:17" x14ac:dyDescent="0.2">
      <c r="A425" s="47"/>
      <c r="B425" s="51"/>
      <c r="C425" s="54"/>
      <c r="D425" s="48"/>
      <c r="E425" s="48"/>
      <c r="F425" s="48"/>
      <c r="G425" s="48"/>
      <c r="H425" s="48"/>
      <c r="K425" s="51"/>
      <c r="P425" s="48"/>
      <c r="Q425" s="48"/>
    </row>
    <row r="426" spans="1:17" x14ac:dyDescent="0.2">
      <c r="A426" s="47"/>
      <c r="B426" s="51"/>
      <c r="C426" s="54"/>
      <c r="D426" s="48"/>
      <c r="E426" s="48"/>
      <c r="F426" s="48"/>
      <c r="G426" s="48"/>
      <c r="H426" s="48"/>
      <c r="K426" s="51"/>
      <c r="P426" s="48"/>
      <c r="Q426" s="48"/>
    </row>
    <row r="427" spans="1:17" x14ac:dyDescent="0.2">
      <c r="A427" s="47"/>
      <c r="B427" s="51"/>
      <c r="C427" s="54"/>
      <c r="D427" s="48"/>
      <c r="E427" s="48"/>
      <c r="F427" s="48"/>
      <c r="G427" s="48"/>
      <c r="H427" s="48"/>
      <c r="K427" s="51"/>
      <c r="P427" s="48"/>
      <c r="Q427" s="48"/>
    </row>
    <row r="428" spans="1:17" x14ac:dyDescent="0.2">
      <c r="A428" s="47"/>
      <c r="B428" s="51"/>
      <c r="C428" s="54"/>
      <c r="D428" s="48"/>
      <c r="E428" s="48"/>
      <c r="F428" s="48"/>
      <c r="G428" s="48"/>
      <c r="H428" s="48"/>
      <c r="K428" s="51"/>
      <c r="P428" s="48"/>
      <c r="Q428" s="48"/>
    </row>
    <row r="429" spans="1:17" x14ac:dyDescent="0.2">
      <c r="A429" s="47"/>
      <c r="B429" s="51"/>
      <c r="C429" s="54"/>
      <c r="D429" s="48"/>
      <c r="E429" s="48"/>
      <c r="F429" s="48"/>
      <c r="G429" s="48"/>
      <c r="H429" s="48"/>
      <c r="K429" s="51"/>
      <c r="P429" s="48"/>
      <c r="Q429" s="48"/>
    </row>
    <row r="430" spans="1:17" x14ac:dyDescent="0.2">
      <c r="A430" s="47"/>
      <c r="B430" s="51"/>
      <c r="C430" s="54"/>
      <c r="G430" s="48"/>
      <c r="H430" s="48"/>
      <c r="K430" s="51"/>
      <c r="P430" s="48"/>
      <c r="Q430" s="48"/>
    </row>
    <row r="431" spans="1:17" x14ac:dyDescent="0.2">
      <c r="P431" s="16"/>
      <c r="Q431" s="16"/>
    </row>
  </sheetData>
  <sheetProtection algorithmName="SHA-512" hashValue="q5njdfbwYiQasSu+WAquFMU48CNHpbgdEqt2cBgPgkbqxgFaan1KJALr0g/vxvEx0X0m8TKw3oQq7da7A+e4oQ==" saltValue="rk5wz8MafJhBeNcYmfLAWA=="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2B16931-D66B-4D0D-AC8A-C344D70FF5B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3AEE-60AC-40D2-9121-4260EBC241FA}">
  <dimension ref="A2:L116"/>
  <sheetViews>
    <sheetView workbookViewId="0">
      <selection activeCell="B5" sqref="B5"/>
    </sheetView>
  </sheetViews>
  <sheetFormatPr defaultRowHeight="15.75" x14ac:dyDescent="0.25"/>
  <cols>
    <col min="1" max="1" width="9.140625" style="242"/>
    <col min="2" max="2" width="3.7109375" style="242" customWidth="1"/>
    <col min="3" max="3" width="28.140625" style="242" customWidth="1"/>
    <col min="4" max="4" width="25.42578125" style="242" customWidth="1"/>
    <col min="5" max="5" width="9.140625" style="242"/>
    <col min="6" max="6" width="3.85546875" style="242" customWidth="1"/>
    <col min="7" max="7" width="24.42578125" style="242" customWidth="1"/>
    <col min="8" max="8" width="24.140625" style="242" customWidth="1"/>
    <col min="9" max="9" width="9.140625" style="242"/>
    <col min="10" max="10" width="4.140625" style="242" customWidth="1"/>
    <col min="11" max="11" width="21.28515625" style="242" customWidth="1"/>
    <col min="12" max="12" width="20.5703125" style="242" customWidth="1"/>
    <col min="13" max="16384" width="9.140625" style="242"/>
  </cols>
  <sheetData>
    <row r="2" spans="2:9" ht="30" x14ac:dyDescent="0.4">
      <c r="D2" s="243" t="s">
        <v>1177</v>
      </c>
      <c r="H2" s="244"/>
    </row>
    <row r="6" spans="2:9" x14ac:dyDescent="0.25">
      <c r="B6" s="242" t="s">
        <v>808</v>
      </c>
    </row>
    <row r="7" spans="2:9" x14ac:dyDescent="0.25">
      <c r="B7" s="242" t="s">
        <v>809</v>
      </c>
    </row>
    <row r="8" spans="2:9" x14ac:dyDescent="0.25">
      <c r="B8" s="245" t="s">
        <v>805</v>
      </c>
      <c r="C8" s="246">
        <f>FS!M525+FS!M532+FS!M542</f>
        <v>0</v>
      </c>
      <c r="D8" s="247"/>
    </row>
    <row r="10" spans="2:9" x14ac:dyDescent="0.25">
      <c r="B10" s="242" t="s">
        <v>810</v>
      </c>
    </row>
    <row r="11" spans="2:9" x14ac:dyDescent="0.25">
      <c r="B11" s="242" t="s">
        <v>811</v>
      </c>
    </row>
    <row r="12" spans="2:9" x14ac:dyDescent="0.25">
      <c r="B12" s="245" t="s">
        <v>805</v>
      </c>
      <c r="C12" s="246">
        <f>FS!M614</f>
        <v>0</v>
      </c>
      <c r="D12" s="247"/>
    </row>
    <row r="14" spans="2:9" x14ac:dyDescent="0.25">
      <c r="C14" s="242" t="s">
        <v>1176</v>
      </c>
      <c r="E14" s="270"/>
      <c r="G14" s="242" t="s">
        <v>813</v>
      </c>
      <c r="I14" s="270"/>
    </row>
    <row r="16" spans="2:9" x14ac:dyDescent="0.25">
      <c r="B16" s="248"/>
      <c r="C16" s="248"/>
      <c r="D16" s="248"/>
      <c r="E16" s="248"/>
      <c r="F16" s="248"/>
      <c r="G16" s="248"/>
      <c r="H16" s="248"/>
      <c r="I16" s="248"/>
    </row>
    <row r="19" spans="2:12" x14ac:dyDescent="0.25">
      <c r="B19" s="249" t="s">
        <v>130</v>
      </c>
      <c r="C19" s="250"/>
      <c r="D19" s="250"/>
      <c r="F19" s="249" t="s">
        <v>132</v>
      </c>
      <c r="G19" s="250"/>
      <c r="H19" s="250"/>
      <c r="J19" s="245"/>
    </row>
    <row r="20" spans="2:12" x14ac:dyDescent="0.25">
      <c r="B20" s="245"/>
      <c r="F20" s="245"/>
    </row>
    <row r="21" spans="2:12" x14ac:dyDescent="0.25">
      <c r="B21" s="242" t="s">
        <v>1178</v>
      </c>
      <c r="F21" s="242" t="s">
        <v>1186</v>
      </c>
    </row>
    <row r="22" spans="2:12" x14ac:dyDescent="0.25">
      <c r="B22" s="242" t="s">
        <v>805</v>
      </c>
      <c r="C22" s="253"/>
      <c r="D22" s="254">
        <f>FS!M590+FS!M591-FS!J1603+FS!M592</f>
        <v>0</v>
      </c>
      <c r="F22" s="242" t="s">
        <v>805</v>
      </c>
      <c r="G22" s="255"/>
      <c r="H22" s="254">
        <f>FS!M620</f>
        <v>0</v>
      </c>
      <c r="K22" s="341"/>
      <c r="L22" s="341"/>
    </row>
    <row r="24" spans="2:12" x14ac:dyDescent="0.25">
      <c r="B24" s="242" t="s">
        <v>1179</v>
      </c>
      <c r="F24" s="242" t="s">
        <v>1187</v>
      </c>
    </row>
    <row r="25" spans="2:12" x14ac:dyDescent="0.25">
      <c r="B25" s="242" t="s">
        <v>805</v>
      </c>
      <c r="C25" s="253"/>
      <c r="D25" s="254">
        <f>FS!J1603</f>
        <v>0</v>
      </c>
      <c r="F25" s="242" t="s">
        <v>805</v>
      </c>
      <c r="G25" s="255"/>
      <c r="H25" s="254">
        <f>FS!M633+FS!M634</f>
        <v>0</v>
      </c>
      <c r="K25" s="341"/>
      <c r="L25" s="341"/>
    </row>
    <row r="27" spans="2:12" x14ac:dyDescent="0.25">
      <c r="B27" s="242" t="s">
        <v>1180</v>
      </c>
      <c r="F27" s="242" t="s">
        <v>1188</v>
      </c>
    </row>
    <row r="28" spans="2:12" x14ac:dyDescent="0.25">
      <c r="B28" s="242" t="s">
        <v>805</v>
      </c>
      <c r="C28" s="255"/>
      <c r="D28" s="254">
        <f>FS!M597</f>
        <v>0</v>
      </c>
      <c r="F28" s="242" t="s">
        <v>1189</v>
      </c>
    </row>
    <row r="29" spans="2:12" x14ac:dyDescent="0.25">
      <c r="F29" s="242" t="s">
        <v>805</v>
      </c>
      <c r="G29" s="255"/>
      <c r="H29" s="254">
        <f>FS!M642</f>
        <v>0</v>
      </c>
    </row>
    <row r="30" spans="2:12" x14ac:dyDescent="0.25">
      <c r="B30" s="242" t="s">
        <v>1182</v>
      </c>
      <c r="K30" s="342"/>
      <c r="L30" s="343"/>
    </row>
    <row r="31" spans="2:12" x14ac:dyDescent="0.25">
      <c r="B31" s="242" t="s">
        <v>1181</v>
      </c>
      <c r="F31" s="242" t="s">
        <v>1190</v>
      </c>
      <c r="K31" s="342"/>
      <c r="L31" s="343"/>
    </row>
    <row r="32" spans="2:12" x14ac:dyDescent="0.25">
      <c r="B32" s="242" t="s">
        <v>805</v>
      </c>
      <c r="C32" s="253"/>
      <c r="D32" s="254">
        <f>FS!M605</f>
        <v>0</v>
      </c>
      <c r="F32" s="242" t="s">
        <v>805</v>
      </c>
      <c r="G32" s="255"/>
      <c r="H32" s="254">
        <f>FS!M635+FS!M643+FS!M644+FS!M645+FS!M646+FS!M647</f>
        <v>0</v>
      </c>
      <c r="K32" s="342"/>
      <c r="L32" s="343"/>
    </row>
    <row r="33" spans="2:12" x14ac:dyDescent="0.25">
      <c r="K33" s="342"/>
      <c r="L33" s="343"/>
    </row>
    <row r="34" spans="2:12" x14ac:dyDescent="0.25">
      <c r="B34" s="242" t="s">
        <v>1183</v>
      </c>
      <c r="F34" s="242" t="s">
        <v>806</v>
      </c>
      <c r="K34" s="342"/>
      <c r="L34" s="343"/>
    </row>
    <row r="35" spans="2:12" x14ac:dyDescent="0.25">
      <c r="B35" s="242" t="s">
        <v>1181</v>
      </c>
      <c r="F35" s="242" t="s">
        <v>913</v>
      </c>
      <c r="K35" s="342"/>
      <c r="L35" s="343"/>
    </row>
    <row r="36" spans="2:12" x14ac:dyDescent="0.25">
      <c r="B36" s="242" t="s">
        <v>805</v>
      </c>
      <c r="C36" s="253"/>
      <c r="D36" s="254">
        <f>FS!M606</f>
        <v>0</v>
      </c>
      <c r="G36" s="256" t="str">
        <f>IF(FS!M635&gt;0,FS!D635," ")</f>
        <v xml:space="preserve"> </v>
      </c>
      <c r="H36" s="257" t="str">
        <f>IF(FS!M635&gt;0,FS!M635," ")</f>
        <v xml:space="preserve"> </v>
      </c>
      <c r="K36" s="342"/>
      <c r="L36" s="343"/>
    </row>
    <row r="37" spans="2:12" x14ac:dyDescent="0.25">
      <c r="G37" s="258" t="str">
        <f>IF(FS!M643&gt;0,FS!D643," ")</f>
        <v xml:space="preserve"> </v>
      </c>
      <c r="H37" s="259" t="str">
        <f>IF(FS!M643&gt;0,FS!M643," ")</f>
        <v xml:space="preserve"> </v>
      </c>
      <c r="K37" s="342"/>
      <c r="L37" s="343"/>
    </row>
    <row r="38" spans="2:12" x14ac:dyDescent="0.25">
      <c r="B38" s="242" t="s">
        <v>1184</v>
      </c>
      <c r="G38" s="258" t="str">
        <f>IF(FS!M644&gt;0,FS!D644," ")</f>
        <v xml:space="preserve"> </v>
      </c>
      <c r="H38" s="259" t="str">
        <f>IF(FS!M644&gt;0,FS!M644," ")</f>
        <v xml:space="preserve"> </v>
      </c>
      <c r="L38" s="262"/>
    </row>
    <row r="39" spans="2:12" x14ac:dyDescent="0.25">
      <c r="B39" s="242" t="s">
        <v>805</v>
      </c>
      <c r="C39" s="253"/>
      <c r="D39" s="254">
        <f>FS!M607</f>
        <v>0</v>
      </c>
      <c r="G39" s="258" t="str">
        <f>IF(FS!M645&gt;0,FS!D645," ")</f>
        <v xml:space="preserve"> </v>
      </c>
      <c r="H39" s="259" t="str">
        <f>IF(FS!M645&gt;0,FS!M645," ")</f>
        <v xml:space="preserve"> </v>
      </c>
      <c r="L39" s="262"/>
    </row>
    <row r="40" spans="2:12" x14ac:dyDescent="0.25">
      <c r="D40" s="340"/>
      <c r="G40" s="258" t="str">
        <f>IF(FS!M646&gt;0,FS!D646," ")</f>
        <v xml:space="preserve"> </v>
      </c>
      <c r="H40" s="259" t="str">
        <f>IF(FS!M646&gt;0,FS!M646," ")</f>
        <v xml:space="preserve"> </v>
      </c>
      <c r="L40" s="262"/>
    </row>
    <row r="41" spans="2:12" x14ac:dyDescent="0.25">
      <c r="B41" s="242" t="s">
        <v>1185</v>
      </c>
      <c r="G41" s="260" t="str">
        <f>IF(FS!M647&gt;0,FS!D647," ")</f>
        <v xml:space="preserve"> </v>
      </c>
      <c r="H41" s="261" t="str">
        <f>IF(FS!M647&gt;0,FS!M647," ")</f>
        <v xml:space="preserve"> </v>
      </c>
      <c r="J41" s="245"/>
      <c r="K41" s="245"/>
      <c r="L41" s="245"/>
    </row>
    <row r="42" spans="2:12" x14ac:dyDescent="0.25">
      <c r="B42" s="242" t="s">
        <v>805</v>
      </c>
      <c r="C42" s="253"/>
      <c r="D42" s="254">
        <f>FS!M593+FS!M594+FS!M595+FS!M596+FS!M598+FS!M608</f>
        <v>0</v>
      </c>
      <c r="H42" s="265">
        <f>SUM(H36:H41)-H32</f>
        <v>0</v>
      </c>
      <c r="J42" s="245"/>
      <c r="K42" s="344"/>
      <c r="L42" s="344"/>
    </row>
    <row r="43" spans="2:12" x14ac:dyDescent="0.25">
      <c r="F43" s="245" t="s">
        <v>1191</v>
      </c>
      <c r="G43" s="245"/>
      <c r="H43" s="245"/>
    </row>
    <row r="44" spans="2:12" x14ac:dyDescent="0.25">
      <c r="B44" s="242" t="s">
        <v>806</v>
      </c>
      <c r="F44" s="245" t="s">
        <v>805</v>
      </c>
      <c r="G44" s="263"/>
      <c r="H44" s="264">
        <f>H22+H25+H29+H32</f>
        <v>0</v>
      </c>
      <c r="J44" s="245"/>
    </row>
    <row r="45" spans="2:12" x14ac:dyDescent="0.25">
      <c r="B45" s="242" t="s">
        <v>914</v>
      </c>
      <c r="F45" s="245"/>
      <c r="G45" s="247"/>
      <c r="H45" s="247"/>
    </row>
    <row r="46" spans="2:12" x14ac:dyDescent="0.25">
      <c r="C46" s="256" t="str">
        <f>IF(FS!M593&gt;0,FS!D593," ")</f>
        <v xml:space="preserve"> </v>
      </c>
      <c r="D46" s="266" t="str">
        <f>IF(FS!M593&gt;0,FS!M593," ")</f>
        <v xml:space="preserve"> </v>
      </c>
      <c r="F46" s="245"/>
      <c r="G46" s="242" t="s">
        <v>111</v>
      </c>
      <c r="H46" s="262">
        <f>D54-H44</f>
        <v>0</v>
      </c>
    </row>
    <row r="47" spans="2:12" x14ac:dyDescent="0.25">
      <c r="C47" s="258" t="str">
        <f>IF(FS!M594&gt;0,FS!D594," ")</f>
        <v xml:space="preserve"> </v>
      </c>
      <c r="D47" s="267" t="str">
        <f>IF(FS!M594&gt;0,FS!M594," ")</f>
        <v xml:space="preserve"> </v>
      </c>
      <c r="F47" s="245"/>
      <c r="H47" s="262"/>
    </row>
    <row r="48" spans="2:12" x14ac:dyDescent="0.25">
      <c r="C48" s="258" t="str">
        <f>IF(FS!M595&gt;0,FS!D595," ")</f>
        <v xml:space="preserve"> </v>
      </c>
      <c r="D48" s="267" t="str">
        <f>IF(FS!M595&gt;0,FS!M595," ")</f>
        <v xml:space="preserve"> </v>
      </c>
      <c r="F48" s="245"/>
    </row>
    <row r="49" spans="1:12" x14ac:dyDescent="0.25">
      <c r="C49" s="258" t="str">
        <f>IF(FS!M596&gt;0,FS!D596," ")</f>
        <v xml:space="preserve"> </v>
      </c>
      <c r="D49" s="267" t="str">
        <f>IF(FS!M596&gt;0,FS!M596," ")</f>
        <v xml:space="preserve"> </v>
      </c>
    </row>
    <row r="50" spans="1:12" x14ac:dyDescent="0.25">
      <c r="C50" s="258" t="str">
        <f>IF(FS!M598&gt;0,FS!D598," ")</f>
        <v xml:space="preserve"> </v>
      </c>
      <c r="D50" s="267" t="str">
        <f>IF(FS!M598&gt;0,FS!M598," ")</f>
        <v xml:space="preserve"> </v>
      </c>
    </row>
    <row r="51" spans="1:12" x14ac:dyDescent="0.25">
      <c r="C51" s="260" t="str">
        <f>IF(FS!M608&gt;0,FS!D608," ")</f>
        <v xml:space="preserve"> </v>
      </c>
      <c r="D51" s="268" t="str">
        <f>IF(FS!M608&gt;0,FS!M608," ")</f>
        <v xml:space="preserve"> </v>
      </c>
    </row>
    <row r="52" spans="1:12" x14ac:dyDescent="0.25">
      <c r="D52" s="262">
        <f>SUM(D46:D51)-D42</f>
        <v>0</v>
      </c>
      <c r="F52" s="245"/>
      <c r="J52" s="245"/>
      <c r="K52" s="341"/>
      <c r="L52" s="341"/>
    </row>
    <row r="53" spans="1:12" x14ac:dyDescent="0.25">
      <c r="B53" s="245" t="s">
        <v>921</v>
      </c>
      <c r="C53" s="245"/>
      <c r="D53" s="245"/>
    </row>
    <row r="54" spans="1:12" x14ac:dyDescent="0.25">
      <c r="B54" s="245" t="s">
        <v>805</v>
      </c>
      <c r="C54" s="263"/>
      <c r="D54" s="264">
        <f>D22+D25+D28+D32+D36+D39+D42</f>
        <v>0</v>
      </c>
    </row>
    <row r="55" spans="1:12" x14ac:dyDescent="0.25">
      <c r="F55" s="245"/>
      <c r="G55" s="341"/>
      <c r="H55" s="341"/>
      <c r="J55" s="245"/>
      <c r="K55" s="341"/>
      <c r="L55" s="341"/>
    </row>
    <row r="56" spans="1:12" x14ac:dyDescent="0.25">
      <c r="C56" s="242" t="s">
        <v>812</v>
      </c>
      <c r="D56" s="269">
        <f>D54-C12</f>
        <v>0</v>
      </c>
    </row>
    <row r="57" spans="1:12" x14ac:dyDescent="0.25">
      <c r="A57" s="248"/>
      <c r="B57" s="248"/>
      <c r="C57" s="248"/>
      <c r="D57" s="248"/>
      <c r="E57" s="248"/>
      <c r="F57" s="248"/>
      <c r="G57" s="248"/>
      <c r="H57" s="248"/>
      <c r="I57" s="248"/>
    </row>
    <row r="59" spans="1:12" x14ac:dyDescent="0.25">
      <c r="B59" s="249" t="s">
        <v>301</v>
      </c>
      <c r="C59" s="250"/>
      <c r="D59" s="250"/>
      <c r="F59" s="249" t="s">
        <v>822</v>
      </c>
      <c r="G59" s="250"/>
      <c r="H59" s="250"/>
    </row>
    <row r="60" spans="1:12" x14ac:dyDescent="0.25">
      <c r="B60" s="245"/>
    </row>
    <row r="61" spans="1:12" x14ac:dyDescent="0.25">
      <c r="B61" s="251" t="s">
        <v>814</v>
      </c>
      <c r="C61" s="252"/>
      <c r="D61" s="252"/>
      <c r="F61" s="251" t="s">
        <v>823</v>
      </c>
      <c r="G61" s="252"/>
      <c r="H61" s="252"/>
    </row>
    <row r="63" spans="1:12" x14ac:dyDescent="0.25">
      <c r="B63" s="242" t="s">
        <v>815</v>
      </c>
      <c r="F63" s="242" t="s">
        <v>1194</v>
      </c>
    </row>
    <row r="64" spans="1:12" x14ac:dyDescent="0.25">
      <c r="B64" s="242" t="s">
        <v>805</v>
      </c>
      <c r="C64" s="253"/>
      <c r="D64" s="254">
        <f>FS!M525</f>
        <v>0</v>
      </c>
      <c r="F64" s="242" t="s">
        <v>805</v>
      </c>
      <c r="G64" s="253"/>
      <c r="H64" s="254"/>
    </row>
    <row r="65" spans="2:8" x14ac:dyDescent="0.25">
      <c r="B65" s="242" t="s">
        <v>1192</v>
      </c>
      <c r="F65" s="242" t="s">
        <v>1195</v>
      </c>
    </row>
    <row r="66" spans="2:8" x14ac:dyDescent="0.25">
      <c r="B66" s="242" t="s">
        <v>805</v>
      </c>
      <c r="C66" s="253"/>
      <c r="D66" s="254">
        <f>-FS!M527</f>
        <v>0</v>
      </c>
      <c r="F66" s="242" t="s">
        <v>1196</v>
      </c>
    </row>
    <row r="67" spans="2:8" x14ac:dyDescent="0.25">
      <c r="F67" s="242" t="s">
        <v>805</v>
      </c>
      <c r="G67" s="253"/>
      <c r="H67" s="254">
        <f>FS!M1262</f>
        <v>0</v>
      </c>
    </row>
    <row r="68" spans="2:8" x14ac:dyDescent="0.25">
      <c r="B68" s="245" t="s">
        <v>816</v>
      </c>
      <c r="C68" s="245"/>
      <c r="D68" s="245"/>
      <c r="F68" s="242" t="s">
        <v>1197</v>
      </c>
    </row>
    <row r="69" spans="2:8" x14ac:dyDescent="0.25">
      <c r="B69" s="245" t="s">
        <v>805</v>
      </c>
      <c r="C69" s="271"/>
      <c r="D69" s="264">
        <f>IF((D64-D66)&gt;0,D64-D66,0)</f>
        <v>0</v>
      </c>
      <c r="F69" s="242" t="s">
        <v>1198</v>
      </c>
    </row>
    <row r="70" spans="2:8" x14ac:dyDescent="0.25">
      <c r="B70" s="245" t="s">
        <v>817</v>
      </c>
      <c r="C70" s="245"/>
      <c r="D70" s="272"/>
      <c r="F70" s="242" t="s">
        <v>805</v>
      </c>
      <c r="G70" s="253"/>
      <c r="H70" s="254"/>
    </row>
    <row r="71" spans="2:8" x14ac:dyDescent="0.25">
      <c r="B71" s="245" t="s">
        <v>805</v>
      </c>
      <c r="C71" s="271"/>
      <c r="D71" s="264">
        <f>IF((D64-D66)&lt;0,-(D64-D66),0)</f>
        <v>0</v>
      </c>
      <c r="F71" s="242" t="s">
        <v>1199</v>
      </c>
    </row>
    <row r="72" spans="2:8" x14ac:dyDescent="0.25">
      <c r="F72" s="242" t="s">
        <v>805</v>
      </c>
      <c r="G72" s="253"/>
      <c r="H72" s="254"/>
    </row>
    <row r="73" spans="2:8" x14ac:dyDescent="0.25">
      <c r="B73" s="251" t="s">
        <v>818</v>
      </c>
      <c r="C73" s="252"/>
      <c r="D73" s="252"/>
      <c r="F73" s="242" t="s">
        <v>245</v>
      </c>
    </row>
    <row r="74" spans="2:8" x14ac:dyDescent="0.25">
      <c r="F74" s="242" t="s">
        <v>805</v>
      </c>
      <c r="G74" s="253"/>
      <c r="H74" s="254">
        <f>FS!M1098+SUM(FS!M1100:M1103)+FS!M1104+SUM(FS!M1106:M1109)+FS!M1110+SUM(FS!M1112:M1115)+FS!M1116+SUM(FS!M1118:M1121)+FS!M1230+FS!M1263+FS!M1265+FS!M1266</f>
        <v>0</v>
      </c>
    </row>
    <row r="75" spans="2:8" x14ac:dyDescent="0.25">
      <c r="B75" s="242" t="s">
        <v>1193</v>
      </c>
    </row>
    <row r="76" spans="2:8" x14ac:dyDescent="0.25">
      <c r="B76" s="242" t="s">
        <v>805</v>
      </c>
      <c r="C76" s="253"/>
      <c r="D76" s="254">
        <f>FS!M1238</f>
        <v>0</v>
      </c>
      <c r="F76" s="245" t="s">
        <v>826</v>
      </c>
    </row>
    <row r="77" spans="2:8" x14ac:dyDescent="0.25">
      <c r="B77" s="242" t="s">
        <v>825</v>
      </c>
      <c r="F77" s="245" t="s">
        <v>805</v>
      </c>
      <c r="G77" s="271"/>
      <c r="H77" s="264">
        <f>SUM(D76:D84)+SUM(H64:H74)</f>
        <v>0</v>
      </c>
    </row>
    <row r="78" spans="2:8" x14ac:dyDescent="0.25">
      <c r="B78" s="242" t="s">
        <v>805</v>
      </c>
      <c r="C78" s="253"/>
      <c r="D78" s="254"/>
      <c r="G78" s="242" t="s">
        <v>836</v>
      </c>
      <c r="H78" s="262">
        <f>C8-D64-H77</f>
        <v>0</v>
      </c>
    </row>
    <row r="79" spans="2:8" x14ac:dyDescent="0.25">
      <c r="B79" s="242" t="s">
        <v>819</v>
      </c>
      <c r="H79" s="341"/>
    </row>
    <row r="80" spans="2:8" x14ac:dyDescent="0.25">
      <c r="B80" s="242" t="s">
        <v>805</v>
      </c>
      <c r="C80" s="253"/>
      <c r="D80" s="254">
        <f>FS!M1264</f>
        <v>0</v>
      </c>
      <c r="H80" s="341"/>
    </row>
    <row r="81" spans="1:12" x14ac:dyDescent="0.25">
      <c r="B81" s="242" t="s">
        <v>820</v>
      </c>
      <c r="H81" s="341"/>
    </row>
    <row r="82" spans="1:12" x14ac:dyDescent="0.25">
      <c r="B82" s="242" t="s">
        <v>805</v>
      </c>
      <c r="C82" s="253"/>
      <c r="D82" s="254"/>
      <c r="H82" s="341"/>
    </row>
    <row r="83" spans="1:12" x14ac:dyDescent="0.25">
      <c r="B83" s="242" t="s">
        <v>821</v>
      </c>
      <c r="H83" s="341"/>
    </row>
    <row r="84" spans="1:12" x14ac:dyDescent="0.25">
      <c r="B84" s="242" t="s">
        <v>805</v>
      </c>
      <c r="C84" s="253"/>
      <c r="D84" s="254">
        <f>FS!M1099+FS!M1105+FS!M1111+FS!M1117</f>
        <v>0</v>
      </c>
      <c r="H84" s="341"/>
    </row>
    <row r="85" spans="1:12" x14ac:dyDescent="0.25">
      <c r="H85" s="341"/>
    </row>
    <row r="86" spans="1:12" x14ac:dyDescent="0.25">
      <c r="A86" s="248"/>
      <c r="B86" s="248"/>
      <c r="C86" s="248"/>
      <c r="D86" s="345"/>
      <c r="E86" s="248"/>
      <c r="F86" s="248"/>
      <c r="G86" s="248"/>
      <c r="H86" s="346"/>
      <c r="I86" s="248"/>
    </row>
    <row r="87" spans="1:12" x14ac:dyDescent="0.25">
      <c r="H87" s="341"/>
      <c r="J87" s="245"/>
    </row>
    <row r="88" spans="1:12" x14ac:dyDescent="0.25">
      <c r="B88" s="696" t="s">
        <v>827</v>
      </c>
      <c r="C88" s="696"/>
      <c r="D88" s="696"/>
      <c r="E88" s="696"/>
      <c r="F88" s="696"/>
      <c r="G88" s="696"/>
      <c r="H88" s="696"/>
    </row>
    <row r="90" spans="1:12" x14ac:dyDescent="0.25">
      <c r="B90" s="242" t="s">
        <v>828</v>
      </c>
      <c r="F90" s="242" t="s">
        <v>829</v>
      </c>
    </row>
    <row r="91" spans="1:12" x14ac:dyDescent="0.25">
      <c r="B91" s="242" t="s">
        <v>805</v>
      </c>
      <c r="C91" s="253"/>
      <c r="D91" s="254">
        <f>FS!M2773</f>
        <v>0</v>
      </c>
      <c r="F91" s="242" t="s">
        <v>805</v>
      </c>
      <c r="G91" s="253"/>
      <c r="H91" s="254">
        <f>FS!M2679+FS!M2995+FS!M3323+FS!M3651</f>
        <v>0</v>
      </c>
    </row>
    <row r="92" spans="1:12" x14ac:dyDescent="0.25">
      <c r="B92" s="242" t="s">
        <v>337</v>
      </c>
      <c r="F92" s="242" t="s">
        <v>830</v>
      </c>
    </row>
    <row r="93" spans="1:12" x14ac:dyDescent="0.25">
      <c r="B93" s="242" t="s">
        <v>805</v>
      </c>
      <c r="C93" s="253"/>
      <c r="D93" s="254">
        <f>FS!M1211</f>
        <v>0</v>
      </c>
      <c r="F93" s="242" t="s">
        <v>805</v>
      </c>
      <c r="G93" s="253"/>
      <c r="H93" s="254"/>
    </row>
    <row r="94" spans="1:12" x14ac:dyDescent="0.25">
      <c r="B94" s="242" t="s">
        <v>831</v>
      </c>
      <c r="F94" s="242" t="s">
        <v>1202</v>
      </c>
    </row>
    <row r="95" spans="1:12" x14ac:dyDescent="0.25">
      <c r="B95" s="242" t="s">
        <v>805</v>
      </c>
      <c r="C95" s="253"/>
      <c r="D95" s="254">
        <f>FS!M2769</f>
        <v>0</v>
      </c>
      <c r="F95" s="242" t="s">
        <v>1203</v>
      </c>
    </row>
    <row r="96" spans="1:12" x14ac:dyDescent="0.25">
      <c r="B96" s="242" t="s">
        <v>765</v>
      </c>
      <c r="F96" s="242" t="s">
        <v>805</v>
      </c>
      <c r="G96" s="253"/>
      <c r="H96" s="254">
        <f>FS!M2630+FS!M2947+FS!M3275+FS!M3603</f>
        <v>0</v>
      </c>
      <c r="L96" s="340"/>
    </row>
    <row r="97" spans="2:12" x14ac:dyDescent="0.25">
      <c r="B97" s="242" t="s">
        <v>805</v>
      </c>
      <c r="C97" s="253"/>
      <c r="D97" s="254"/>
      <c r="F97" s="242" t="s">
        <v>1204</v>
      </c>
    </row>
    <row r="98" spans="2:12" x14ac:dyDescent="0.25">
      <c r="B98" s="242" t="s">
        <v>1200</v>
      </c>
      <c r="F98" s="242" t="s">
        <v>1205</v>
      </c>
      <c r="L98" s="340"/>
    </row>
    <row r="99" spans="2:12" x14ac:dyDescent="0.25">
      <c r="B99" s="242" t="s">
        <v>805</v>
      </c>
      <c r="C99" s="253"/>
      <c r="D99" s="254">
        <f>FS!M2632+FS!M2637+FS!M2949+FS!M2954+FS!M3277+FS!M3282+FS!M3605+FS!M3610</f>
        <v>0</v>
      </c>
      <c r="F99" s="242" t="s">
        <v>805</v>
      </c>
      <c r="G99" s="253"/>
      <c r="H99" s="254">
        <f>FS!M2638+FS!M2685+FS!M2696+FS!M2955+FS!M3001+FS!M3012+FS!M3283+FS!M3329+FS!M3340+FS!M3611+FS!M3657+FS!M3668</f>
        <v>0</v>
      </c>
    </row>
    <row r="100" spans="2:12" x14ac:dyDescent="0.25">
      <c r="B100" s="242" t="s">
        <v>1201</v>
      </c>
      <c r="F100" s="242" t="s">
        <v>832</v>
      </c>
    </row>
    <row r="101" spans="2:12" x14ac:dyDescent="0.25">
      <c r="B101" s="242" t="s">
        <v>805</v>
      </c>
      <c r="C101" s="253"/>
      <c r="D101" s="254">
        <f>-(FS!M534+FS!M536+FS!M544)-SUM(D91:D99)-SUM(H91:H101)</f>
        <v>0</v>
      </c>
      <c r="F101" s="242" t="s">
        <v>805</v>
      </c>
      <c r="G101" s="253"/>
      <c r="H101" s="254">
        <f>FS!M2641+FS!M2958+FS!M3286+FS!M3614</f>
        <v>0</v>
      </c>
    </row>
    <row r="103" spans="2:12" x14ac:dyDescent="0.25">
      <c r="F103" s="245" t="s">
        <v>826</v>
      </c>
    </row>
    <row r="104" spans="2:12" x14ac:dyDescent="0.25">
      <c r="F104" s="245" t="s">
        <v>805</v>
      </c>
      <c r="G104" s="271"/>
      <c r="H104" s="264">
        <f>SUM(D91:D101)+SUM(H91:H101)</f>
        <v>0</v>
      </c>
    </row>
    <row r="106" spans="2:12" x14ac:dyDescent="0.25">
      <c r="B106" s="251" t="s">
        <v>833</v>
      </c>
      <c r="C106" s="252"/>
      <c r="D106" s="252"/>
      <c r="H106" s="340"/>
    </row>
    <row r="107" spans="2:12" x14ac:dyDescent="0.25">
      <c r="B107" s="245" t="s">
        <v>834</v>
      </c>
      <c r="F107" s="245" t="s">
        <v>835</v>
      </c>
    </row>
    <row r="108" spans="2:12" x14ac:dyDescent="0.25">
      <c r="B108" s="245" t="s">
        <v>805</v>
      </c>
      <c r="C108" s="271"/>
      <c r="D108" s="264">
        <f>IF(IF(D71=0,D69+H77-H104,-D71+H77-H104)&lt;0,0,IF(D71=0,D69+H77-H104,-D71+H77-H104))</f>
        <v>0</v>
      </c>
      <c r="F108" s="245" t="s">
        <v>805</v>
      </c>
      <c r="G108" s="271"/>
      <c r="H108" s="264">
        <f>IF(IF(D71=0,D69+H77-H104,-D71+H77-H104)&lt;0,IF(D71=0,-(D69+H77-H104),-(-D71+H77-H104)),0)</f>
        <v>0</v>
      </c>
    </row>
    <row r="109" spans="2:12" x14ac:dyDescent="0.25">
      <c r="G109" s="242" t="s">
        <v>842</v>
      </c>
      <c r="H109" s="262">
        <f>D108-H108-FS!M548</f>
        <v>0</v>
      </c>
    </row>
    <row r="110" spans="2:12" x14ac:dyDescent="0.25">
      <c r="H110" s="340"/>
    </row>
    <row r="113" spans="8:12" x14ac:dyDescent="0.25">
      <c r="K113" s="342"/>
      <c r="L113" s="342"/>
    </row>
    <row r="114" spans="8:12" x14ac:dyDescent="0.25">
      <c r="H114" s="340"/>
      <c r="K114" s="342"/>
      <c r="L114" s="347"/>
    </row>
    <row r="115" spans="8:12" x14ac:dyDescent="0.25">
      <c r="K115" s="342"/>
      <c r="L115" s="342"/>
    </row>
    <row r="116" spans="8:12" x14ac:dyDescent="0.25">
      <c r="K116" s="342"/>
      <c r="L116" s="342"/>
    </row>
  </sheetData>
  <mergeCells count="1">
    <mergeCell ref="B88:H88"/>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4"/>
      <c r="I1" s="44"/>
    </row>
    <row r="2" spans="1:13" x14ac:dyDescent="0.25">
      <c r="C2" s="3" t="str">
        <f>Criteria!E9</f>
        <v>ABC COMPANY (PROPRIETARY) LIMITED</v>
      </c>
    </row>
    <row r="3" spans="1:13" x14ac:dyDescent="0.25">
      <c r="H3" s="86" t="s">
        <v>101</v>
      </c>
      <c r="I3" s="86"/>
    </row>
    <row r="4" spans="1:13" x14ac:dyDescent="0.25">
      <c r="C4" s="3" t="s">
        <v>100</v>
      </c>
      <c r="D4" s="44" t="str">
        <f>Criteria!E20</f>
        <v>29 FEBRUARY 2024</v>
      </c>
    </row>
    <row r="5" spans="1:13" x14ac:dyDescent="0.25">
      <c r="H5" s="86" t="s">
        <v>102</v>
      </c>
      <c r="I5" s="86"/>
    </row>
    <row r="6" spans="1:13" x14ac:dyDescent="0.25">
      <c r="C6" s="3" t="s">
        <v>204</v>
      </c>
      <c r="H6" s="44"/>
      <c r="I6" s="44"/>
    </row>
    <row r="7" spans="1:13" x14ac:dyDescent="0.25">
      <c r="C7" s="7"/>
      <c r="D7" s="7"/>
      <c r="E7" s="7"/>
      <c r="F7" s="87"/>
      <c r="G7" s="87"/>
      <c r="H7" s="87"/>
      <c r="I7" s="87"/>
    </row>
    <row r="8" spans="1:13" x14ac:dyDescent="0.25">
      <c r="D8" s="9" t="str">
        <f>IF(F8=0," ","OUT OF BALANCE")</f>
        <v xml:space="preserve"> </v>
      </c>
      <c r="E8" s="9"/>
      <c r="F8" s="4">
        <f>ROUND(F484-G484+H484-I484,2)</f>
        <v>0</v>
      </c>
    </row>
    <row r="9" spans="1:13" x14ac:dyDescent="0.25">
      <c r="D9" s="9" t="s">
        <v>354</v>
      </c>
      <c r="E9" s="9"/>
      <c r="F9" s="4">
        <f>F486</f>
        <v>0</v>
      </c>
    </row>
    <row r="10" spans="1:13" x14ac:dyDescent="0.25">
      <c r="D10" s="9"/>
      <c r="E10" s="9"/>
    </row>
    <row r="11" spans="1:13" x14ac:dyDescent="0.25">
      <c r="A11" s="43" t="s">
        <v>328</v>
      </c>
      <c r="F11" s="708"/>
      <c r="G11" s="708"/>
      <c r="H11" s="708"/>
      <c r="I11" s="708"/>
    </row>
    <row r="12" spans="1:13" x14ac:dyDescent="0.25">
      <c r="A12" s="43" t="s">
        <v>772</v>
      </c>
      <c r="F12" s="708" t="s">
        <v>417</v>
      </c>
      <c r="G12" s="708"/>
      <c r="H12" s="708" t="s">
        <v>116</v>
      </c>
      <c r="I12" s="708"/>
    </row>
    <row r="13" spans="1:13" x14ac:dyDescent="0.25">
      <c r="A13" s="43" t="s">
        <v>329</v>
      </c>
      <c r="B13" s="35" t="s">
        <v>882</v>
      </c>
      <c r="C13" s="35" t="s">
        <v>282</v>
      </c>
      <c r="D13" s="35" t="s">
        <v>301</v>
      </c>
      <c r="E13" s="35" t="s">
        <v>490</v>
      </c>
      <c r="F13" s="25" t="s">
        <v>285</v>
      </c>
      <c r="G13" s="25" t="s">
        <v>286</v>
      </c>
      <c r="H13" s="25" t="s">
        <v>285</v>
      </c>
      <c r="I13" s="25" t="s">
        <v>286</v>
      </c>
    </row>
    <row r="14" spans="1:13" x14ac:dyDescent="0.25">
      <c r="A14" s="43"/>
    </row>
    <row r="15" spans="1:13" x14ac:dyDescent="0.25">
      <c r="A15" s="43" t="str">
        <f t="shared" ref="A15:A78" si="0">IF(COUNTIF(K15:M15,"ERROR")&gt;0,"ERROR"," ")</f>
        <v xml:space="preserve"> </v>
      </c>
      <c r="B15" s="5">
        <v>1</v>
      </c>
      <c r="D15" s="42"/>
      <c r="E15" s="42"/>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43" t="str">
        <f t="shared" si="0"/>
        <v xml:space="preserve"> </v>
      </c>
      <c r="B16" s="28"/>
      <c r="D16" s="42"/>
      <c r="E16" s="42"/>
      <c r="J16" s="17">
        <f t="shared" ref="J16:J79" si="3">F16-G16+H16-I16</f>
        <v>0</v>
      </c>
      <c r="K16" s="2" t="str">
        <f t="shared" ref="K16:K79" si="4">IF(COUNTA(D16:E16)=2,"ERROR"," ")</f>
        <v xml:space="preserve"> </v>
      </c>
      <c r="L16" s="2" t="str">
        <f t="shared" si="1"/>
        <v xml:space="preserve"> </v>
      </c>
      <c r="M16" s="2" t="str">
        <f t="shared" si="2"/>
        <v xml:space="preserve"> </v>
      </c>
    </row>
    <row r="17" spans="1:13" x14ac:dyDescent="0.25">
      <c r="A17" s="43" t="str">
        <f t="shared" si="0"/>
        <v xml:space="preserve"> </v>
      </c>
      <c r="D17" s="42"/>
      <c r="E17" s="42"/>
      <c r="J17" s="17">
        <f t="shared" si="3"/>
        <v>0</v>
      </c>
      <c r="K17" s="2" t="str">
        <f t="shared" si="4"/>
        <v xml:space="preserve"> </v>
      </c>
      <c r="L17" s="2" t="str">
        <f t="shared" si="1"/>
        <v xml:space="preserve"> </v>
      </c>
      <c r="M17" s="2" t="str">
        <f t="shared" si="2"/>
        <v xml:space="preserve"> </v>
      </c>
    </row>
    <row r="18" spans="1:13" x14ac:dyDescent="0.25">
      <c r="A18" s="43" t="str">
        <f t="shared" si="0"/>
        <v xml:space="preserve"> </v>
      </c>
      <c r="D18" s="42"/>
      <c r="E18" s="42"/>
      <c r="J18" s="17">
        <f t="shared" si="3"/>
        <v>0</v>
      </c>
      <c r="K18" s="2" t="str">
        <f t="shared" si="4"/>
        <v xml:space="preserve"> </v>
      </c>
      <c r="L18" s="2" t="str">
        <f t="shared" si="1"/>
        <v xml:space="preserve"> </v>
      </c>
      <c r="M18" s="2" t="str">
        <f t="shared" si="2"/>
        <v xml:space="preserve"> </v>
      </c>
    </row>
    <row r="19" spans="1:13" x14ac:dyDescent="0.25">
      <c r="A19" s="43" t="str">
        <f t="shared" si="0"/>
        <v xml:space="preserve"> </v>
      </c>
      <c r="D19" s="42"/>
      <c r="E19" s="42"/>
      <c r="J19" s="17">
        <f t="shared" si="3"/>
        <v>0</v>
      </c>
      <c r="K19" s="2" t="str">
        <f t="shared" si="4"/>
        <v xml:space="preserve"> </v>
      </c>
      <c r="L19" s="2" t="str">
        <f t="shared" si="1"/>
        <v xml:space="preserve"> </v>
      </c>
      <c r="M19" s="2" t="str">
        <f t="shared" si="2"/>
        <v xml:space="preserve"> </v>
      </c>
    </row>
    <row r="20" spans="1:13" x14ac:dyDescent="0.25">
      <c r="A20" s="43" t="str">
        <f t="shared" si="0"/>
        <v xml:space="preserve"> </v>
      </c>
      <c r="D20" s="42"/>
      <c r="E20" s="42"/>
      <c r="J20" s="17">
        <f t="shared" si="3"/>
        <v>0</v>
      </c>
      <c r="K20" s="2" t="str">
        <f t="shared" si="4"/>
        <v xml:space="preserve"> </v>
      </c>
      <c r="L20" s="2" t="str">
        <f t="shared" si="1"/>
        <v xml:space="preserve"> </v>
      </c>
      <c r="M20" s="2" t="str">
        <f t="shared" si="2"/>
        <v xml:space="preserve"> </v>
      </c>
    </row>
    <row r="21" spans="1:13" x14ac:dyDescent="0.25">
      <c r="A21" s="43" t="str">
        <f t="shared" si="0"/>
        <v xml:space="preserve"> </v>
      </c>
      <c r="D21" s="42"/>
      <c r="E21" s="42"/>
      <c r="J21" s="17">
        <f t="shared" si="3"/>
        <v>0</v>
      </c>
      <c r="K21" s="2" t="str">
        <f t="shared" si="4"/>
        <v xml:space="preserve"> </v>
      </c>
      <c r="L21" s="2" t="str">
        <f t="shared" si="1"/>
        <v xml:space="preserve"> </v>
      </c>
      <c r="M21" s="2" t="str">
        <f t="shared" si="2"/>
        <v xml:space="preserve"> </v>
      </c>
    </row>
    <row r="22" spans="1:13" x14ac:dyDescent="0.25">
      <c r="A22" s="43" t="str">
        <f t="shared" si="0"/>
        <v xml:space="preserve"> </v>
      </c>
      <c r="D22" s="42"/>
      <c r="E22" s="42"/>
      <c r="J22" s="17">
        <f t="shared" si="3"/>
        <v>0</v>
      </c>
      <c r="K22" s="2" t="str">
        <f t="shared" si="4"/>
        <v xml:space="preserve"> </v>
      </c>
      <c r="L22" s="2" t="str">
        <f t="shared" si="1"/>
        <v xml:space="preserve"> </v>
      </c>
      <c r="M22" s="2" t="str">
        <f t="shared" si="2"/>
        <v xml:space="preserve"> </v>
      </c>
    </row>
    <row r="23" spans="1:13" x14ac:dyDescent="0.25">
      <c r="A23" s="43" t="str">
        <f t="shared" si="0"/>
        <v xml:space="preserve"> </v>
      </c>
      <c r="D23" s="42"/>
      <c r="E23" s="42"/>
      <c r="J23" s="17">
        <f t="shared" si="3"/>
        <v>0</v>
      </c>
      <c r="K23" s="2" t="str">
        <f t="shared" si="4"/>
        <v xml:space="preserve"> </v>
      </c>
      <c r="L23" s="2" t="str">
        <f t="shared" si="1"/>
        <v xml:space="preserve"> </v>
      </c>
      <c r="M23" s="2" t="str">
        <f t="shared" si="2"/>
        <v xml:space="preserve"> </v>
      </c>
    </row>
    <row r="24" spans="1:13" x14ac:dyDescent="0.25">
      <c r="A24" s="43" t="str">
        <f t="shared" si="0"/>
        <v xml:space="preserve"> </v>
      </c>
      <c r="D24" s="42"/>
      <c r="E24" s="42"/>
      <c r="J24" s="17">
        <f t="shared" si="3"/>
        <v>0</v>
      </c>
      <c r="K24" s="2" t="str">
        <f t="shared" si="4"/>
        <v xml:space="preserve"> </v>
      </c>
      <c r="L24" s="2" t="str">
        <f t="shared" si="1"/>
        <v xml:space="preserve"> </v>
      </c>
      <c r="M24" s="2" t="str">
        <f t="shared" si="2"/>
        <v xml:space="preserve"> </v>
      </c>
    </row>
    <row r="25" spans="1:13" x14ac:dyDescent="0.25">
      <c r="A25" s="43" t="str">
        <f t="shared" si="0"/>
        <v xml:space="preserve"> </v>
      </c>
      <c r="C25" s="61"/>
      <c r="D25" s="42"/>
      <c r="E25" s="42"/>
      <c r="J25" s="17">
        <f t="shared" si="3"/>
        <v>0</v>
      </c>
      <c r="K25" s="2" t="str">
        <f t="shared" si="4"/>
        <v xml:space="preserve"> </v>
      </c>
      <c r="L25" s="2" t="str">
        <f t="shared" si="1"/>
        <v xml:space="preserve"> </v>
      </c>
      <c r="M25" s="2" t="str">
        <f t="shared" si="2"/>
        <v xml:space="preserve"> </v>
      </c>
    </row>
    <row r="26" spans="1:13" x14ac:dyDescent="0.25">
      <c r="A26" s="43" t="str">
        <f t="shared" si="0"/>
        <v xml:space="preserve"> </v>
      </c>
      <c r="D26" s="42"/>
      <c r="E26" s="42"/>
      <c r="J26" s="17">
        <f t="shared" si="3"/>
        <v>0</v>
      </c>
      <c r="K26" s="2" t="str">
        <f t="shared" si="4"/>
        <v xml:space="preserve"> </v>
      </c>
      <c r="L26" s="2" t="str">
        <f t="shared" si="1"/>
        <v xml:space="preserve"> </v>
      </c>
      <c r="M26" s="2" t="str">
        <f t="shared" si="2"/>
        <v xml:space="preserve"> </v>
      </c>
    </row>
    <row r="27" spans="1:13" x14ac:dyDescent="0.25">
      <c r="A27" s="43" t="str">
        <f t="shared" si="0"/>
        <v xml:space="preserve"> </v>
      </c>
      <c r="D27" s="42"/>
      <c r="E27" s="42"/>
      <c r="J27" s="17">
        <f t="shared" si="3"/>
        <v>0</v>
      </c>
      <c r="K27" s="2" t="str">
        <f t="shared" si="4"/>
        <v xml:space="preserve"> </v>
      </c>
      <c r="L27" s="2" t="str">
        <f t="shared" si="1"/>
        <v xml:space="preserve"> </v>
      </c>
      <c r="M27" s="2" t="str">
        <f t="shared" si="2"/>
        <v xml:space="preserve"> </v>
      </c>
    </row>
    <row r="28" spans="1:13" x14ac:dyDescent="0.25">
      <c r="A28" s="43" t="str">
        <f t="shared" si="0"/>
        <v xml:space="preserve"> </v>
      </c>
      <c r="D28" s="42"/>
      <c r="E28" s="42"/>
      <c r="J28" s="17">
        <f t="shared" si="3"/>
        <v>0</v>
      </c>
      <c r="K28" s="2" t="str">
        <f t="shared" si="4"/>
        <v xml:space="preserve"> </v>
      </c>
      <c r="L28" s="2" t="str">
        <f t="shared" si="1"/>
        <v xml:space="preserve"> </v>
      </c>
      <c r="M28" s="2" t="str">
        <f t="shared" si="2"/>
        <v xml:space="preserve"> </v>
      </c>
    </row>
    <row r="29" spans="1:13" x14ac:dyDescent="0.25">
      <c r="A29" s="43" t="str">
        <f t="shared" si="0"/>
        <v xml:space="preserve"> </v>
      </c>
      <c r="D29" s="42"/>
      <c r="E29" s="42"/>
      <c r="J29" s="17">
        <f t="shared" si="3"/>
        <v>0</v>
      </c>
      <c r="K29" s="2" t="str">
        <f t="shared" si="4"/>
        <v xml:space="preserve"> </v>
      </c>
      <c r="L29" s="2" t="str">
        <f t="shared" si="1"/>
        <v xml:space="preserve"> </v>
      </c>
      <c r="M29" s="2" t="str">
        <f t="shared" si="2"/>
        <v xml:space="preserve"> </v>
      </c>
    </row>
    <row r="30" spans="1:13" x14ac:dyDescent="0.25">
      <c r="A30" s="43" t="str">
        <f t="shared" si="0"/>
        <v xml:space="preserve"> </v>
      </c>
      <c r="D30" s="42"/>
      <c r="E30" s="42"/>
      <c r="J30" s="17">
        <f t="shared" si="3"/>
        <v>0</v>
      </c>
      <c r="K30" s="2" t="str">
        <f t="shared" si="4"/>
        <v xml:space="preserve"> </v>
      </c>
      <c r="L30" s="2" t="str">
        <f t="shared" si="1"/>
        <v xml:space="preserve"> </v>
      </c>
      <c r="M30" s="2" t="str">
        <f t="shared" si="2"/>
        <v xml:space="preserve"> </v>
      </c>
    </row>
    <row r="31" spans="1:13" x14ac:dyDescent="0.25">
      <c r="A31" s="43" t="str">
        <f t="shared" si="0"/>
        <v xml:space="preserve"> </v>
      </c>
      <c r="D31" s="42"/>
      <c r="E31" s="42"/>
      <c r="J31" s="17">
        <f t="shared" si="3"/>
        <v>0</v>
      </c>
      <c r="K31" s="2" t="str">
        <f t="shared" si="4"/>
        <v xml:space="preserve"> </v>
      </c>
      <c r="L31" s="2" t="str">
        <f t="shared" si="1"/>
        <v xml:space="preserve"> </v>
      </c>
      <c r="M31" s="2" t="str">
        <f t="shared" si="2"/>
        <v xml:space="preserve"> </v>
      </c>
    </row>
    <row r="32" spans="1:13" x14ac:dyDescent="0.25">
      <c r="A32" s="43" t="str">
        <f t="shared" si="0"/>
        <v xml:space="preserve"> </v>
      </c>
      <c r="D32" s="42"/>
      <c r="E32" s="42"/>
      <c r="J32" s="17">
        <f t="shared" si="3"/>
        <v>0</v>
      </c>
      <c r="K32" s="2" t="str">
        <f t="shared" si="4"/>
        <v xml:space="preserve"> </v>
      </c>
      <c r="L32" s="2" t="str">
        <f t="shared" si="1"/>
        <v xml:space="preserve"> </v>
      </c>
      <c r="M32" s="2" t="str">
        <f t="shared" si="2"/>
        <v xml:space="preserve"> </v>
      </c>
    </row>
    <row r="33" spans="1:13" x14ac:dyDescent="0.25">
      <c r="A33" s="43" t="str">
        <f t="shared" si="0"/>
        <v xml:space="preserve"> </v>
      </c>
      <c r="D33" s="42"/>
      <c r="E33" s="42"/>
      <c r="J33" s="17">
        <f t="shared" si="3"/>
        <v>0</v>
      </c>
      <c r="K33" s="2" t="str">
        <f t="shared" si="4"/>
        <v xml:space="preserve"> </v>
      </c>
      <c r="L33" s="2" t="str">
        <f t="shared" si="1"/>
        <v xml:space="preserve"> </v>
      </c>
      <c r="M33" s="2" t="str">
        <f t="shared" si="2"/>
        <v xml:space="preserve"> </v>
      </c>
    </row>
    <row r="34" spans="1:13" x14ac:dyDescent="0.25">
      <c r="A34" s="43" t="str">
        <f t="shared" si="0"/>
        <v xml:space="preserve"> </v>
      </c>
      <c r="D34" s="42"/>
      <c r="E34" s="42"/>
      <c r="J34" s="17">
        <f t="shared" si="3"/>
        <v>0</v>
      </c>
      <c r="K34" s="2" t="str">
        <f t="shared" si="4"/>
        <v xml:space="preserve"> </v>
      </c>
      <c r="L34" s="2" t="str">
        <f t="shared" si="1"/>
        <v xml:space="preserve"> </v>
      </c>
      <c r="M34" s="2" t="str">
        <f t="shared" si="2"/>
        <v xml:space="preserve"> </v>
      </c>
    </row>
    <row r="35" spans="1:13" x14ac:dyDescent="0.25">
      <c r="A35" s="43" t="str">
        <f t="shared" si="0"/>
        <v xml:space="preserve"> </v>
      </c>
      <c r="D35" s="42"/>
      <c r="E35" s="42"/>
      <c r="J35" s="17">
        <f t="shared" si="3"/>
        <v>0</v>
      </c>
      <c r="K35" s="2" t="str">
        <f t="shared" si="4"/>
        <v xml:space="preserve"> </v>
      </c>
      <c r="L35" s="2" t="str">
        <f t="shared" si="1"/>
        <v xml:space="preserve"> </v>
      </c>
      <c r="M35" s="2" t="str">
        <f t="shared" si="2"/>
        <v xml:space="preserve"> </v>
      </c>
    </row>
    <row r="36" spans="1:13" x14ac:dyDescent="0.25">
      <c r="A36" s="43" t="str">
        <f t="shared" si="0"/>
        <v xml:space="preserve"> </v>
      </c>
      <c r="D36" s="42"/>
      <c r="E36" s="42"/>
      <c r="J36" s="17">
        <f t="shared" si="3"/>
        <v>0</v>
      </c>
      <c r="K36" s="2" t="str">
        <f t="shared" si="4"/>
        <v xml:space="preserve"> </v>
      </c>
      <c r="L36" s="2" t="str">
        <f t="shared" si="1"/>
        <v xml:space="preserve"> </v>
      </c>
      <c r="M36" s="2" t="str">
        <f t="shared" si="2"/>
        <v xml:space="preserve"> </v>
      </c>
    </row>
    <row r="37" spans="1:13" x14ac:dyDescent="0.25">
      <c r="A37" s="43" t="str">
        <f t="shared" si="0"/>
        <v xml:space="preserve"> </v>
      </c>
      <c r="D37" s="42"/>
      <c r="E37" s="42"/>
      <c r="J37" s="17">
        <f t="shared" si="3"/>
        <v>0</v>
      </c>
      <c r="K37" s="2" t="str">
        <f t="shared" si="4"/>
        <v xml:space="preserve"> </v>
      </c>
      <c r="L37" s="2" t="str">
        <f t="shared" si="1"/>
        <v xml:space="preserve"> </v>
      </c>
      <c r="M37" s="2" t="str">
        <f t="shared" si="2"/>
        <v xml:space="preserve"> </v>
      </c>
    </row>
    <row r="38" spans="1:13" x14ac:dyDescent="0.25">
      <c r="A38" s="43" t="str">
        <f t="shared" si="0"/>
        <v xml:space="preserve"> </v>
      </c>
      <c r="D38" s="42"/>
      <c r="E38" s="42"/>
      <c r="J38" s="17">
        <f t="shared" si="3"/>
        <v>0</v>
      </c>
      <c r="K38" s="2" t="str">
        <f t="shared" si="4"/>
        <v xml:space="preserve"> </v>
      </c>
      <c r="L38" s="2" t="str">
        <f t="shared" si="1"/>
        <v xml:space="preserve"> </v>
      </c>
      <c r="M38" s="2" t="str">
        <f t="shared" si="2"/>
        <v xml:space="preserve"> </v>
      </c>
    </row>
    <row r="39" spans="1:13" x14ac:dyDescent="0.25">
      <c r="A39" s="43" t="str">
        <f t="shared" si="0"/>
        <v xml:space="preserve"> </v>
      </c>
      <c r="D39" s="42"/>
      <c r="E39" s="42"/>
      <c r="J39" s="17">
        <f t="shared" si="3"/>
        <v>0</v>
      </c>
      <c r="K39" s="2" t="str">
        <f t="shared" si="4"/>
        <v xml:space="preserve"> </v>
      </c>
      <c r="L39" s="2" t="str">
        <f t="shared" si="1"/>
        <v xml:space="preserve"> </v>
      </c>
      <c r="M39" s="2" t="str">
        <f t="shared" si="2"/>
        <v xml:space="preserve"> </v>
      </c>
    </row>
    <row r="40" spans="1:13" x14ac:dyDescent="0.25">
      <c r="A40" s="43" t="str">
        <f t="shared" si="0"/>
        <v xml:space="preserve"> </v>
      </c>
      <c r="D40" s="42"/>
      <c r="E40" s="42"/>
      <c r="J40" s="17">
        <f t="shared" si="3"/>
        <v>0</v>
      </c>
      <c r="K40" s="2" t="str">
        <f t="shared" si="4"/>
        <v xml:space="preserve"> </v>
      </c>
      <c r="L40" s="2" t="str">
        <f t="shared" si="1"/>
        <v xml:space="preserve"> </v>
      </c>
      <c r="M40" s="2" t="str">
        <f t="shared" si="2"/>
        <v xml:space="preserve"> </v>
      </c>
    </row>
    <row r="41" spans="1:13" x14ac:dyDescent="0.25">
      <c r="A41" s="43" t="str">
        <f t="shared" si="0"/>
        <v xml:space="preserve"> </v>
      </c>
      <c r="D41" s="42"/>
      <c r="E41" s="42"/>
      <c r="J41" s="17">
        <f t="shared" si="3"/>
        <v>0</v>
      </c>
      <c r="K41" s="2" t="str">
        <f t="shared" si="4"/>
        <v xml:space="preserve"> </v>
      </c>
      <c r="L41" s="2" t="str">
        <f t="shared" si="1"/>
        <v xml:space="preserve"> </v>
      </c>
      <c r="M41" s="2" t="str">
        <f t="shared" si="2"/>
        <v xml:space="preserve"> </v>
      </c>
    </row>
    <row r="42" spans="1:13" x14ac:dyDescent="0.25">
      <c r="A42" s="43" t="str">
        <f t="shared" si="0"/>
        <v xml:space="preserve"> </v>
      </c>
      <c r="D42" s="42"/>
      <c r="E42" s="42"/>
      <c r="J42" s="17">
        <f t="shared" si="3"/>
        <v>0</v>
      </c>
      <c r="K42" s="2" t="str">
        <f t="shared" si="4"/>
        <v xml:space="preserve"> </v>
      </c>
      <c r="L42" s="2" t="str">
        <f t="shared" si="1"/>
        <v xml:space="preserve"> </v>
      </c>
      <c r="M42" s="2" t="str">
        <f t="shared" si="2"/>
        <v xml:space="preserve"> </v>
      </c>
    </row>
    <row r="43" spans="1:13" x14ac:dyDescent="0.25">
      <c r="A43" s="43" t="str">
        <f t="shared" si="0"/>
        <v xml:space="preserve"> </v>
      </c>
      <c r="D43" s="42"/>
      <c r="E43" s="42"/>
      <c r="J43" s="17">
        <f t="shared" si="3"/>
        <v>0</v>
      </c>
      <c r="K43" s="2" t="str">
        <f t="shared" si="4"/>
        <v xml:space="preserve"> </v>
      </c>
      <c r="L43" s="2" t="str">
        <f t="shared" si="1"/>
        <v xml:space="preserve"> </v>
      </c>
      <c r="M43" s="2" t="str">
        <f t="shared" si="2"/>
        <v xml:space="preserve"> </v>
      </c>
    </row>
    <row r="44" spans="1:13" x14ac:dyDescent="0.25">
      <c r="A44" s="43" t="str">
        <f t="shared" si="0"/>
        <v xml:space="preserve"> </v>
      </c>
      <c r="D44" s="42"/>
      <c r="E44" s="42"/>
      <c r="J44" s="17">
        <f t="shared" si="3"/>
        <v>0</v>
      </c>
      <c r="K44" s="2" t="str">
        <f t="shared" si="4"/>
        <v xml:space="preserve"> </v>
      </c>
      <c r="L44" s="2" t="str">
        <f t="shared" si="1"/>
        <v xml:space="preserve"> </v>
      </c>
      <c r="M44" s="2" t="str">
        <f t="shared" si="2"/>
        <v xml:space="preserve"> </v>
      </c>
    </row>
    <row r="45" spans="1:13" x14ac:dyDescent="0.25">
      <c r="A45" s="43" t="str">
        <f t="shared" si="0"/>
        <v xml:space="preserve"> </v>
      </c>
      <c r="D45" s="42"/>
      <c r="E45" s="42"/>
      <c r="J45" s="17">
        <f t="shared" si="3"/>
        <v>0</v>
      </c>
      <c r="K45" s="2" t="str">
        <f t="shared" si="4"/>
        <v xml:space="preserve"> </v>
      </c>
      <c r="L45" s="2" t="str">
        <f t="shared" si="1"/>
        <v xml:space="preserve"> </v>
      </c>
      <c r="M45" s="2" t="str">
        <f t="shared" si="2"/>
        <v xml:space="preserve"> </v>
      </c>
    </row>
    <row r="46" spans="1:13" x14ac:dyDescent="0.25">
      <c r="A46" s="43" t="str">
        <f t="shared" si="0"/>
        <v xml:space="preserve"> </v>
      </c>
      <c r="D46" s="42"/>
      <c r="E46" s="42"/>
      <c r="J46" s="17">
        <f t="shared" si="3"/>
        <v>0</v>
      </c>
      <c r="K46" s="2" t="str">
        <f t="shared" si="4"/>
        <v xml:space="preserve"> </v>
      </c>
      <c r="L46" s="2" t="str">
        <f t="shared" si="1"/>
        <v xml:space="preserve"> </v>
      </c>
      <c r="M46" s="2" t="str">
        <f t="shared" si="2"/>
        <v xml:space="preserve"> </v>
      </c>
    </row>
    <row r="47" spans="1:13" x14ac:dyDescent="0.25">
      <c r="A47" s="43" t="str">
        <f t="shared" si="0"/>
        <v xml:space="preserve"> </v>
      </c>
      <c r="D47" s="42"/>
      <c r="E47" s="42"/>
      <c r="J47" s="17">
        <f t="shared" si="3"/>
        <v>0</v>
      </c>
      <c r="K47" s="2" t="str">
        <f t="shared" si="4"/>
        <v xml:space="preserve"> </v>
      </c>
      <c r="L47" s="2" t="str">
        <f t="shared" si="1"/>
        <v xml:space="preserve"> </v>
      </c>
      <c r="M47" s="2" t="str">
        <f t="shared" si="2"/>
        <v xml:space="preserve"> </v>
      </c>
    </row>
    <row r="48" spans="1:13" x14ac:dyDescent="0.25">
      <c r="A48" s="43" t="str">
        <f t="shared" si="0"/>
        <v xml:space="preserve"> </v>
      </c>
      <c r="D48" s="42"/>
      <c r="E48" s="42"/>
      <c r="J48" s="17">
        <f t="shared" si="3"/>
        <v>0</v>
      </c>
      <c r="K48" s="2" t="str">
        <f t="shared" si="4"/>
        <v xml:space="preserve"> </v>
      </c>
      <c r="L48" s="2" t="str">
        <f t="shared" si="1"/>
        <v xml:space="preserve"> </v>
      </c>
      <c r="M48" s="2" t="str">
        <f t="shared" si="2"/>
        <v xml:space="preserve"> </v>
      </c>
    </row>
    <row r="49" spans="1:13" x14ac:dyDescent="0.25">
      <c r="A49" s="43" t="str">
        <f t="shared" si="0"/>
        <v xml:space="preserve"> </v>
      </c>
      <c r="D49" s="42"/>
      <c r="E49" s="42"/>
      <c r="J49" s="17">
        <f t="shared" si="3"/>
        <v>0</v>
      </c>
      <c r="K49" s="2" t="str">
        <f t="shared" si="4"/>
        <v xml:space="preserve"> </v>
      </c>
      <c r="L49" s="2" t="str">
        <f t="shared" si="1"/>
        <v xml:space="preserve"> </v>
      </c>
      <c r="M49" s="2" t="str">
        <f t="shared" si="2"/>
        <v xml:space="preserve"> </v>
      </c>
    </row>
    <row r="50" spans="1:13" x14ac:dyDescent="0.25">
      <c r="A50" s="43" t="str">
        <f t="shared" si="0"/>
        <v xml:space="preserve"> </v>
      </c>
      <c r="D50" s="42"/>
      <c r="E50" s="42"/>
      <c r="J50" s="17">
        <f t="shared" si="3"/>
        <v>0</v>
      </c>
      <c r="K50" s="2" t="str">
        <f t="shared" si="4"/>
        <v xml:space="preserve"> </v>
      </c>
      <c r="L50" s="2" t="str">
        <f t="shared" si="1"/>
        <v xml:space="preserve"> </v>
      </c>
      <c r="M50" s="2" t="str">
        <f t="shared" si="2"/>
        <v xml:space="preserve"> </v>
      </c>
    </row>
    <row r="51" spans="1:13" x14ac:dyDescent="0.25">
      <c r="A51" s="43" t="str">
        <f t="shared" si="0"/>
        <v xml:space="preserve"> </v>
      </c>
      <c r="D51" s="42"/>
      <c r="E51" s="42"/>
      <c r="J51" s="17">
        <f t="shared" si="3"/>
        <v>0</v>
      </c>
      <c r="K51" s="2" t="str">
        <f t="shared" si="4"/>
        <v xml:space="preserve"> </v>
      </c>
      <c r="L51" s="2" t="str">
        <f t="shared" si="1"/>
        <v xml:space="preserve"> </v>
      </c>
      <c r="M51" s="2" t="str">
        <f t="shared" si="2"/>
        <v xml:space="preserve"> </v>
      </c>
    </row>
    <row r="52" spans="1:13" x14ac:dyDescent="0.25">
      <c r="A52" s="43" t="str">
        <f t="shared" si="0"/>
        <v xml:space="preserve"> </v>
      </c>
      <c r="D52" s="42"/>
      <c r="E52" s="42"/>
      <c r="J52" s="17">
        <f t="shared" si="3"/>
        <v>0</v>
      </c>
      <c r="K52" s="2" t="str">
        <f t="shared" si="4"/>
        <v xml:space="preserve"> </v>
      </c>
      <c r="L52" s="2" t="str">
        <f t="shared" si="1"/>
        <v xml:space="preserve"> </v>
      </c>
      <c r="M52" s="2" t="str">
        <f t="shared" si="2"/>
        <v xml:space="preserve"> </v>
      </c>
    </row>
    <row r="53" spans="1:13" x14ac:dyDescent="0.25">
      <c r="A53" s="43" t="str">
        <f t="shared" si="0"/>
        <v xml:space="preserve"> </v>
      </c>
      <c r="D53" s="42"/>
      <c r="E53" s="42"/>
      <c r="J53" s="17">
        <f t="shared" si="3"/>
        <v>0</v>
      </c>
      <c r="K53" s="2" t="str">
        <f t="shared" si="4"/>
        <v xml:space="preserve"> </v>
      </c>
      <c r="L53" s="2" t="str">
        <f t="shared" si="1"/>
        <v xml:space="preserve"> </v>
      </c>
      <c r="M53" s="2" t="str">
        <f t="shared" si="2"/>
        <v xml:space="preserve"> </v>
      </c>
    </row>
    <row r="54" spans="1:13" x14ac:dyDescent="0.25">
      <c r="A54" s="43" t="str">
        <f t="shared" si="0"/>
        <v xml:space="preserve"> </v>
      </c>
      <c r="D54" s="42"/>
      <c r="E54" s="42"/>
      <c r="J54" s="17">
        <f t="shared" si="3"/>
        <v>0</v>
      </c>
      <c r="K54" s="2" t="str">
        <f t="shared" si="4"/>
        <v xml:space="preserve"> </v>
      </c>
      <c r="L54" s="2" t="str">
        <f t="shared" si="1"/>
        <v xml:space="preserve"> </v>
      </c>
      <c r="M54" s="2" t="str">
        <f t="shared" si="2"/>
        <v xml:space="preserve"> </v>
      </c>
    </row>
    <row r="55" spans="1:13" x14ac:dyDescent="0.25">
      <c r="A55" s="43" t="str">
        <f t="shared" si="0"/>
        <v xml:space="preserve"> </v>
      </c>
      <c r="D55" s="42"/>
      <c r="E55" s="42"/>
      <c r="J55" s="17">
        <f t="shared" si="3"/>
        <v>0</v>
      </c>
      <c r="K55" s="2" t="str">
        <f t="shared" si="4"/>
        <v xml:space="preserve"> </v>
      </c>
      <c r="L55" s="2" t="str">
        <f t="shared" si="1"/>
        <v xml:space="preserve"> </v>
      </c>
      <c r="M55" s="2" t="str">
        <f t="shared" si="2"/>
        <v xml:space="preserve"> </v>
      </c>
    </row>
    <row r="56" spans="1:13" x14ac:dyDescent="0.25">
      <c r="A56" s="43" t="str">
        <f t="shared" si="0"/>
        <v xml:space="preserve"> </v>
      </c>
      <c r="D56" s="42"/>
      <c r="E56" s="42"/>
      <c r="J56" s="17">
        <f t="shared" si="3"/>
        <v>0</v>
      </c>
      <c r="K56" s="2" t="str">
        <f t="shared" si="4"/>
        <v xml:space="preserve"> </v>
      </c>
      <c r="L56" s="2" t="str">
        <f t="shared" si="1"/>
        <v xml:space="preserve"> </v>
      </c>
      <c r="M56" s="2" t="str">
        <f t="shared" si="2"/>
        <v xml:space="preserve"> </v>
      </c>
    </row>
    <row r="57" spans="1:13" x14ac:dyDescent="0.25">
      <c r="A57" s="43" t="str">
        <f t="shared" si="0"/>
        <v xml:space="preserve"> </v>
      </c>
      <c r="D57" s="42"/>
      <c r="E57" s="42"/>
      <c r="J57" s="17">
        <f t="shared" si="3"/>
        <v>0</v>
      </c>
      <c r="K57" s="2" t="str">
        <f t="shared" si="4"/>
        <v xml:space="preserve"> </v>
      </c>
      <c r="L57" s="2" t="str">
        <f t="shared" si="1"/>
        <v xml:space="preserve"> </v>
      </c>
      <c r="M57" s="2" t="str">
        <f t="shared" si="2"/>
        <v xml:space="preserve"> </v>
      </c>
    </row>
    <row r="58" spans="1:13" x14ac:dyDescent="0.25">
      <c r="A58" s="43" t="str">
        <f t="shared" si="0"/>
        <v xml:space="preserve"> </v>
      </c>
      <c r="D58" s="42"/>
      <c r="E58" s="42"/>
      <c r="J58" s="17">
        <f t="shared" si="3"/>
        <v>0</v>
      </c>
      <c r="K58" s="2" t="str">
        <f t="shared" si="4"/>
        <v xml:space="preserve"> </v>
      </c>
      <c r="L58" s="2" t="str">
        <f t="shared" si="1"/>
        <v xml:space="preserve"> </v>
      </c>
      <c r="M58" s="2" t="str">
        <f t="shared" si="2"/>
        <v xml:space="preserve"> </v>
      </c>
    </row>
    <row r="59" spans="1:13" x14ac:dyDescent="0.25">
      <c r="A59" s="43" t="str">
        <f t="shared" si="0"/>
        <v xml:space="preserve"> </v>
      </c>
      <c r="D59" s="42"/>
      <c r="E59" s="42"/>
      <c r="J59" s="17">
        <f t="shared" si="3"/>
        <v>0</v>
      </c>
      <c r="K59" s="2" t="str">
        <f t="shared" si="4"/>
        <v xml:space="preserve"> </v>
      </c>
      <c r="L59" s="2" t="str">
        <f t="shared" si="1"/>
        <v xml:space="preserve"> </v>
      </c>
      <c r="M59" s="2" t="str">
        <f t="shared" si="2"/>
        <v xml:space="preserve"> </v>
      </c>
    </row>
    <row r="60" spans="1:13" x14ac:dyDescent="0.25">
      <c r="A60" s="43" t="str">
        <f t="shared" si="0"/>
        <v xml:space="preserve"> </v>
      </c>
      <c r="D60" s="42"/>
      <c r="E60" s="42"/>
      <c r="J60" s="17">
        <f t="shared" si="3"/>
        <v>0</v>
      </c>
      <c r="K60" s="2" t="str">
        <f t="shared" si="4"/>
        <v xml:space="preserve"> </v>
      </c>
      <c r="L60" s="2" t="str">
        <f t="shared" si="1"/>
        <v xml:space="preserve"> </v>
      </c>
      <c r="M60" s="2" t="str">
        <f t="shared" si="2"/>
        <v xml:space="preserve"> </v>
      </c>
    </row>
    <row r="61" spans="1:13" x14ac:dyDescent="0.25">
      <c r="A61" s="43" t="str">
        <f t="shared" si="0"/>
        <v xml:space="preserve"> </v>
      </c>
      <c r="D61" s="42"/>
      <c r="E61" s="42"/>
      <c r="J61" s="17">
        <f t="shared" si="3"/>
        <v>0</v>
      </c>
      <c r="K61" s="2" t="str">
        <f t="shared" si="4"/>
        <v xml:space="preserve"> </v>
      </c>
      <c r="L61" s="2" t="str">
        <f t="shared" si="1"/>
        <v xml:space="preserve"> </v>
      </c>
      <c r="M61" s="2" t="str">
        <f t="shared" si="2"/>
        <v xml:space="preserve"> </v>
      </c>
    </row>
    <row r="62" spans="1:13" x14ac:dyDescent="0.25">
      <c r="A62" s="43" t="str">
        <f t="shared" si="0"/>
        <v xml:space="preserve"> </v>
      </c>
      <c r="D62" s="42"/>
      <c r="E62" s="42"/>
      <c r="J62" s="17">
        <f t="shared" si="3"/>
        <v>0</v>
      </c>
      <c r="K62" s="2" t="str">
        <f t="shared" si="4"/>
        <v xml:space="preserve"> </v>
      </c>
      <c r="L62" s="2" t="str">
        <f t="shared" si="1"/>
        <v xml:space="preserve"> </v>
      </c>
      <c r="M62" s="2" t="str">
        <f t="shared" si="2"/>
        <v xml:space="preserve"> </v>
      </c>
    </row>
    <row r="63" spans="1:13" x14ac:dyDescent="0.25">
      <c r="A63" s="43" t="str">
        <f t="shared" si="0"/>
        <v xml:space="preserve"> </v>
      </c>
      <c r="D63" s="42"/>
      <c r="E63" s="42"/>
      <c r="J63" s="17">
        <f t="shared" si="3"/>
        <v>0</v>
      </c>
      <c r="K63" s="2" t="str">
        <f t="shared" si="4"/>
        <v xml:space="preserve"> </v>
      </c>
      <c r="L63" s="2" t="str">
        <f t="shared" si="1"/>
        <v xml:space="preserve"> </v>
      </c>
      <c r="M63" s="2" t="str">
        <f t="shared" si="2"/>
        <v xml:space="preserve"> </v>
      </c>
    </row>
    <row r="64" spans="1:13" x14ac:dyDescent="0.25">
      <c r="A64" s="43" t="str">
        <f t="shared" si="0"/>
        <v xml:space="preserve"> </v>
      </c>
      <c r="D64" s="42"/>
      <c r="E64" s="42"/>
      <c r="J64" s="17">
        <f t="shared" si="3"/>
        <v>0</v>
      </c>
      <c r="K64" s="2" t="str">
        <f t="shared" si="4"/>
        <v xml:space="preserve"> </v>
      </c>
      <c r="L64" s="2" t="str">
        <f t="shared" si="1"/>
        <v xml:space="preserve"> </v>
      </c>
      <c r="M64" s="2" t="str">
        <f t="shared" si="2"/>
        <v xml:space="preserve"> </v>
      </c>
    </row>
    <row r="65" spans="1:13" x14ac:dyDescent="0.25">
      <c r="A65" s="43" t="str">
        <f t="shared" si="0"/>
        <v xml:space="preserve"> </v>
      </c>
      <c r="D65" s="42"/>
      <c r="E65" s="42"/>
      <c r="J65" s="17">
        <f t="shared" si="3"/>
        <v>0</v>
      </c>
      <c r="K65" s="2" t="str">
        <f t="shared" si="4"/>
        <v xml:space="preserve"> </v>
      </c>
      <c r="L65" s="2" t="str">
        <f t="shared" si="1"/>
        <v xml:space="preserve"> </v>
      </c>
      <c r="M65" s="2" t="str">
        <f t="shared" si="2"/>
        <v xml:space="preserve"> </v>
      </c>
    </row>
    <row r="66" spans="1:13" x14ac:dyDescent="0.25">
      <c r="A66" s="43" t="str">
        <f t="shared" si="0"/>
        <v xml:space="preserve"> </v>
      </c>
      <c r="D66" s="42"/>
      <c r="E66" s="42"/>
      <c r="J66" s="17">
        <f t="shared" si="3"/>
        <v>0</v>
      </c>
      <c r="K66" s="2" t="str">
        <f t="shared" si="4"/>
        <v xml:space="preserve"> </v>
      </c>
      <c r="L66" s="2" t="str">
        <f t="shared" si="1"/>
        <v xml:space="preserve"> </v>
      </c>
      <c r="M66" s="2" t="str">
        <f t="shared" si="2"/>
        <v xml:space="preserve"> </v>
      </c>
    </row>
    <row r="67" spans="1:13" x14ac:dyDescent="0.25">
      <c r="A67" s="43" t="str">
        <f t="shared" si="0"/>
        <v xml:space="preserve"> </v>
      </c>
      <c r="D67" s="42"/>
      <c r="E67" s="42"/>
      <c r="J67" s="17">
        <f t="shared" si="3"/>
        <v>0</v>
      </c>
      <c r="K67" s="2" t="str">
        <f t="shared" si="4"/>
        <v xml:space="preserve"> </v>
      </c>
      <c r="L67" s="2" t="str">
        <f t="shared" si="1"/>
        <v xml:space="preserve"> </v>
      </c>
      <c r="M67" s="2" t="str">
        <f t="shared" si="2"/>
        <v xml:space="preserve"> </v>
      </c>
    </row>
    <row r="68" spans="1:13" x14ac:dyDescent="0.25">
      <c r="A68" s="43" t="str">
        <f t="shared" si="0"/>
        <v xml:space="preserve"> </v>
      </c>
      <c r="D68" s="42"/>
      <c r="E68" s="42"/>
      <c r="J68" s="17">
        <f t="shared" si="3"/>
        <v>0</v>
      </c>
      <c r="K68" s="2" t="str">
        <f t="shared" si="4"/>
        <v xml:space="preserve"> </v>
      </c>
      <c r="L68" s="2" t="str">
        <f t="shared" si="1"/>
        <v xml:space="preserve"> </v>
      </c>
      <c r="M68" s="2" t="str">
        <f t="shared" si="2"/>
        <v xml:space="preserve"> </v>
      </c>
    </row>
    <row r="69" spans="1:13" x14ac:dyDescent="0.25">
      <c r="A69" s="43" t="str">
        <f t="shared" si="0"/>
        <v xml:space="preserve"> </v>
      </c>
      <c r="D69" s="42"/>
      <c r="E69" s="42"/>
      <c r="J69" s="17">
        <f t="shared" si="3"/>
        <v>0</v>
      </c>
      <c r="K69" s="2" t="str">
        <f t="shared" si="4"/>
        <v xml:space="preserve"> </v>
      </c>
      <c r="L69" s="2" t="str">
        <f t="shared" si="1"/>
        <v xml:space="preserve"> </v>
      </c>
      <c r="M69" s="2" t="str">
        <f t="shared" si="2"/>
        <v xml:space="preserve"> </v>
      </c>
    </row>
    <row r="70" spans="1:13" x14ac:dyDescent="0.25">
      <c r="A70" s="43" t="str">
        <f t="shared" si="0"/>
        <v xml:space="preserve"> </v>
      </c>
      <c r="D70" s="42"/>
      <c r="E70" s="42"/>
      <c r="J70" s="17">
        <f t="shared" si="3"/>
        <v>0</v>
      </c>
      <c r="K70" s="2" t="str">
        <f t="shared" si="4"/>
        <v xml:space="preserve"> </v>
      </c>
      <c r="L70" s="2" t="str">
        <f t="shared" si="1"/>
        <v xml:space="preserve"> </v>
      </c>
      <c r="M70" s="2" t="str">
        <f t="shared" si="2"/>
        <v xml:space="preserve"> </v>
      </c>
    </row>
    <row r="71" spans="1:13" x14ac:dyDescent="0.25">
      <c r="A71" s="43" t="str">
        <f t="shared" si="0"/>
        <v xml:space="preserve"> </v>
      </c>
      <c r="D71" s="42"/>
      <c r="E71" s="42"/>
      <c r="J71" s="17">
        <f t="shared" si="3"/>
        <v>0</v>
      </c>
      <c r="K71" s="2" t="str">
        <f t="shared" si="4"/>
        <v xml:space="preserve"> </v>
      </c>
      <c r="L71" s="2" t="str">
        <f t="shared" si="1"/>
        <v xml:space="preserve"> </v>
      </c>
      <c r="M71" s="2" t="str">
        <f t="shared" si="2"/>
        <v xml:space="preserve"> </v>
      </c>
    </row>
    <row r="72" spans="1:13" x14ac:dyDescent="0.25">
      <c r="A72" s="43" t="str">
        <f t="shared" si="0"/>
        <v xml:space="preserve"> </v>
      </c>
      <c r="D72" s="42"/>
      <c r="E72" s="42"/>
      <c r="J72" s="17">
        <f t="shared" si="3"/>
        <v>0</v>
      </c>
      <c r="K72" s="2" t="str">
        <f t="shared" si="4"/>
        <v xml:space="preserve"> </v>
      </c>
      <c r="L72" s="2" t="str">
        <f t="shared" si="1"/>
        <v xml:space="preserve"> </v>
      </c>
      <c r="M72" s="2" t="str">
        <f t="shared" si="2"/>
        <v xml:space="preserve"> </v>
      </c>
    </row>
    <row r="73" spans="1:13" x14ac:dyDescent="0.25">
      <c r="A73" s="43" t="str">
        <f t="shared" si="0"/>
        <v xml:space="preserve"> </v>
      </c>
      <c r="D73" s="42"/>
      <c r="E73" s="42"/>
      <c r="J73" s="17">
        <f t="shared" si="3"/>
        <v>0</v>
      </c>
      <c r="K73" s="2" t="str">
        <f t="shared" si="4"/>
        <v xml:space="preserve"> </v>
      </c>
      <c r="L73" s="2" t="str">
        <f t="shared" si="1"/>
        <v xml:space="preserve"> </v>
      </c>
      <c r="M73" s="2" t="str">
        <f t="shared" si="2"/>
        <v xml:space="preserve"> </v>
      </c>
    </row>
    <row r="74" spans="1:13" x14ac:dyDescent="0.25">
      <c r="A74" s="43" t="str">
        <f t="shared" si="0"/>
        <v xml:space="preserve"> </v>
      </c>
      <c r="D74" s="42"/>
      <c r="E74" s="42"/>
      <c r="J74" s="17">
        <f t="shared" si="3"/>
        <v>0</v>
      </c>
      <c r="K74" s="2" t="str">
        <f t="shared" si="4"/>
        <v xml:space="preserve"> </v>
      </c>
      <c r="L74" s="2" t="str">
        <f t="shared" si="1"/>
        <v xml:space="preserve"> </v>
      </c>
      <c r="M74" s="2" t="str">
        <f t="shared" si="2"/>
        <v xml:space="preserve"> </v>
      </c>
    </row>
    <row r="75" spans="1:13" x14ac:dyDescent="0.25">
      <c r="A75" s="43" t="str">
        <f t="shared" si="0"/>
        <v xml:space="preserve"> </v>
      </c>
      <c r="D75" s="42"/>
      <c r="E75" s="42"/>
      <c r="J75" s="17">
        <f t="shared" si="3"/>
        <v>0</v>
      </c>
      <c r="K75" s="2" t="str">
        <f t="shared" si="4"/>
        <v xml:space="preserve"> </v>
      </c>
      <c r="L75" s="2" t="str">
        <f t="shared" si="1"/>
        <v xml:space="preserve"> </v>
      </c>
      <c r="M75" s="2" t="str">
        <f t="shared" si="2"/>
        <v xml:space="preserve"> </v>
      </c>
    </row>
    <row r="76" spans="1:13" x14ac:dyDescent="0.25">
      <c r="A76" s="43" t="str">
        <f t="shared" si="0"/>
        <v xml:space="preserve"> </v>
      </c>
      <c r="D76" s="42"/>
      <c r="E76" s="42"/>
      <c r="J76" s="17">
        <f t="shared" si="3"/>
        <v>0</v>
      </c>
      <c r="K76" s="2" t="str">
        <f t="shared" si="4"/>
        <v xml:space="preserve"> </v>
      </c>
      <c r="L76" s="2" t="str">
        <f t="shared" si="1"/>
        <v xml:space="preserve"> </v>
      </c>
      <c r="M76" s="2" t="str">
        <f t="shared" si="2"/>
        <v xml:space="preserve"> </v>
      </c>
    </row>
    <row r="77" spans="1:13" x14ac:dyDescent="0.25">
      <c r="A77" s="43" t="str">
        <f t="shared" si="0"/>
        <v xml:space="preserve"> </v>
      </c>
      <c r="D77" s="42"/>
      <c r="E77" s="42"/>
      <c r="J77" s="17">
        <f t="shared" si="3"/>
        <v>0</v>
      </c>
      <c r="K77" s="2" t="str">
        <f t="shared" si="4"/>
        <v xml:space="preserve"> </v>
      </c>
      <c r="L77" s="2" t="str">
        <f t="shared" si="1"/>
        <v xml:space="preserve"> </v>
      </c>
      <c r="M77" s="2" t="str">
        <f t="shared" si="2"/>
        <v xml:space="preserve"> </v>
      </c>
    </row>
    <row r="78" spans="1:13" x14ac:dyDescent="0.25">
      <c r="A78" s="43" t="str">
        <f t="shared" si="0"/>
        <v xml:space="preserve"> </v>
      </c>
      <c r="D78" s="42"/>
      <c r="E78" s="42"/>
      <c r="J78" s="17">
        <f t="shared" si="3"/>
        <v>0</v>
      </c>
      <c r="K78" s="2" t="str">
        <f t="shared" si="4"/>
        <v xml:space="preserve"> </v>
      </c>
      <c r="L78" s="2" t="str">
        <f t="shared" si="1"/>
        <v xml:space="preserve"> </v>
      </c>
      <c r="M78" s="2" t="str">
        <f t="shared" si="2"/>
        <v xml:space="preserve"> </v>
      </c>
    </row>
    <row r="79" spans="1:13" x14ac:dyDescent="0.25">
      <c r="A79" s="43" t="str">
        <f t="shared" ref="A79:A142" si="5">IF(COUNTIF(K79:M79,"ERROR")&gt;0,"ERROR"," ")</f>
        <v xml:space="preserve"> </v>
      </c>
      <c r="D79" s="42"/>
      <c r="E79" s="42"/>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43" t="str">
        <f t="shared" si="5"/>
        <v xml:space="preserve"> </v>
      </c>
      <c r="D80" s="42"/>
      <c r="E80" s="42"/>
      <c r="J80" s="17">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43" t="str">
        <f t="shared" si="5"/>
        <v xml:space="preserve"> </v>
      </c>
      <c r="D81" s="42"/>
      <c r="E81" s="42"/>
      <c r="J81" s="17">
        <f t="shared" si="8"/>
        <v>0</v>
      </c>
      <c r="K81" s="2" t="str">
        <f t="shared" si="9"/>
        <v xml:space="preserve"> </v>
      </c>
      <c r="L81" s="2" t="str">
        <f t="shared" si="6"/>
        <v xml:space="preserve"> </v>
      </c>
      <c r="M81" s="2" t="str">
        <f t="shared" si="7"/>
        <v xml:space="preserve"> </v>
      </c>
    </row>
    <row r="82" spans="1:13" x14ac:dyDescent="0.25">
      <c r="A82" s="43" t="str">
        <f t="shared" si="5"/>
        <v xml:space="preserve"> </v>
      </c>
      <c r="D82" s="42"/>
      <c r="E82" s="42"/>
      <c r="J82" s="17">
        <f t="shared" si="8"/>
        <v>0</v>
      </c>
      <c r="K82" s="2" t="str">
        <f t="shared" si="9"/>
        <v xml:space="preserve"> </v>
      </c>
      <c r="L82" s="2" t="str">
        <f t="shared" si="6"/>
        <v xml:space="preserve"> </v>
      </c>
      <c r="M82" s="2" t="str">
        <f t="shared" si="7"/>
        <v xml:space="preserve"> </v>
      </c>
    </row>
    <row r="83" spans="1:13" x14ac:dyDescent="0.25">
      <c r="A83" s="43" t="str">
        <f t="shared" si="5"/>
        <v xml:space="preserve"> </v>
      </c>
      <c r="D83" s="42"/>
      <c r="E83" s="42"/>
      <c r="J83" s="17">
        <f t="shared" si="8"/>
        <v>0</v>
      </c>
      <c r="K83" s="2" t="str">
        <f t="shared" si="9"/>
        <v xml:space="preserve"> </v>
      </c>
      <c r="L83" s="2" t="str">
        <f t="shared" si="6"/>
        <v xml:space="preserve"> </v>
      </c>
      <c r="M83" s="2" t="str">
        <f t="shared" si="7"/>
        <v xml:space="preserve"> </v>
      </c>
    </row>
    <row r="84" spans="1:13" x14ac:dyDescent="0.25">
      <c r="A84" s="43" t="str">
        <f t="shared" si="5"/>
        <v xml:space="preserve"> </v>
      </c>
      <c r="D84" s="42"/>
      <c r="E84" s="42"/>
      <c r="J84" s="17">
        <f t="shared" si="8"/>
        <v>0</v>
      </c>
      <c r="K84" s="2" t="str">
        <f t="shared" si="9"/>
        <v xml:space="preserve"> </v>
      </c>
      <c r="L84" s="2" t="str">
        <f t="shared" si="6"/>
        <v xml:space="preserve"> </v>
      </c>
      <c r="M84" s="2" t="str">
        <f t="shared" si="7"/>
        <v xml:space="preserve"> </v>
      </c>
    </row>
    <row r="85" spans="1:13" x14ac:dyDescent="0.25">
      <c r="A85" s="43" t="str">
        <f t="shared" si="5"/>
        <v xml:space="preserve"> </v>
      </c>
      <c r="D85" s="42"/>
      <c r="E85" s="42"/>
      <c r="J85" s="17">
        <f t="shared" si="8"/>
        <v>0</v>
      </c>
      <c r="K85" s="2" t="str">
        <f t="shared" si="9"/>
        <v xml:space="preserve"> </v>
      </c>
      <c r="L85" s="2" t="str">
        <f t="shared" si="6"/>
        <v xml:space="preserve"> </v>
      </c>
      <c r="M85" s="2" t="str">
        <f t="shared" si="7"/>
        <v xml:space="preserve"> </v>
      </c>
    </row>
    <row r="86" spans="1:13" x14ac:dyDescent="0.25">
      <c r="A86" s="43" t="str">
        <f t="shared" si="5"/>
        <v xml:space="preserve"> </v>
      </c>
      <c r="D86" s="42"/>
      <c r="E86" s="42"/>
      <c r="J86" s="17">
        <f t="shared" si="8"/>
        <v>0</v>
      </c>
      <c r="K86" s="2" t="str">
        <f t="shared" si="9"/>
        <v xml:space="preserve"> </v>
      </c>
      <c r="L86" s="2" t="str">
        <f t="shared" si="6"/>
        <v xml:space="preserve"> </v>
      </c>
      <c r="M86" s="2" t="str">
        <f t="shared" si="7"/>
        <v xml:space="preserve"> </v>
      </c>
    </row>
    <row r="87" spans="1:13" x14ac:dyDescent="0.25">
      <c r="A87" s="43" t="str">
        <f t="shared" si="5"/>
        <v xml:space="preserve"> </v>
      </c>
      <c r="D87" s="42"/>
      <c r="E87" s="42"/>
      <c r="J87" s="17">
        <f t="shared" si="8"/>
        <v>0</v>
      </c>
      <c r="K87" s="2" t="str">
        <f t="shared" si="9"/>
        <v xml:space="preserve"> </v>
      </c>
      <c r="L87" s="2" t="str">
        <f t="shared" si="6"/>
        <v xml:space="preserve"> </v>
      </c>
      <c r="M87" s="2" t="str">
        <f t="shared" si="7"/>
        <v xml:space="preserve"> </v>
      </c>
    </row>
    <row r="88" spans="1:13" x14ac:dyDescent="0.25">
      <c r="A88" s="43" t="str">
        <f t="shared" si="5"/>
        <v xml:space="preserve"> </v>
      </c>
      <c r="D88" s="42"/>
      <c r="E88" s="42"/>
      <c r="J88" s="17">
        <f t="shared" si="8"/>
        <v>0</v>
      </c>
      <c r="K88" s="2" t="str">
        <f t="shared" si="9"/>
        <v xml:space="preserve"> </v>
      </c>
      <c r="L88" s="2" t="str">
        <f t="shared" si="6"/>
        <v xml:space="preserve"> </v>
      </c>
      <c r="M88" s="2" t="str">
        <f t="shared" si="7"/>
        <v xml:space="preserve"> </v>
      </c>
    </row>
    <row r="89" spans="1:13" x14ac:dyDescent="0.25">
      <c r="A89" s="43" t="str">
        <f t="shared" si="5"/>
        <v xml:space="preserve"> </v>
      </c>
      <c r="D89" s="42"/>
      <c r="E89" s="42"/>
      <c r="J89" s="17">
        <f t="shared" si="8"/>
        <v>0</v>
      </c>
      <c r="K89" s="2" t="str">
        <f t="shared" si="9"/>
        <v xml:space="preserve"> </v>
      </c>
      <c r="L89" s="2" t="str">
        <f t="shared" si="6"/>
        <v xml:space="preserve"> </v>
      </c>
      <c r="M89" s="2" t="str">
        <f t="shared" si="7"/>
        <v xml:space="preserve"> </v>
      </c>
    </row>
    <row r="90" spans="1:13" x14ac:dyDescent="0.25">
      <c r="A90" s="43" t="str">
        <f t="shared" si="5"/>
        <v xml:space="preserve"> </v>
      </c>
      <c r="D90" s="42"/>
      <c r="E90" s="42"/>
      <c r="J90" s="17">
        <f t="shared" si="8"/>
        <v>0</v>
      </c>
      <c r="K90" s="2" t="str">
        <f t="shared" si="9"/>
        <v xml:space="preserve"> </v>
      </c>
      <c r="L90" s="2" t="str">
        <f t="shared" si="6"/>
        <v xml:space="preserve"> </v>
      </c>
      <c r="M90" s="2" t="str">
        <f t="shared" si="7"/>
        <v xml:space="preserve"> </v>
      </c>
    </row>
    <row r="91" spans="1:13" x14ac:dyDescent="0.25">
      <c r="A91" s="43" t="str">
        <f t="shared" si="5"/>
        <v xml:space="preserve"> </v>
      </c>
      <c r="D91" s="42"/>
      <c r="E91" s="42"/>
      <c r="J91" s="17">
        <f t="shared" si="8"/>
        <v>0</v>
      </c>
      <c r="K91" s="2" t="str">
        <f t="shared" si="9"/>
        <v xml:space="preserve"> </v>
      </c>
      <c r="L91" s="2" t="str">
        <f t="shared" si="6"/>
        <v xml:space="preserve"> </v>
      </c>
      <c r="M91" s="2" t="str">
        <f t="shared" si="7"/>
        <v xml:space="preserve"> </v>
      </c>
    </row>
    <row r="92" spans="1:13" x14ac:dyDescent="0.25">
      <c r="A92" s="43" t="str">
        <f t="shared" si="5"/>
        <v xml:space="preserve"> </v>
      </c>
      <c r="D92" s="42"/>
      <c r="E92" s="42"/>
      <c r="J92" s="17">
        <f t="shared" si="8"/>
        <v>0</v>
      </c>
      <c r="K92" s="2" t="str">
        <f t="shared" si="9"/>
        <v xml:space="preserve"> </v>
      </c>
      <c r="L92" s="2" t="str">
        <f t="shared" si="6"/>
        <v xml:space="preserve"> </v>
      </c>
      <c r="M92" s="2" t="str">
        <f t="shared" si="7"/>
        <v xml:space="preserve"> </v>
      </c>
    </row>
    <row r="93" spans="1:13" x14ac:dyDescent="0.25">
      <c r="A93" s="43" t="str">
        <f t="shared" si="5"/>
        <v xml:space="preserve"> </v>
      </c>
      <c r="D93" s="42"/>
      <c r="E93" s="42"/>
      <c r="J93" s="17">
        <f t="shared" si="8"/>
        <v>0</v>
      </c>
      <c r="K93" s="2" t="str">
        <f t="shared" si="9"/>
        <v xml:space="preserve"> </v>
      </c>
      <c r="L93" s="2" t="str">
        <f t="shared" si="6"/>
        <v xml:space="preserve"> </v>
      </c>
      <c r="M93" s="2" t="str">
        <f t="shared" si="7"/>
        <v xml:space="preserve"> </v>
      </c>
    </row>
    <row r="94" spans="1:13" x14ac:dyDescent="0.25">
      <c r="A94" s="43" t="str">
        <f t="shared" si="5"/>
        <v xml:space="preserve"> </v>
      </c>
      <c r="D94" s="42"/>
      <c r="E94" s="42"/>
      <c r="J94" s="17">
        <f t="shared" si="8"/>
        <v>0</v>
      </c>
      <c r="K94" s="2" t="str">
        <f t="shared" si="9"/>
        <v xml:space="preserve"> </v>
      </c>
      <c r="L94" s="2" t="str">
        <f t="shared" si="6"/>
        <v xml:space="preserve"> </v>
      </c>
      <c r="M94" s="2" t="str">
        <f t="shared" si="7"/>
        <v xml:space="preserve"> </v>
      </c>
    </row>
    <row r="95" spans="1:13" x14ac:dyDescent="0.25">
      <c r="A95" s="43" t="str">
        <f t="shared" si="5"/>
        <v xml:space="preserve"> </v>
      </c>
      <c r="D95" s="42"/>
      <c r="E95" s="42"/>
      <c r="J95" s="17">
        <f t="shared" si="8"/>
        <v>0</v>
      </c>
      <c r="K95" s="2" t="str">
        <f t="shared" si="9"/>
        <v xml:space="preserve"> </v>
      </c>
      <c r="L95" s="2" t="str">
        <f t="shared" si="6"/>
        <v xml:space="preserve"> </v>
      </c>
      <c r="M95" s="2" t="str">
        <f t="shared" si="7"/>
        <v xml:space="preserve"> </v>
      </c>
    </row>
    <row r="96" spans="1:13" x14ac:dyDescent="0.25">
      <c r="A96" s="43" t="str">
        <f t="shared" si="5"/>
        <v xml:space="preserve"> </v>
      </c>
      <c r="D96" s="42"/>
      <c r="E96" s="42"/>
      <c r="J96" s="17">
        <f t="shared" si="8"/>
        <v>0</v>
      </c>
      <c r="K96" s="2" t="str">
        <f t="shared" si="9"/>
        <v xml:space="preserve"> </v>
      </c>
      <c r="L96" s="2" t="str">
        <f t="shared" si="6"/>
        <v xml:space="preserve"> </v>
      </c>
      <c r="M96" s="2" t="str">
        <f t="shared" si="7"/>
        <v xml:space="preserve"> </v>
      </c>
    </row>
    <row r="97" spans="1:13" x14ac:dyDescent="0.25">
      <c r="A97" s="43" t="str">
        <f t="shared" si="5"/>
        <v xml:space="preserve"> </v>
      </c>
      <c r="D97" s="42"/>
      <c r="E97" s="42"/>
      <c r="J97" s="17">
        <f t="shared" si="8"/>
        <v>0</v>
      </c>
      <c r="K97" s="2" t="str">
        <f t="shared" si="9"/>
        <v xml:space="preserve"> </v>
      </c>
      <c r="L97" s="2" t="str">
        <f t="shared" si="6"/>
        <v xml:space="preserve"> </v>
      </c>
      <c r="M97" s="2" t="str">
        <f t="shared" si="7"/>
        <v xml:space="preserve"> </v>
      </c>
    </row>
    <row r="98" spans="1:13" x14ac:dyDescent="0.25">
      <c r="A98" s="43" t="str">
        <f t="shared" si="5"/>
        <v xml:space="preserve"> </v>
      </c>
      <c r="D98" s="42"/>
      <c r="E98" s="42"/>
      <c r="J98" s="17">
        <f t="shared" si="8"/>
        <v>0</v>
      </c>
      <c r="K98" s="2" t="str">
        <f t="shared" si="9"/>
        <v xml:space="preserve"> </v>
      </c>
      <c r="L98" s="2" t="str">
        <f t="shared" si="6"/>
        <v xml:space="preserve"> </v>
      </c>
      <c r="M98" s="2" t="str">
        <f t="shared" si="7"/>
        <v xml:space="preserve"> </v>
      </c>
    </row>
    <row r="99" spans="1:13" x14ac:dyDescent="0.25">
      <c r="A99" s="43" t="str">
        <f t="shared" si="5"/>
        <v xml:space="preserve"> </v>
      </c>
      <c r="D99" s="42"/>
      <c r="E99" s="42"/>
      <c r="J99" s="17">
        <f t="shared" si="8"/>
        <v>0</v>
      </c>
      <c r="K99" s="2" t="str">
        <f t="shared" si="9"/>
        <v xml:space="preserve"> </v>
      </c>
      <c r="L99" s="2" t="str">
        <f t="shared" si="6"/>
        <v xml:space="preserve"> </v>
      </c>
      <c r="M99" s="2" t="str">
        <f t="shared" si="7"/>
        <v xml:space="preserve"> </v>
      </c>
    </row>
    <row r="100" spans="1:13" x14ac:dyDescent="0.25">
      <c r="A100" s="43" t="str">
        <f t="shared" si="5"/>
        <v xml:space="preserve"> </v>
      </c>
      <c r="D100" s="42"/>
      <c r="E100" s="42"/>
      <c r="J100" s="17">
        <f t="shared" si="8"/>
        <v>0</v>
      </c>
      <c r="K100" s="2" t="str">
        <f t="shared" si="9"/>
        <v xml:space="preserve"> </v>
      </c>
      <c r="L100" s="2" t="str">
        <f t="shared" si="6"/>
        <v xml:space="preserve"> </v>
      </c>
      <c r="M100" s="2" t="str">
        <f t="shared" si="7"/>
        <v xml:space="preserve"> </v>
      </c>
    </row>
    <row r="101" spans="1:13" x14ac:dyDescent="0.25">
      <c r="A101" s="43" t="str">
        <f t="shared" si="5"/>
        <v xml:space="preserve"> </v>
      </c>
      <c r="D101" s="42"/>
      <c r="E101" s="42"/>
      <c r="J101" s="17">
        <f t="shared" si="8"/>
        <v>0</v>
      </c>
      <c r="K101" s="2" t="str">
        <f t="shared" si="9"/>
        <v xml:space="preserve"> </v>
      </c>
      <c r="L101" s="2" t="str">
        <f t="shared" si="6"/>
        <v xml:space="preserve"> </v>
      </c>
      <c r="M101" s="2" t="str">
        <f t="shared" si="7"/>
        <v xml:space="preserve"> </v>
      </c>
    </row>
    <row r="102" spans="1:13" x14ac:dyDescent="0.25">
      <c r="A102" s="43" t="str">
        <f t="shared" si="5"/>
        <v xml:space="preserve"> </v>
      </c>
      <c r="D102" s="42"/>
      <c r="E102" s="42"/>
      <c r="J102" s="17">
        <f t="shared" si="8"/>
        <v>0</v>
      </c>
      <c r="K102" s="2" t="str">
        <f t="shared" si="9"/>
        <v xml:space="preserve"> </v>
      </c>
      <c r="L102" s="2" t="str">
        <f t="shared" si="6"/>
        <v xml:space="preserve"> </v>
      </c>
      <c r="M102" s="2" t="str">
        <f t="shared" si="7"/>
        <v xml:space="preserve"> </v>
      </c>
    </row>
    <row r="103" spans="1:13" x14ac:dyDescent="0.25">
      <c r="A103" s="43" t="str">
        <f t="shared" si="5"/>
        <v xml:space="preserve"> </v>
      </c>
      <c r="D103" s="42"/>
      <c r="E103" s="42"/>
      <c r="J103" s="17">
        <f t="shared" si="8"/>
        <v>0</v>
      </c>
      <c r="K103" s="2" t="str">
        <f t="shared" si="9"/>
        <v xml:space="preserve"> </v>
      </c>
      <c r="L103" s="2" t="str">
        <f t="shared" si="6"/>
        <v xml:space="preserve"> </v>
      </c>
      <c r="M103" s="2" t="str">
        <f t="shared" si="7"/>
        <v xml:space="preserve"> </v>
      </c>
    </row>
    <row r="104" spans="1:13" x14ac:dyDescent="0.25">
      <c r="A104" s="43" t="str">
        <f t="shared" si="5"/>
        <v xml:space="preserve"> </v>
      </c>
      <c r="D104" s="42"/>
      <c r="E104" s="42"/>
      <c r="J104" s="17">
        <f t="shared" si="8"/>
        <v>0</v>
      </c>
      <c r="K104" s="2" t="str">
        <f t="shared" si="9"/>
        <v xml:space="preserve"> </v>
      </c>
      <c r="L104" s="2" t="str">
        <f t="shared" si="6"/>
        <v xml:space="preserve"> </v>
      </c>
      <c r="M104" s="2" t="str">
        <f t="shared" si="7"/>
        <v xml:space="preserve"> </v>
      </c>
    </row>
    <row r="105" spans="1:13" x14ac:dyDescent="0.25">
      <c r="A105" s="43" t="str">
        <f t="shared" si="5"/>
        <v xml:space="preserve"> </v>
      </c>
      <c r="D105" s="42"/>
      <c r="E105" s="42"/>
      <c r="J105" s="17">
        <f t="shared" si="8"/>
        <v>0</v>
      </c>
      <c r="K105" s="2" t="str">
        <f t="shared" si="9"/>
        <v xml:space="preserve"> </v>
      </c>
      <c r="L105" s="2" t="str">
        <f t="shared" si="6"/>
        <v xml:space="preserve"> </v>
      </c>
      <c r="M105" s="2" t="str">
        <f t="shared" si="7"/>
        <v xml:space="preserve"> </v>
      </c>
    </row>
    <row r="106" spans="1:13" x14ac:dyDescent="0.25">
      <c r="A106" s="43" t="str">
        <f t="shared" si="5"/>
        <v xml:space="preserve"> </v>
      </c>
      <c r="D106" s="42"/>
      <c r="E106" s="42"/>
      <c r="J106" s="17">
        <f t="shared" si="8"/>
        <v>0</v>
      </c>
      <c r="K106" s="2" t="str">
        <f t="shared" si="9"/>
        <v xml:space="preserve"> </v>
      </c>
      <c r="L106" s="2" t="str">
        <f t="shared" si="6"/>
        <v xml:space="preserve"> </v>
      </c>
      <c r="M106" s="2" t="str">
        <f t="shared" si="7"/>
        <v xml:space="preserve"> </v>
      </c>
    </row>
    <row r="107" spans="1:13" x14ac:dyDescent="0.25">
      <c r="A107" s="43" t="str">
        <f t="shared" si="5"/>
        <v xml:space="preserve"> </v>
      </c>
      <c r="D107" s="42"/>
      <c r="E107" s="42"/>
      <c r="J107" s="17">
        <f t="shared" si="8"/>
        <v>0</v>
      </c>
      <c r="K107" s="2" t="str">
        <f t="shared" si="9"/>
        <v xml:space="preserve"> </v>
      </c>
      <c r="L107" s="2" t="str">
        <f t="shared" si="6"/>
        <v xml:space="preserve"> </v>
      </c>
      <c r="M107" s="2" t="str">
        <f t="shared" si="7"/>
        <v xml:space="preserve"> </v>
      </c>
    </row>
    <row r="108" spans="1:13" x14ac:dyDescent="0.25">
      <c r="A108" s="43" t="str">
        <f t="shared" si="5"/>
        <v xml:space="preserve"> </v>
      </c>
      <c r="D108" s="42"/>
      <c r="E108" s="42"/>
      <c r="J108" s="17">
        <f t="shared" si="8"/>
        <v>0</v>
      </c>
      <c r="K108" s="2" t="str">
        <f t="shared" si="9"/>
        <v xml:space="preserve"> </v>
      </c>
      <c r="L108" s="2" t="str">
        <f t="shared" si="6"/>
        <v xml:space="preserve"> </v>
      </c>
      <c r="M108" s="2" t="str">
        <f t="shared" si="7"/>
        <v xml:space="preserve"> </v>
      </c>
    </row>
    <row r="109" spans="1:13" x14ac:dyDescent="0.25">
      <c r="A109" s="43" t="str">
        <f t="shared" si="5"/>
        <v xml:space="preserve"> </v>
      </c>
      <c r="D109" s="42"/>
      <c r="E109" s="42"/>
      <c r="J109" s="17">
        <f t="shared" si="8"/>
        <v>0</v>
      </c>
      <c r="K109" s="2" t="str">
        <f t="shared" si="9"/>
        <v xml:space="preserve"> </v>
      </c>
      <c r="L109" s="2" t="str">
        <f t="shared" si="6"/>
        <v xml:space="preserve"> </v>
      </c>
      <c r="M109" s="2" t="str">
        <f t="shared" si="7"/>
        <v xml:space="preserve"> </v>
      </c>
    </row>
    <row r="110" spans="1:13" x14ac:dyDescent="0.25">
      <c r="A110" s="43" t="str">
        <f t="shared" si="5"/>
        <v xml:space="preserve"> </v>
      </c>
      <c r="B110" s="20"/>
      <c r="D110" s="42"/>
      <c r="E110" s="42"/>
      <c r="J110" s="17">
        <f t="shared" si="8"/>
        <v>0</v>
      </c>
      <c r="K110" s="2" t="str">
        <f t="shared" si="9"/>
        <v xml:space="preserve"> </v>
      </c>
      <c r="L110" s="2" t="str">
        <f t="shared" si="6"/>
        <v xml:space="preserve"> </v>
      </c>
      <c r="M110" s="2" t="str">
        <f t="shared" si="7"/>
        <v xml:space="preserve"> </v>
      </c>
    </row>
    <row r="111" spans="1:13" x14ac:dyDescent="0.25">
      <c r="A111" s="43" t="str">
        <f t="shared" si="5"/>
        <v xml:space="preserve"> </v>
      </c>
      <c r="D111" s="42"/>
      <c r="E111" s="42"/>
      <c r="J111" s="17">
        <f t="shared" si="8"/>
        <v>0</v>
      </c>
      <c r="K111" s="2" t="str">
        <f t="shared" si="9"/>
        <v xml:space="preserve"> </v>
      </c>
      <c r="L111" s="2" t="str">
        <f t="shared" si="6"/>
        <v xml:space="preserve"> </v>
      </c>
      <c r="M111" s="2" t="str">
        <f t="shared" si="7"/>
        <v xml:space="preserve"> </v>
      </c>
    </row>
    <row r="112" spans="1:13" x14ac:dyDescent="0.25">
      <c r="A112" s="43" t="str">
        <f t="shared" si="5"/>
        <v xml:space="preserve"> </v>
      </c>
      <c r="D112" s="42"/>
      <c r="E112" s="42"/>
      <c r="J112" s="17">
        <f t="shared" si="8"/>
        <v>0</v>
      </c>
      <c r="K112" s="2" t="str">
        <f t="shared" si="9"/>
        <v xml:space="preserve"> </v>
      </c>
      <c r="L112" s="2" t="str">
        <f t="shared" si="6"/>
        <v xml:space="preserve"> </v>
      </c>
      <c r="M112" s="2" t="str">
        <f t="shared" si="7"/>
        <v xml:space="preserve"> </v>
      </c>
    </row>
    <row r="113" spans="1:13" x14ac:dyDescent="0.25">
      <c r="A113" s="43" t="str">
        <f t="shared" si="5"/>
        <v xml:space="preserve"> </v>
      </c>
      <c r="D113" s="42"/>
      <c r="E113" s="42"/>
      <c r="J113" s="17">
        <f t="shared" si="8"/>
        <v>0</v>
      </c>
      <c r="K113" s="2" t="str">
        <f t="shared" si="9"/>
        <v xml:space="preserve"> </v>
      </c>
      <c r="L113" s="2" t="str">
        <f t="shared" si="6"/>
        <v xml:space="preserve"> </v>
      </c>
      <c r="M113" s="2" t="str">
        <f t="shared" si="7"/>
        <v xml:space="preserve"> </v>
      </c>
    </row>
    <row r="114" spans="1:13" x14ac:dyDescent="0.25">
      <c r="A114" s="43" t="str">
        <f t="shared" si="5"/>
        <v xml:space="preserve"> </v>
      </c>
      <c r="D114" s="42"/>
      <c r="E114" s="42"/>
      <c r="J114" s="17">
        <f t="shared" si="8"/>
        <v>0</v>
      </c>
      <c r="K114" s="2" t="str">
        <f t="shared" si="9"/>
        <v xml:space="preserve"> </v>
      </c>
      <c r="L114" s="2" t="str">
        <f t="shared" si="6"/>
        <v xml:space="preserve"> </v>
      </c>
      <c r="M114" s="2" t="str">
        <f t="shared" si="7"/>
        <v xml:space="preserve"> </v>
      </c>
    </row>
    <row r="115" spans="1:13" x14ac:dyDescent="0.25">
      <c r="A115" s="43" t="str">
        <f t="shared" si="5"/>
        <v xml:space="preserve"> </v>
      </c>
      <c r="D115" s="42"/>
      <c r="E115" s="42"/>
      <c r="J115" s="17">
        <f t="shared" si="8"/>
        <v>0</v>
      </c>
      <c r="K115" s="2" t="str">
        <f t="shared" si="9"/>
        <v xml:space="preserve"> </v>
      </c>
      <c r="L115" s="2" t="str">
        <f t="shared" si="6"/>
        <v xml:space="preserve"> </v>
      </c>
      <c r="M115" s="2" t="str">
        <f t="shared" si="7"/>
        <v xml:space="preserve"> </v>
      </c>
    </row>
    <row r="116" spans="1:13" x14ac:dyDescent="0.25">
      <c r="A116" s="43" t="str">
        <f t="shared" si="5"/>
        <v xml:space="preserve"> </v>
      </c>
      <c r="D116" s="42"/>
      <c r="E116" s="42"/>
      <c r="J116" s="17">
        <f t="shared" si="8"/>
        <v>0</v>
      </c>
      <c r="K116" s="2" t="str">
        <f t="shared" si="9"/>
        <v xml:space="preserve"> </v>
      </c>
      <c r="L116" s="2" t="str">
        <f t="shared" si="6"/>
        <v xml:space="preserve"> </v>
      </c>
      <c r="M116" s="2" t="str">
        <f t="shared" si="7"/>
        <v xml:space="preserve"> </v>
      </c>
    </row>
    <row r="117" spans="1:13" x14ac:dyDescent="0.25">
      <c r="A117" s="43" t="str">
        <f t="shared" si="5"/>
        <v xml:space="preserve"> </v>
      </c>
      <c r="D117" s="42"/>
      <c r="E117" s="42"/>
      <c r="J117" s="17">
        <f t="shared" si="8"/>
        <v>0</v>
      </c>
      <c r="K117" s="2" t="str">
        <f t="shared" si="9"/>
        <v xml:space="preserve"> </v>
      </c>
      <c r="L117" s="2" t="str">
        <f t="shared" si="6"/>
        <v xml:space="preserve"> </v>
      </c>
      <c r="M117" s="2" t="str">
        <f t="shared" si="7"/>
        <v xml:space="preserve"> </v>
      </c>
    </row>
    <row r="118" spans="1:13" x14ac:dyDescent="0.25">
      <c r="A118" s="43" t="str">
        <f t="shared" si="5"/>
        <v xml:space="preserve"> </v>
      </c>
      <c r="D118" s="42"/>
      <c r="E118" s="42"/>
      <c r="J118" s="17">
        <f t="shared" si="8"/>
        <v>0</v>
      </c>
      <c r="K118" s="2" t="str">
        <f t="shared" si="9"/>
        <v xml:space="preserve"> </v>
      </c>
      <c r="L118" s="2" t="str">
        <f t="shared" si="6"/>
        <v xml:space="preserve"> </v>
      </c>
      <c r="M118" s="2" t="str">
        <f t="shared" si="7"/>
        <v xml:space="preserve"> </v>
      </c>
    </row>
    <row r="119" spans="1:13" x14ac:dyDescent="0.25">
      <c r="A119" s="43" t="str">
        <f t="shared" si="5"/>
        <v xml:space="preserve"> </v>
      </c>
      <c r="D119" s="42"/>
      <c r="E119" s="42"/>
      <c r="J119" s="17">
        <f t="shared" si="8"/>
        <v>0</v>
      </c>
      <c r="K119" s="2" t="str">
        <f t="shared" si="9"/>
        <v xml:space="preserve"> </v>
      </c>
      <c r="L119" s="2" t="str">
        <f t="shared" si="6"/>
        <v xml:space="preserve"> </v>
      </c>
      <c r="M119" s="2" t="str">
        <f t="shared" si="7"/>
        <v xml:space="preserve"> </v>
      </c>
    </row>
    <row r="120" spans="1:13" x14ac:dyDescent="0.25">
      <c r="A120" s="43" t="str">
        <f t="shared" si="5"/>
        <v xml:space="preserve"> </v>
      </c>
      <c r="D120" s="42"/>
      <c r="E120" s="42"/>
      <c r="J120" s="17">
        <f t="shared" si="8"/>
        <v>0</v>
      </c>
      <c r="K120" s="2" t="str">
        <f t="shared" si="9"/>
        <v xml:space="preserve"> </v>
      </c>
      <c r="L120" s="2" t="str">
        <f t="shared" si="6"/>
        <v xml:space="preserve"> </v>
      </c>
      <c r="M120" s="2" t="str">
        <f t="shared" si="7"/>
        <v xml:space="preserve"> </v>
      </c>
    </row>
    <row r="121" spans="1:13" x14ac:dyDescent="0.25">
      <c r="A121" s="43" t="str">
        <f t="shared" si="5"/>
        <v xml:space="preserve"> </v>
      </c>
      <c r="D121" s="42"/>
      <c r="E121" s="42"/>
      <c r="J121" s="17">
        <f t="shared" si="8"/>
        <v>0</v>
      </c>
      <c r="K121" s="2" t="str">
        <f t="shared" si="9"/>
        <v xml:space="preserve"> </v>
      </c>
      <c r="L121" s="2" t="str">
        <f t="shared" si="6"/>
        <v xml:space="preserve"> </v>
      </c>
      <c r="M121" s="2" t="str">
        <f t="shared" si="7"/>
        <v xml:space="preserve"> </v>
      </c>
    </row>
    <row r="122" spans="1:13" x14ac:dyDescent="0.25">
      <c r="A122" s="43" t="str">
        <f t="shared" si="5"/>
        <v xml:space="preserve"> </v>
      </c>
      <c r="D122" s="42"/>
      <c r="E122" s="42"/>
      <c r="J122" s="17">
        <f t="shared" si="8"/>
        <v>0</v>
      </c>
      <c r="K122" s="2" t="str">
        <f t="shared" si="9"/>
        <v xml:space="preserve"> </v>
      </c>
      <c r="L122" s="2" t="str">
        <f t="shared" si="6"/>
        <v xml:space="preserve"> </v>
      </c>
      <c r="M122" s="2" t="str">
        <f t="shared" si="7"/>
        <v xml:space="preserve"> </v>
      </c>
    </row>
    <row r="123" spans="1:13" x14ac:dyDescent="0.25">
      <c r="A123" s="43" t="str">
        <f t="shared" si="5"/>
        <v xml:space="preserve"> </v>
      </c>
      <c r="D123" s="42"/>
      <c r="E123" s="42"/>
      <c r="J123" s="17">
        <f t="shared" si="8"/>
        <v>0</v>
      </c>
      <c r="K123" s="2" t="str">
        <f t="shared" si="9"/>
        <v xml:space="preserve"> </v>
      </c>
      <c r="L123" s="2" t="str">
        <f t="shared" si="6"/>
        <v xml:space="preserve"> </v>
      </c>
      <c r="M123" s="2" t="str">
        <f t="shared" si="7"/>
        <v xml:space="preserve"> </v>
      </c>
    </row>
    <row r="124" spans="1:13" x14ac:dyDescent="0.25">
      <c r="A124" s="43" t="str">
        <f t="shared" si="5"/>
        <v xml:space="preserve"> </v>
      </c>
      <c r="C124" s="49"/>
      <c r="D124" s="42"/>
      <c r="E124" s="42"/>
      <c r="J124" s="17">
        <f t="shared" si="8"/>
        <v>0</v>
      </c>
      <c r="K124" s="2" t="str">
        <f t="shared" si="9"/>
        <v xml:space="preserve"> </v>
      </c>
      <c r="L124" s="2" t="str">
        <f t="shared" si="6"/>
        <v xml:space="preserve"> </v>
      </c>
      <c r="M124" s="2" t="str">
        <f t="shared" si="7"/>
        <v xml:space="preserve"> </v>
      </c>
    </row>
    <row r="125" spans="1:13" x14ac:dyDescent="0.25">
      <c r="A125" s="43" t="str">
        <f t="shared" si="5"/>
        <v xml:space="preserve"> </v>
      </c>
      <c r="D125" s="42"/>
      <c r="E125" s="42"/>
      <c r="J125" s="17">
        <f t="shared" si="8"/>
        <v>0</v>
      </c>
      <c r="K125" s="2" t="str">
        <f t="shared" si="9"/>
        <v xml:space="preserve"> </v>
      </c>
      <c r="L125" s="2" t="str">
        <f t="shared" si="6"/>
        <v xml:space="preserve"> </v>
      </c>
      <c r="M125" s="2" t="str">
        <f t="shared" si="7"/>
        <v xml:space="preserve"> </v>
      </c>
    </row>
    <row r="126" spans="1:13" x14ac:dyDescent="0.25">
      <c r="A126" s="43" t="str">
        <f t="shared" si="5"/>
        <v xml:space="preserve"> </v>
      </c>
      <c r="D126" s="42"/>
      <c r="E126" s="42"/>
      <c r="J126" s="17">
        <f t="shared" si="8"/>
        <v>0</v>
      </c>
      <c r="K126" s="2" t="str">
        <f t="shared" si="9"/>
        <v xml:space="preserve"> </v>
      </c>
      <c r="L126" s="2" t="str">
        <f t="shared" si="6"/>
        <v xml:space="preserve"> </v>
      </c>
      <c r="M126" s="2" t="str">
        <f t="shared" si="7"/>
        <v xml:space="preserve"> </v>
      </c>
    </row>
    <row r="127" spans="1:13" x14ac:dyDescent="0.25">
      <c r="A127" s="43" t="str">
        <f t="shared" si="5"/>
        <v xml:space="preserve"> </v>
      </c>
      <c r="D127" s="42"/>
      <c r="E127" s="42"/>
      <c r="J127" s="17">
        <f t="shared" si="8"/>
        <v>0</v>
      </c>
      <c r="K127" s="2" t="str">
        <f t="shared" si="9"/>
        <v xml:space="preserve"> </v>
      </c>
      <c r="L127" s="2" t="str">
        <f t="shared" si="6"/>
        <v xml:space="preserve"> </v>
      </c>
      <c r="M127" s="2" t="str">
        <f t="shared" si="7"/>
        <v xml:space="preserve"> </v>
      </c>
    </row>
    <row r="128" spans="1:13" x14ac:dyDescent="0.25">
      <c r="A128" s="43" t="str">
        <f t="shared" si="5"/>
        <v xml:space="preserve"> </v>
      </c>
      <c r="D128" s="42"/>
      <c r="E128" s="42"/>
      <c r="J128" s="17">
        <f t="shared" si="8"/>
        <v>0</v>
      </c>
      <c r="K128" s="2" t="str">
        <f t="shared" si="9"/>
        <v xml:space="preserve"> </v>
      </c>
      <c r="L128" s="2" t="str">
        <f t="shared" si="6"/>
        <v xml:space="preserve"> </v>
      </c>
      <c r="M128" s="2" t="str">
        <f t="shared" si="7"/>
        <v xml:space="preserve"> </v>
      </c>
    </row>
    <row r="129" spans="1:13" x14ac:dyDescent="0.25">
      <c r="A129" s="43" t="str">
        <f t="shared" si="5"/>
        <v xml:space="preserve"> </v>
      </c>
      <c r="D129" s="42"/>
      <c r="E129" s="42"/>
      <c r="J129" s="17">
        <f t="shared" si="8"/>
        <v>0</v>
      </c>
      <c r="K129" s="2" t="str">
        <f t="shared" si="9"/>
        <v xml:space="preserve"> </v>
      </c>
      <c r="L129" s="2" t="str">
        <f t="shared" si="6"/>
        <v xml:space="preserve"> </v>
      </c>
      <c r="M129" s="2" t="str">
        <f t="shared" si="7"/>
        <v xml:space="preserve"> </v>
      </c>
    </row>
    <row r="130" spans="1:13" x14ac:dyDescent="0.25">
      <c r="A130" s="43" t="str">
        <f t="shared" si="5"/>
        <v xml:space="preserve"> </v>
      </c>
      <c r="D130" s="42"/>
      <c r="E130" s="42"/>
      <c r="J130" s="17">
        <f t="shared" si="8"/>
        <v>0</v>
      </c>
      <c r="K130" s="2" t="str">
        <f t="shared" si="9"/>
        <v xml:space="preserve"> </v>
      </c>
      <c r="L130" s="2" t="str">
        <f t="shared" si="6"/>
        <v xml:space="preserve"> </v>
      </c>
      <c r="M130" s="2" t="str">
        <f t="shared" si="7"/>
        <v xml:space="preserve"> </v>
      </c>
    </row>
    <row r="131" spans="1:13" x14ac:dyDescent="0.25">
      <c r="A131" s="43" t="str">
        <f t="shared" si="5"/>
        <v xml:space="preserve"> </v>
      </c>
      <c r="D131" s="42"/>
      <c r="E131" s="42"/>
      <c r="J131" s="17">
        <f t="shared" si="8"/>
        <v>0</v>
      </c>
      <c r="K131" s="2" t="str">
        <f t="shared" si="9"/>
        <v xml:space="preserve"> </v>
      </c>
      <c r="L131" s="2" t="str">
        <f t="shared" si="6"/>
        <v xml:space="preserve"> </v>
      </c>
      <c r="M131" s="2" t="str">
        <f t="shared" si="7"/>
        <v xml:space="preserve"> </v>
      </c>
    </row>
    <row r="132" spans="1:13" x14ac:dyDescent="0.25">
      <c r="A132" s="43" t="str">
        <f t="shared" si="5"/>
        <v xml:space="preserve"> </v>
      </c>
      <c r="D132" s="42"/>
      <c r="E132" s="42"/>
      <c r="J132" s="17">
        <f t="shared" si="8"/>
        <v>0</v>
      </c>
      <c r="K132" s="2" t="str">
        <f t="shared" si="9"/>
        <v xml:space="preserve"> </v>
      </c>
      <c r="L132" s="2" t="str">
        <f t="shared" si="6"/>
        <v xml:space="preserve"> </v>
      </c>
      <c r="M132" s="2" t="str">
        <f t="shared" si="7"/>
        <v xml:space="preserve"> </v>
      </c>
    </row>
    <row r="133" spans="1:13" x14ac:dyDescent="0.25">
      <c r="A133" s="43" t="str">
        <f t="shared" si="5"/>
        <v xml:space="preserve"> </v>
      </c>
      <c r="D133" s="42"/>
      <c r="E133" s="42"/>
      <c r="J133" s="17">
        <f t="shared" si="8"/>
        <v>0</v>
      </c>
      <c r="K133" s="2" t="str">
        <f t="shared" si="9"/>
        <v xml:space="preserve"> </v>
      </c>
      <c r="L133" s="2" t="str">
        <f t="shared" si="6"/>
        <v xml:space="preserve"> </v>
      </c>
      <c r="M133" s="2" t="str">
        <f t="shared" si="7"/>
        <v xml:space="preserve"> </v>
      </c>
    </row>
    <row r="134" spans="1:13" x14ac:dyDescent="0.25">
      <c r="A134" s="43" t="str">
        <f t="shared" si="5"/>
        <v xml:space="preserve"> </v>
      </c>
      <c r="D134" s="42"/>
      <c r="E134" s="42"/>
      <c r="J134" s="17">
        <f t="shared" si="8"/>
        <v>0</v>
      </c>
      <c r="K134" s="2" t="str">
        <f t="shared" si="9"/>
        <v xml:space="preserve"> </v>
      </c>
      <c r="L134" s="2" t="str">
        <f t="shared" si="6"/>
        <v xml:space="preserve"> </v>
      </c>
      <c r="M134" s="2" t="str">
        <f t="shared" si="7"/>
        <v xml:space="preserve"> </v>
      </c>
    </row>
    <row r="135" spans="1:13" x14ac:dyDescent="0.25">
      <c r="A135" s="43" t="str">
        <f t="shared" si="5"/>
        <v xml:space="preserve"> </v>
      </c>
      <c r="D135" s="42"/>
      <c r="E135" s="42"/>
      <c r="J135" s="17">
        <f t="shared" si="8"/>
        <v>0</v>
      </c>
      <c r="K135" s="2" t="str">
        <f t="shared" si="9"/>
        <v xml:space="preserve"> </v>
      </c>
      <c r="L135" s="2" t="str">
        <f t="shared" si="6"/>
        <v xml:space="preserve"> </v>
      </c>
      <c r="M135" s="2" t="str">
        <f t="shared" si="7"/>
        <v xml:space="preserve"> </v>
      </c>
    </row>
    <row r="136" spans="1:13" x14ac:dyDescent="0.25">
      <c r="A136" s="43" t="str">
        <f t="shared" si="5"/>
        <v xml:space="preserve"> </v>
      </c>
      <c r="D136" s="42"/>
      <c r="E136" s="42"/>
      <c r="J136" s="17">
        <f t="shared" si="8"/>
        <v>0</v>
      </c>
      <c r="K136" s="2" t="str">
        <f t="shared" si="9"/>
        <v xml:space="preserve"> </v>
      </c>
      <c r="L136" s="2" t="str">
        <f t="shared" si="6"/>
        <v xml:space="preserve"> </v>
      </c>
      <c r="M136" s="2" t="str">
        <f t="shared" si="7"/>
        <v xml:space="preserve"> </v>
      </c>
    </row>
    <row r="137" spans="1:13" x14ac:dyDescent="0.25">
      <c r="A137" s="43" t="str">
        <f t="shared" si="5"/>
        <v xml:space="preserve"> </v>
      </c>
      <c r="D137" s="42"/>
      <c r="E137" s="42"/>
      <c r="J137" s="17">
        <f t="shared" si="8"/>
        <v>0</v>
      </c>
      <c r="K137" s="2" t="str">
        <f t="shared" si="9"/>
        <v xml:space="preserve"> </v>
      </c>
      <c r="L137" s="2" t="str">
        <f t="shared" si="6"/>
        <v xml:space="preserve"> </v>
      </c>
      <c r="M137" s="2" t="str">
        <f t="shared" si="7"/>
        <v xml:space="preserve"> </v>
      </c>
    </row>
    <row r="138" spans="1:13" x14ac:dyDescent="0.25">
      <c r="A138" s="43" t="str">
        <f t="shared" si="5"/>
        <v xml:space="preserve"> </v>
      </c>
      <c r="D138" s="42"/>
      <c r="E138" s="42"/>
      <c r="J138" s="17">
        <f t="shared" si="8"/>
        <v>0</v>
      </c>
      <c r="K138" s="2" t="str">
        <f t="shared" si="9"/>
        <v xml:space="preserve"> </v>
      </c>
      <c r="L138" s="2" t="str">
        <f t="shared" si="6"/>
        <v xml:space="preserve"> </v>
      </c>
      <c r="M138" s="2" t="str">
        <f t="shared" si="7"/>
        <v xml:space="preserve"> </v>
      </c>
    </row>
    <row r="139" spans="1:13" x14ac:dyDescent="0.25">
      <c r="A139" s="43" t="str">
        <f t="shared" si="5"/>
        <v xml:space="preserve"> </v>
      </c>
      <c r="D139" s="42"/>
      <c r="E139" s="42"/>
      <c r="J139" s="17">
        <f t="shared" si="8"/>
        <v>0</v>
      </c>
      <c r="K139" s="2" t="str">
        <f t="shared" si="9"/>
        <v xml:space="preserve"> </v>
      </c>
      <c r="L139" s="2" t="str">
        <f t="shared" si="6"/>
        <v xml:space="preserve"> </v>
      </c>
      <c r="M139" s="2" t="str">
        <f t="shared" si="7"/>
        <v xml:space="preserve"> </v>
      </c>
    </row>
    <row r="140" spans="1:13" x14ac:dyDescent="0.25">
      <c r="A140" s="43" t="str">
        <f t="shared" si="5"/>
        <v xml:space="preserve"> </v>
      </c>
      <c r="D140" s="42"/>
      <c r="E140" s="42"/>
      <c r="J140" s="17">
        <f t="shared" si="8"/>
        <v>0</v>
      </c>
      <c r="K140" s="2" t="str">
        <f t="shared" si="9"/>
        <v xml:space="preserve"> </v>
      </c>
      <c r="L140" s="2" t="str">
        <f t="shared" si="6"/>
        <v xml:space="preserve"> </v>
      </c>
      <c r="M140" s="2" t="str">
        <f t="shared" si="7"/>
        <v xml:space="preserve"> </v>
      </c>
    </row>
    <row r="141" spans="1:13" x14ac:dyDescent="0.25">
      <c r="A141" s="43" t="str">
        <f t="shared" si="5"/>
        <v xml:space="preserve"> </v>
      </c>
      <c r="D141" s="42"/>
      <c r="E141" s="42"/>
      <c r="J141" s="17">
        <f t="shared" si="8"/>
        <v>0</v>
      </c>
      <c r="K141" s="2" t="str">
        <f t="shared" si="9"/>
        <v xml:space="preserve"> </v>
      </c>
      <c r="L141" s="2" t="str">
        <f t="shared" si="6"/>
        <v xml:space="preserve"> </v>
      </c>
      <c r="M141" s="2" t="str">
        <f t="shared" si="7"/>
        <v xml:space="preserve"> </v>
      </c>
    </row>
    <row r="142" spans="1:13" x14ac:dyDescent="0.25">
      <c r="A142" s="43" t="str">
        <f t="shared" si="5"/>
        <v xml:space="preserve"> </v>
      </c>
      <c r="D142" s="42"/>
      <c r="E142" s="42"/>
      <c r="J142" s="17">
        <f t="shared" si="8"/>
        <v>0</v>
      </c>
      <c r="K142" s="2" t="str">
        <f t="shared" si="9"/>
        <v xml:space="preserve"> </v>
      </c>
      <c r="L142" s="2" t="str">
        <f t="shared" si="6"/>
        <v xml:space="preserve"> </v>
      </c>
      <c r="M142" s="2" t="str">
        <f t="shared" si="7"/>
        <v xml:space="preserve"> </v>
      </c>
    </row>
    <row r="143" spans="1:13" x14ac:dyDescent="0.25">
      <c r="A143" s="43" t="str">
        <f t="shared" ref="A143:A206" si="10">IF(COUNTIF(K143:M143,"ERROR")&gt;0,"ERROR"," ")</f>
        <v xml:space="preserve"> </v>
      </c>
      <c r="D143" s="42"/>
      <c r="E143" s="42"/>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43" t="str">
        <f t="shared" si="10"/>
        <v xml:space="preserve"> </v>
      </c>
      <c r="D144" s="42"/>
      <c r="E144" s="42"/>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43" t="str">
        <f t="shared" si="10"/>
        <v xml:space="preserve"> </v>
      </c>
      <c r="D145" s="42"/>
      <c r="E145" s="42"/>
      <c r="J145" s="17">
        <f t="shared" si="13"/>
        <v>0</v>
      </c>
      <c r="K145" s="2" t="str">
        <f t="shared" si="14"/>
        <v xml:space="preserve"> </v>
      </c>
      <c r="L145" s="2" t="str">
        <f t="shared" si="11"/>
        <v xml:space="preserve"> </v>
      </c>
      <c r="M145" s="2" t="str">
        <f t="shared" si="12"/>
        <v xml:space="preserve"> </v>
      </c>
    </row>
    <row r="146" spans="1:13" x14ac:dyDescent="0.25">
      <c r="A146" s="43" t="str">
        <f t="shared" si="10"/>
        <v xml:space="preserve"> </v>
      </c>
      <c r="D146" s="42"/>
      <c r="E146" s="42"/>
      <c r="J146" s="17">
        <f t="shared" si="13"/>
        <v>0</v>
      </c>
      <c r="K146" s="2" t="str">
        <f t="shared" si="14"/>
        <v xml:space="preserve"> </v>
      </c>
      <c r="L146" s="2" t="str">
        <f t="shared" si="11"/>
        <v xml:space="preserve"> </v>
      </c>
      <c r="M146" s="2" t="str">
        <f t="shared" si="12"/>
        <v xml:space="preserve"> </v>
      </c>
    </row>
    <row r="147" spans="1:13" x14ac:dyDescent="0.25">
      <c r="A147" s="43" t="str">
        <f t="shared" si="10"/>
        <v xml:space="preserve"> </v>
      </c>
      <c r="D147" s="42"/>
      <c r="E147" s="42"/>
      <c r="J147" s="17">
        <f t="shared" si="13"/>
        <v>0</v>
      </c>
      <c r="K147" s="2" t="str">
        <f t="shared" si="14"/>
        <v xml:space="preserve"> </v>
      </c>
      <c r="L147" s="2" t="str">
        <f t="shared" si="11"/>
        <v xml:space="preserve"> </v>
      </c>
      <c r="M147" s="2" t="str">
        <f t="shared" si="12"/>
        <v xml:space="preserve"> </v>
      </c>
    </row>
    <row r="148" spans="1:13" x14ac:dyDescent="0.25">
      <c r="A148" s="43" t="str">
        <f t="shared" si="10"/>
        <v xml:space="preserve"> </v>
      </c>
      <c r="D148" s="42"/>
      <c r="E148" s="42"/>
      <c r="J148" s="17">
        <f t="shared" si="13"/>
        <v>0</v>
      </c>
      <c r="K148" s="2" t="str">
        <f t="shared" si="14"/>
        <v xml:space="preserve"> </v>
      </c>
      <c r="L148" s="2" t="str">
        <f t="shared" si="11"/>
        <v xml:space="preserve"> </v>
      </c>
      <c r="M148" s="2" t="str">
        <f t="shared" si="12"/>
        <v xml:space="preserve"> </v>
      </c>
    </row>
    <row r="149" spans="1:13" x14ac:dyDescent="0.25">
      <c r="A149" s="43" t="str">
        <f t="shared" si="10"/>
        <v xml:space="preserve"> </v>
      </c>
      <c r="D149" s="42"/>
      <c r="E149" s="42"/>
      <c r="J149" s="17">
        <f t="shared" si="13"/>
        <v>0</v>
      </c>
      <c r="K149" s="2" t="str">
        <f t="shared" si="14"/>
        <v xml:space="preserve"> </v>
      </c>
      <c r="L149" s="2" t="str">
        <f t="shared" si="11"/>
        <v xml:space="preserve"> </v>
      </c>
      <c r="M149" s="2" t="str">
        <f t="shared" si="12"/>
        <v xml:space="preserve"> </v>
      </c>
    </row>
    <row r="150" spans="1:13" x14ac:dyDescent="0.25">
      <c r="A150" s="43" t="str">
        <f t="shared" si="10"/>
        <v xml:space="preserve"> </v>
      </c>
      <c r="D150" s="42"/>
      <c r="E150" s="42"/>
      <c r="J150" s="17">
        <f t="shared" si="13"/>
        <v>0</v>
      </c>
      <c r="K150" s="2" t="str">
        <f t="shared" si="14"/>
        <v xml:space="preserve"> </v>
      </c>
      <c r="L150" s="2" t="str">
        <f t="shared" si="11"/>
        <v xml:space="preserve"> </v>
      </c>
      <c r="M150" s="2" t="str">
        <f t="shared" si="12"/>
        <v xml:space="preserve"> </v>
      </c>
    </row>
    <row r="151" spans="1:13" x14ac:dyDescent="0.25">
      <c r="A151" s="43" t="str">
        <f t="shared" si="10"/>
        <v xml:space="preserve"> </v>
      </c>
      <c r="D151" s="42"/>
      <c r="E151" s="42"/>
      <c r="J151" s="17">
        <f t="shared" si="13"/>
        <v>0</v>
      </c>
      <c r="K151" s="2" t="str">
        <f t="shared" si="14"/>
        <v xml:space="preserve"> </v>
      </c>
      <c r="L151" s="2" t="str">
        <f t="shared" si="11"/>
        <v xml:space="preserve"> </v>
      </c>
      <c r="M151" s="2" t="str">
        <f t="shared" si="12"/>
        <v xml:space="preserve"> </v>
      </c>
    </row>
    <row r="152" spans="1:13" x14ac:dyDescent="0.25">
      <c r="A152" s="43" t="str">
        <f t="shared" si="10"/>
        <v xml:space="preserve"> </v>
      </c>
      <c r="D152" s="42"/>
      <c r="E152" s="42"/>
      <c r="J152" s="17">
        <f t="shared" si="13"/>
        <v>0</v>
      </c>
      <c r="K152" s="2" t="str">
        <f t="shared" si="14"/>
        <v xml:space="preserve"> </v>
      </c>
      <c r="L152" s="2" t="str">
        <f t="shared" si="11"/>
        <v xml:space="preserve"> </v>
      </c>
      <c r="M152" s="2" t="str">
        <f t="shared" si="12"/>
        <v xml:space="preserve"> </v>
      </c>
    </row>
    <row r="153" spans="1:13" x14ac:dyDescent="0.25">
      <c r="A153" s="43" t="str">
        <f t="shared" si="10"/>
        <v xml:space="preserve"> </v>
      </c>
      <c r="D153" s="42"/>
      <c r="E153" s="42"/>
      <c r="J153" s="17">
        <f t="shared" si="13"/>
        <v>0</v>
      </c>
      <c r="K153" s="2" t="str">
        <f t="shared" si="14"/>
        <v xml:space="preserve"> </v>
      </c>
      <c r="L153" s="2" t="str">
        <f t="shared" si="11"/>
        <v xml:space="preserve"> </v>
      </c>
      <c r="M153" s="2" t="str">
        <f t="shared" si="12"/>
        <v xml:space="preserve"> </v>
      </c>
    </row>
    <row r="154" spans="1:13" x14ac:dyDescent="0.25">
      <c r="A154" s="43" t="str">
        <f t="shared" si="10"/>
        <v xml:space="preserve"> </v>
      </c>
      <c r="D154" s="42"/>
      <c r="E154" s="42"/>
      <c r="J154" s="17">
        <f t="shared" si="13"/>
        <v>0</v>
      </c>
      <c r="K154" s="2" t="str">
        <f t="shared" si="14"/>
        <v xml:space="preserve"> </v>
      </c>
      <c r="L154" s="2" t="str">
        <f t="shared" si="11"/>
        <v xml:space="preserve"> </v>
      </c>
      <c r="M154" s="2" t="str">
        <f t="shared" si="12"/>
        <v xml:space="preserve"> </v>
      </c>
    </row>
    <row r="155" spans="1:13" x14ac:dyDescent="0.25">
      <c r="A155" s="43" t="str">
        <f t="shared" si="10"/>
        <v xml:space="preserve"> </v>
      </c>
      <c r="D155" s="42"/>
      <c r="E155" s="42"/>
      <c r="J155" s="17">
        <f t="shared" si="13"/>
        <v>0</v>
      </c>
      <c r="K155" s="2" t="str">
        <f t="shared" si="14"/>
        <v xml:space="preserve"> </v>
      </c>
      <c r="L155" s="2" t="str">
        <f t="shared" si="11"/>
        <v xml:space="preserve"> </v>
      </c>
      <c r="M155" s="2" t="str">
        <f t="shared" si="12"/>
        <v xml:space="preserve"> </v>
      </c>
    </row>
    <row r="156" spans="1:13" x14ac:dyDescent="0.25">
      <c r="A156" s="43" t="str">
        <f t="shared" si="10"/>
        <v xml:space="preserve"> </v>
      </c>
      <c r="D156" s="42"/>
      <c r="E156" s="42"/>
      <c r="J156" s="17">
        <f t="shared" si="13"/>
        <v>0</v>
      </c>
      <c r="K156" s="2" t="str">
        <f t="shared" si="14"/>
        <v xml:space="preserve"> </v>
      </c>
      <c r="L156" s="2" t="str">
        <f t="shared" si="11"/>
        <v xml:space="preserve"> </v>
      </c>
      <c r="M156" s="2" t="str">
        <f t="shared" si="12"/>
        <v xml:space="preserve"> </v>
      </c>
    </row>
    <row r="157" spans="1:13" x14ac:dyDescent="0.25">
      <c r="A157" s="43" t="str">
        <f t="shared" si="10"/>
        <v xml:space="preserve"> </v>
      </c>
      <c r="D157" s="42"/>
      <c r="E157" s="42"/>
      <c r="J157" s="17">
        <f t="shared" si="13"/>
        <v>0</v>
      </c>
      <c r="K157" s="2" t="str">
        <f t="shared" si="14"/>
        <v xml:space="preserve"> </v>
      </c>
      <c r="L157" s="2" t="str">
        <f t="shared" si="11"/>
        <v xml:space="preserve"> </v>
      </c>
      <c r="M157" s="2" t="str">
        <f t="shared" si="12"/>
        <v xml:space="preserve"> </v>
      </c>
    </row>
    <row r="158" spans="1:13" x14ac:dyDescent="0.25">
      <c r="A158" s="43" t="str">
        <f t="shared" si="10"/>
        <v xml:space="preserve"> </v>
      </c>
      <c r="D158" s="42"/>
      <c r="E158" s="42"/>
      <c r="J158" s="17">
        <f t="shared" si="13"/>
        <v>0</v>
      </c>
      <c r="K158" s="2" t="str">
        <f t="shared" si="14"/>
        <v xml:space="preserve"> </v>
      </c>
      <c r="L158" s="2" t="str">
        <f t="shared" si="11"/>
        <v xml:space="preserve"> </v>
      </c>
      <c r="M158" s="2" t="str">
        <f t="shared" si="12"/>
        <v xml:space="preserve"> </v>
      </c>
    </row>
    <row r="159" spans="1:13" x14ac:dyDescent="0.25">
      <c r="A159" s="43" t="str">
        <f t="shared" si="10"/>
        <v xml:space="preserve"> </v>
      </c>
      <c r="D159" s="42"/>
      <c r="E159" s="42"/>
      <c r="J159" s="17">
        <f t="shared" si="13"/>
        <v>0</v>
      </c>
      <c r="K159" s="2" t="str">
        <f t="shared" si="14"/>
        <v xml:space="preserve"> </v>
      </c>
      <c r="L159" s="2" t="str">
        <f t="shared" si="11"/>
        <v xml:space="preserve"> </v>
      </c>
      <c r="M159" s="2" t="str">
        <f t="shared" si="12"/>
        <v xml:space="preserve"> </v>
      </c>
    </row>
    <row r="160" spans="1:13" x14ac:dyDescent="0.25">
      <c r="A160" s="43" t="str">
        <f t="shared" si="10"/>
        <v xml:space="preserve"> </v>
      </c>
      <c r="D160" s="42"/>
      <c r="E160" s="42"/>
      <c r="J160" s="17">
        <f t="shared" si="13"/>
        <v>0</v>
      </c>
      <c r="K160" s="2" t="str">
        <f t="shared" si="14"/>
        <v xml:space="preserve"> </v>
      </c>
      <c r="L160" s="2" t="str">
        <f t="shared" si="11"/>
        <v xml:space="preserve"> </v>
      </c>
      <c r="M160" s="2" t="str">
        <f t="shared" si="12"/>
        <v xml:space="preserve"> </v>
      </c>
    </row>
    <row r="161" spans="1:13" x14ac:dyDescent="0.25">
      <c r="A161" s="43" t="str">
        <f t="shared" si="10"/>
        <v xml:space="preserve"> </v>
      </c>
      <c r="D161" s="42"/>
      <c r="E161" s="42"/>
      <c r="J161" s="17">
        <f t="shared" si="13"/>
        <v>0</v>
      </c>
      <c r="K161" s="2" t="str">
        <f t="shared" si="14"/>
        <v xml:space="preserve"> </v>
      </c>
      <c r="L161" s="2" t="str">
        <f t="shared" si="11"/>
        <v xml:space="preserve"> </v>
      </c>
      <c r="M161" s="2" t="str">
        <f t="shared" si="12"/>
        <v xml:space="preserve"> </v>
      </c>
    </row>
    <row r="162" spans="1:13" x14ac:dyDescent="0.25">
      <c r="A162" s="43" t="str">
        <f t="shared" si="10"/>
        <v xml:space="preserve"> </v>
      </c>
      <c r="D162" s="42"/>
      <c r="E162" s="42"/>
      <c r="J162" s="17">
        <f t="shared" si="13"/>
        <v>0</v>
      </c>
      <c r="K162" s="2" t="str">
        <f t="shared" si="14"/>
        <v xml:space="preserve"> </v>
      </c>
      <c r="L162" s="2" t="str">
        <f t="shared" si="11"/>
        <v xml:space="preserve"> </v>
      </c>
      <c r="M162" s="2" t="str">
        <f t="shared" si="12"/>
        <v xml:space="preserve"> </v>
      </c>
    </row>
    <row r="163" spans="1:13" x14ac:dyDescent="0.25">
      <c r="A163" s="43" t="str">
        <f t="shared" si="10"/>
        <v xml:space="preserve"> </v>
      </c>
      <c r="D163" s="42"/>
      <c r="E163" s="42"/>
      <c r="J163" s="17">
        <f t="shared" si="13"/>
        <v>0</v>
      </c>
      <c r="K163" s="2" t="str">
        <f t="shared" si="14"/>
        <v xml:space="preserve"> </v>
      </c>
      <c r="L163" s="2" t="str">
        <f t="shared" si="11"/>
        <v xml:space="preserve"> </v>
      </c>
      <c r="M163" s="2" t="str">
        <f t="shared" si="12"/>
        <v xml:space="preserve"> </v>
      </c>
    </row>
    <row r="164" spans="1:13" x14ac:dyDescent="0.25">
      <c r="A164" s="43" t="str">
        <f t="shared" si="10"/>
        <v xml:space="preserve"> </v>
      </c>
      <c r="D164" s="42"/>
      <c r="E164" s="42"/>
      <c r="J164" s="17">
        <f t="shared" si="13"/>
        <v>0</v>
      </c>
      <c r="K164" s="2" t="str">
        <f t="shared" si="14"/>
        <v xml:space="preserve"> </v>
      </c>
      <c r="L164" s="2" t="str">
        <f t="shared" si="11"/>
        <v xml:space="preserve"> </v>
      </c>
      <c r="M164" s="2" t="str">
        <f t="shared" si="12"/>
        <v xml:space="preserve"> </v>
      </c>
    </row>
    <row r="165" spans="1:13" x14ac:dyDescent="0.25">
      <c r="A165" s="43" t="str">
        <f t="shared" si="10"/>
        <v xml:space="preserve"> </v>
      </c>
      <c r="D165" s="42"/>
      <c r="E165" s="42"/>
      <c r="J165" s="17">
        <f t="shared" si="13"/>
        <v>0</v>
      </c>
      <c r="K165" s="2" t="str">
        <f t="shared" si="14"/>
        <v xml:space="preserve"> </v>
      </c>
      <c r="L165" s="2" t="str">
        <f t="shared" si="11"/>
        <v xml:space="preserve"> </v>
      </c>
      <c r="M165" s="2" t="str">
        <f t="shared" si="12"/>
        <v xml:space="preserve"> </v>
      </c>
    </row>
    <row r="166" spans="1:13" x14ac:dyDescent="0.25">
      <c r="A166" s="43" t="str">
        <f t="shared" si="10"/>
        <v xml:space="preserve"> </v>
      </c>
      <c r="D166" s="42"/>
      <c r="E166" s="42"/>
      <c r="J166" s="17">
        <f t="shared" si="13"/>
        <v>0</v>
      </c>
      <c r="K166" s="2" t="str">
        <f t="shared" si="14"/>
        <v xml:space="preserve"> </v>
      </c>
      <c r="L166" s="2" t="str">
        <f t="shared" si="11"/>
        <v xml:space="preserve"> </v>
      </c>
      <c r="M166" s="2" t="str">
        <f t="shared" si="12"/>
        <v xml:space="preserve"> </v>
      </c>
    </row>
    <row r="167" spans="1:13" x14ac:dyDescent="0.25">
      <c r="A167" s="43" t="str">
        <f t="shared" si="10"/>
        <v xml:space="preserve"> </v>
      </c>
      <c r="D167" s="42"/>
      <c r="E167" s="42"/>
      <c r="J167" s="17">
        <f t="shared" si="13"/>
        <v>0</v>
      </c>
      <c r="K167" s="2" t="str">
        <f t="shared" si="14"/>
        <v xml:space="preserve"> </v>
      </c>
      <c r="L167" s="2" t="str">
        <f t="shared" si="11"/>
        <v xml:space="preserve"> </v>
      </c>
      <c r="M167" s="2" t="str">
        <f t="shared" si="12"/>
        <v xml:space="preserve"> </v>
      </c>
    </row>
    <row r="168" spans="1:13" x14ac:dyDescent="0.25">
      <c r="A168" s="43" t="str">
        <f t="shared" si="10"/>
        <v xml:space="preserve"> </v>
      </c>
      <c r="D168" s="42"/>
      <c r="E168" s="42"/>
      <c r="J168" s="17">
        <f t="shared" si="13"/>
        <v>0</v>
      </c>
      <c r="K168" s="2" t="str">
        <f t="shared" si="14"/>
        <v xml:space="preserve"> </v>
      </c>
      <c r="L168" s="2" t="str">
        <f t="shared" si="11"/>
        <v xml:space="preserve"> </v>
      </c>
      <c r="M168" s="2" t="str">
        <f t="shared" si="12"/>
        <v xml:space="preserve"> </v>
      </c>
    </row>
    <row r="169" spans="1:13" x14ac:dyDescent="0.25">
      <c r="A169" s="43" t="str">
        <f t="shared" si="10"/>
        <v xml:space="preserve"> </v>
      </c>
      <c r="D169" s="42"/>
      <c r="E169" s="42"/>
      <c r="J169" s="17">
        <f t="shared" si="13"/>
        <v>0</v>
      </c>
      <c r="K169" s="2" t="str">
        <f t="shared" si="14"/>
        <v xml:space="preserve"> </v>
      </c>
      <c r="L169" s="2" t="str">
        <f t="shared" si="11"/>
        <v xml:space="preserve"> </v>
      </c>
      <c r="M169" s="2" t="str">
        <f t="shared" si="12"/>
        <v xml:space="preserve"> </v>
      </c>
    </row>
    <row r="170" spans="1:13" x14ac:dyDescent="0.25">
      <c r="A170" s="43" t="str">
        <f t="shared" si="10"/>
        <v xml:space="preserve"> </v>
      </c>
      <c r="D170" s="42"/>
      <c r="E170" s="42"/>
      <c r="J170" s="17">
        <f t="shared" si="13"/>
        <v>0</v>
      </c>
      <c r="K170" s="2" t="str">
        <f t="shared" si="14"/>
        <v xml:space="preserve"> </v>
      </c>
      <c r="L170" s="2" t="str">
        <f t="shared" si="11"/>
        <v xml:space="preserve"> </v>
      </c>
      <c r="M170" s="2" t="str">
        <f t="shared" si="12"/>
        <v xml:space="preserve"> </v>
      </c>
    </row>
    <row r="171" spans="1:13" x14ac:dyDescent="0.25">
      <c r="A171" s="43" t="str">
        <f t="shared" si="10"/>
        <v xml:space="preserve"> </v>
      </c>
      <c r="D171" s="42"/>
      <c r="E171" s="42"/>
      <c r="J171" s="17">
        <f t="shared" si="13"/>
        <v>0</v>
      </c>
      <c r="K171" s="2" t="str">
        <f t="shared" si="14"/>
        <v xml:space="preserve"> </v>
      </c>
      <c r="L171" s="2" t="str">
        <f t="shared" si="11"/>
        <v xml:space="preserve"> </v>
      </c>
      <c r="M171" s="2" t="str">
        <f t="shared" si="12"/>
        <v xml:space="preserve"> </v>
      </c>
    </row>
    <row r="172" spans="1:13" x14ac:dyDescent="0.25">
      <c r="A172" s="43" t="str">
        <f t="shared" si="10"/>
        <v xml:space="preserve"> </v>
      </c>
      <c r="D172" s="42"/>
      <c r="E172" s="42"/>
      <c r="J172" s="17">
        <f t="shared" si="13"/>
        <v>0</v>
      </c>
      <c r="K172" s="2" t="str">
        <f t="shared" si="14"/>
        <v xml:space="preserve"> </v>
      </c>
      <c r="L172" s="2" t="str">
        <f t="shared" si="11"/>
        <v xml:space="preserve"> </v>
      </c>
      <c r="M172" s="2" t="str">
        <f t="shared" si="12"/>
        <v xml:space="preserve"> </v>
      </c>
    </row>
    <row r="173" spans="1:13" x14ac:dyDescent="0.25">
      <c r="A173" s="43" t="str">
        <f t="shared" si="10"/>
        <v xml:space="preserve"> </v>
      </c>
      <c r="D173" s="42"/>
      <c r="E173" s="42"/>
      <c r="J173" s="17">
        <f t="shared" si="13"/>
        <v>0</v>
      </c>
      <c r="K173" s="2" t="str">
        <f t="shared" si="14"/>
        <v xml:space="preserve"> </v>
      </c>
      <c r="L173" s="2" t="str">
        <f t="shared" si="11"/>
        <v xml:space="preserve"> </v>
      </c>
      <c r="M173" s="2" t="str">
        <f t="shared" si="12"/>
        <v xml:space="preserve"> </v>
      </c>
    </row>
    <row r="174" spans="1:13" x14ac:dyDescent="0.25">
      <c r="A174" s="43" t="str">
        <f t="shared" si="10"/>
        <v xml:space="preserve"> </v>
      </c>
      <c r="D174" s="42"/>
      <c r="E174" s="42"/>
      <c r="J174" s="17">
        <f t="shared" si="13"/>
        <v>0</v>
      </c>
      <c r="K174" s="2" t="str">
        <f t="shared" si="14"/>
        <v xml:space="preserve"> </v>
      </c>
      <c r="L174" s="2" t="str">
        <f t="shared" si="11"/>
        <v xml:space="preserve"> </v>
      </c>
      <c r="M174" s="2" t="str">
        <f t="shared" si="12"/>
        <v xml:space="preserve"> </v>
      </c>
    </row>
    <row r="175" spans="1:13" x14ac:dyDescent="0.25">
      <c r="A175" s="43" t="str">
        <f t="shared" si="10"/>
        <v xml:space="preserve"> </v>
      </c>
      <c r="D175" s="42"/>
      <c r="E175" s="42"/>
      <c r="J175" s="17">
        <f t="shared" si="13"/>
        <v>0</v>
      </c>
      <c r="K175" s="2" t="str">
        <f t="shared" si="14"/>
        <v xml:space="preserve"> </v>
      </c>
      <c r="L175" s="2" t="str">
        <f t="shared" si="11"/>
        <v xml:space="preserve"> </v>
      </c>
      <c r="M175" s="2" t="str">
        <f t="shared" si="12"/>
        <v xml:space="preserve"> </v>
      </c>
    </row>
    <row r="176" spans="1:13" x14ac:dyDescent="0.25">
      <c r="A176" s="43" t="str">
        <f t="shared" si="10"/>
        <v xml:space="preserve"> </v>
      </c>
      <c r="D176" s="42"/>
      <c r="E176" s="42"/>
      <c r="J176" s="17">
        <f t="shared" si="13"/>
        <v>0</v>
      </c>
      <c r="K176" s="2" t="str">
        <f t="shared" si="14"/>
        <v xml:space="preserve"> </v>
      </c>
      <c r="L176" s="2" t="str">
        <f t="shared" si="11"/>
        <v xml:space="preserve"> </v>
      </c>
      <c r="M176" s="2" t="str">
        <f t="shared" si="12"/>
        <v xml:space="preserve"> </v>
      </c>
    </row>
    <row r="177" spans="1:13" x14ac:dyDescent="0.25">
      <c r="A177" s="43" t="str">
        <f t="shared" si="10"/>
        <v xml:space="preserve"> </v>
      </c>
      <c r="D177" s="42"/>
      <c r="E177" s="42"/>
      <c r="J177" s="17">
        <f t="shared" si="13"/>
        <v>0</v>
      </c>
      <c r="K177" s="2" t="str">
        <f t="shared" si="14"/>
        <v xml:space="preserve"> </v>
      </c>
      <c r="L177" s="2" t="str">
        <f t="shared" si="11"/>
        <v xml:space="preserve"> </v>
      </c>
      <c r="M177" s="2" t="str">
        <f t="shared" si="12"/>
        <v xml:space="preserve"> </v>
      </c>
    </row>
    <row r="178" spans="1:13" x14ac:dyDescent="0.25">
      <c r="A178" s="43" t="str">
        <f t="shared" si="10"/>
        <v xml:space="preserve"> </v>
      </c>
      <c r="D178" s="42"/>
      <c r="E178" s="42"/>
      <c r="J178" s="17">
        <f t="shared" si="13"/>
        <v>0</v>
      </c>
      <c r="K178" s="2" t="str">
        <f t="shared" si="14"/>
        <v xml:space="preserve"> </v>
      </c>
      <c r="L178" s="2" t="str">
        <f t="shared" si="11"/>
        <v xml:space="preserve"> </v>
      </c>
      <c r="M178" s="2" t="str">
        <f t="shared" si="12"/>
        <v xml:space="preserve"> </v>
      </c>
    </row>
    <row r="179" spans="1:13" x14ac:dyDescent="0.25">
      <c r="A179" s="43" t="str">
        <f t="shared" si="10"/>
        <v xml:space="preserve"> </v>
      </c>
      <c r="D179" s="42"/>
      <c r="E179" s="42"/>
      <c r="J179" s="17">
        <f t="shared" si="13"/>
        <v>0</v>
      </c>
      <c r="K179" s="2" t="str">
        <f t="shared" si="14"/>
        <v xml:space="preserve"> </v>
      </c>
      <c r="L179" s="2" t="str">
        <f t="shared" si="11"/>
        <v xml:space="preserve"> </v>
      </c>
      <c r="M179" s="2" t="str">
        <f t="shared" si="12"/>
        <v xml:space="preserve"> </v>
      </c>
    </row>
    <row r="180" spans="1:13" x14ac:dyDescent="0.25">
      <c r="A180" s="43" t="str">
        <f t="shared" si="10"/>
        <v xml:space="preserve"> </v>
      </c>
      <c r="D180" s="42"/>
      <c r="E180" s="42"/>
      <c r="J180" s="17">
        <f t="shared" si="13"/>
        <v>0</v>
      </c>
      <c r="K180" s="2" t="str">
        <f t="shared" si="14"/>
        <v xml:space="preserve"> </v>
      </c>
      <c r="L180" s="2" t="str">
        <f t="shared" si="11"/>
        <v xml:space="preserve"> </v>
      </c>
      <c r="M180" s="2" t="str">
        <f t="shared" si="12"/>
        <v xml:space="preserve"> </v>
      </c>
    </row>
    <row r="181" spans="1:13" x14ac:dyDescent="0.25">
      <c r="A181" s="43" t="str">
        <f t="shared" si="10"/>
        <v xml:space="preserve"> </v>
      </c>
      <c r="D181" s="42"/>
      <c r="E181" s="42"/>
      <c r="J181" s="17">
        <f t="shared" si="13"/>
        <v>0</v>
      </c>
      <c r="K181" s="2" t="str">
        <f t="shared" si="14"/>
        <v xml:space="preserve"> </v>
      </c>
      <c r="L181" s="2" t="str">
        <f t="shared" si="11"/>
        <v xml:space="preserve"> </v>
      </c>
      <c r="M181" s="2" t="str">
        <f t="shared" si="12"/>
        <v xml:space="preserve"> </v>
      </c>
    </row>
    <row r="182" spans="1:13" x14ac:dyDescent="0.25">
      <c r="A182" s="43" t="str">
        <f t="shared" si="10"/>
        <v xml:space="preserve"> </v>
      </c>
      <c r="D182" s="42"/>
      <c r="E182" s="42"/>
      <c r="J182" s="17">
        <f t="shared" si="13"/>
        <v>0</v>
      </c>
      <c r="K182" s="2" t="str">
        <f t="shared" si="14"/>
        <v xml:space="preserve"> </v>
      </c>
      <c r="L182" s="2" t="str">
        <f t="shared" si="11"/>
        <v xml:space="preserve"> </v>
      </c>
      <c r="M182" s="2" t="str">
        <f t="shared" si="12"/>
        <v xml:space="preserve"> </v>
      </c>
    </row>
    <row r="183" spans="1:13" x14ac:dyDescent="0.25">
      <c r="A183" s="43" t="str">
        <f t="shared" si="10"/>
        <v xml:space="preserve"> </v>
      </c>
      <c r="D183" s="42"/>
      <c r="E183" s="42"/>
      <c r="J183" s="17">
        <f t="shared" si="13"/>
        <v>0</v>
      </c>
      <c r="K183" s="2" t="str">
        <f t="shared" si="14"/>
        <v xml:space="preserve"> </v>
      </c>
      <c r="L183" s="2" t="str">
        <f t="shared" si="11"/>
        <v xml:space="preserve"> </v>
      </c>
      <c r="M183" s="2" t="str">
        <f t="shared" si="12"/>
        <v xml:space="preserve"> </v>
      </c>
    </row>
    <row r="184" spans="1:13" x14ac:dyDescent="0.25">
      <c r="A184" s="43" t="str">
        <f t="shared" si="10"/>
        <v xml:space="preserve"> </v>
      </c>
      <c r="D184" s="42"/>
      <c r="E184" s="42"/>
      <c r="J184" s="17">
        <f t="shared" si="13"/>
        <v>0</v>
      </c>
      <c r="K184" s="2" t="str">
        <f t="shared" si="14"/>
        <v xml:space="preserve"> </v>
      </c>
      <c r="L184" s="2" t="str">
        <f t="shared" si="11"/>
        <v xml:space="preserve"> </v>
      </c>
      <c r="M184" s="2" t="str">
        <f t="shared" si="12"/>
        <v xml:space="preserve"> </v>
      </c>
    </row>
    <row r="185" spans="1:13" x14ac:dyDescent="0.25">
      <c r="A185" s="43" t="str">
        <f t="shared" si="10"/>
        <v xml:space="preserve"> </v>
      </c>
      <c r="D185" s="42"/>
      <c r="E185" s="42"/>
      <c r="J185" s="17">
        <f t="shared" si="13"/>
        <v>0</v>
      </c>
      <c r="K185" s="2" t="str">
        <f t="shared" si="14"/>
        <v xml:space="preserve"> </v>
      </c>
      <c r="L185" s="2" t="str">
        <f t="shared" si="11"/>
        <v xml:space="preserve"> </v>
      </c>
      <c r="M185" s="2" t="str">
        <f t="shared" si="12"/>
        <v xml:space="preserve"> </v>
      </c>
    </row>
    <row r="186" spans="1:13" x14ac:dyDescent="0.25">
      <c r="A186" s="43" t="str">
        <f t="shared" si="10"/>
        <v xml:space="preserve"> </v>
      </c>
      <c r="D186" s="42"/>
      <c r="E186" s="42"/>
      <c r="J186" s="17">
        <f t="shared" si="13"/>
        <v>0</v>
      </c>
      <c r="K186" s="2" t="str">
        <f t="shared" si="14"/>
        <v xml:space="preserve"> </v>
      </c>
      <c r="L186" s="2" t="str">
        <f t="shared" si="11"/>
        <v xml:space="preserve"> </v>
      </c>
      <c r="M186" s="2" t="str">
        <f t="shared" si="12"/>
        <v xml:space="preserve"> </v>
      </c>
    </row>
    <row r="187" spans="1:13" x14ac:dyDescent="0.25">
      <c r="A187" s="43" t="str">
        <f t="shared" si="10"/>
        <v xml:space="preserve"> </v>
      </c>
      <c r="D187" s="42"/>
      <c r="E187" s="42"/>
      <c r="J187" s="17">
        <f t="shared" si="13"/>
        <v>0</v>
      </c>
      <c r="K187" s="2" t="str">
        <f t="shared" si="14"/>
        <v xml:space="preserve"> </v>
      </c>
      <c r="L187" s="2" t="str">
        <f t="shared" si="11"/>
        <v xml:space="preserve"> </v>
      </c>
      <c r="M187" s="2" t="str">
        <f t="shared" si="12"/>
        <v xml:space="preserve"> </v>
      </c>
    </row>
    <row r="188" spans="1:13" x14ac:dyDescent="0.25">
      <c r="A188" s="43" t="str">
        <f t="shared" si="10"/>
        <v xml:space="preserve"> </v>
      </c>
      <c r="D188" s="42"/>
      <c r="E188" s="42"/>
      <c r="J188" s="17">
        <f t="shared" si="13"/>
        <v>0</v>
      </c>
      <c r="K188" s="2" t="str">
        <f t="shared" si="14"/>
        <v xml:space="preserve"> </v>
      </c>
      <c r="L188" s="2" t="str">
        <f t="shared" si="11"/>
        <v xml:space="preserve"> </v>
      </c>
      <c r="M188" s="2" t="str">
        <f t="shared" si="12"/>
        <v xml:space="preserve"> </v>
      </c>
    </row>
    <row r="189" spans="1:13" x14ac:dyDescent="0.25">
      <c r="A189" s="43" t="str">
        <f t="shared" si="10"/>
        <v xml:space="preserve"> </v>
      </c>
      <c r="D189" s="42"/>
      <c r="E189" s="42"/>
      <c r="J189" s="17">
        <f t="shared" si="13"/>
        <v>0</v>
      </c>
      <c r="K189" s="2" t="str">
        <f t="shared" si="14"/>
        <v xml:space="preserve"> </v>
      </c>
      <c r="L189" s="2" t="str">
        <f t="shared" si="11"/>
        <v xml:space="preserve"> </v>
      </c>
      <c r="M189" s="2" t="str">
        <f t="shared" si="12"/>
        <v xml:space="preserve"> </v>
      </c>
    </row>
    <row r="190" spans="1:13" x14ac:dyDescent="0.25">
      <c r="A190" s="43" t="str">
        <f t="shared" si="10"/>
        <v xml:space="preserve"> </v>
      </c>
      <c r="D190" s="42"/>
      <c r="E190" s="42"/>
      <c r="J190" s="17">
        <f t="shared" si="13"/>
        <v>0</v>
      </c>
      <c r="K190" s="2" t="str">
        <f t="shared" si="14"/>
        <v xml:space="preserve"> </v>
      </c>
      <c r="L190" s="2" t="str">
        <f t="shared" si="11"/>
        <v xml:space="preserve"> </v>
      </c>
      <c r="M190" s="2" t="str">
        <f t="shared" si="12"/>
        <v xml:space="preserve"> </v>
      </c>
    </row>
    <row r="191" spans="1:13" x14ac:dyDescent="0.25">
      <c r="A191" s="43" t="str">
        <f t="shared" si="10"/>
        <v xml:space="preserve"> </v>
      </c>
      <c r="D191" s="42"/>
      <c r="E191" s="42"/>
      <c r="J191" s="17">
        <f t="shared" si="13"/>
        <v>0</v>
      </c>
      <c r="K191" s="2" t="str">
        <f t="shared" si="14"/>
        <v xml:space="preserve"> </v>
      </c>
      <c r="L191" s="2" t="str">
        <f t="shared" si="11"/>
        <v xml:space="preserve"> </v>
      </c>
      <c r="M191" s="2" t="str">
        <f t="shared" si="12"/>
        <v xml:space="preserve"> </v>
      </c>
    </row>
    <row r="192" spans="1:13" x14ac:dyDescent="0.25">
      <c r="A192" s="43" t="str">
        <f t="shared" si="10"/>
        <v xml:space="preserve"> </v>
      </c>
      <c r="D192" s="42"/>
      <c r="E192" s="42"/>
      <c r="J192" s="17">
        <f t="shared" si="13"/>
        <v>0</v>
      </c>
      <c r="K192" s="2" t="str">
        <f t="shared" si="14"/>
        <v xml:space="preserve"> </v>
      </c>
      <c r="L192" s="2" t="str">
        <f t="shared" si="11"/>
        <v xml:space="preserve"> </v>
      </c>
      <c r="M192" s="2" t="str">
        <f t="shared" si="12"/>
        <v xml:space="preserve"> </v>
      </c>
    </row>
    <row r="193" spans="1:13" x14ac:dyDescent="0.25">
      <c r="A193" s="43" t="str">
        <f t="shared" si="10"/>
        <v xml:space="preserve"> </v>
      </c>
      <c r="D193" s="42"/>
      <c r="E193" s="42"/>
      <c r="J193" s="17">
        <f t="shared" si="13"/>
        <v>0</v>
      </c>
      <c r="K193" s="2" t="str">
        <f t="shared" si="14"/>
        <v xml:space="preserve"> </v>
      </c>
      <c r="L193" s="2" t="str">
        <f t="shared" si="11"/>
        <v xml:space="preserve"> </v>
      </c>
      <c r="M193" s="2" t="str">
        <f t="shared" si="12"/>
        <v xml:space="preserve"> </v>
      </c>
    </row>
    <row r="194" spans="1:13" x14ac:dyDescent="0.25">
      <c r="A194" s="43" t="str">
        <f t="shared" si="10"/>
        <v xml:space="preserve"> </v>
      </c>
      <c r="D194" s="42"/>
      <c r="E194" s="42"/>
      <c r="J194" s="17">
        <f t="shared" si="13"/>
        <v>0</v>
      </c>
      <c r="K194" s="2" t="str">
        <f t="shared" si="14"/>
        <v xml:space="preserve"> </v>
      </c>
      <c r="L194" s="2" t="str">
        <f t="shared" si="11"/>
        <v xml:space="preserve"> </v>
      </c>
      <c r="M194" s="2" t="str">
        <f t="shared" si="12"/>
        <v xml:space="preserve"> </v>
      </c>
    </row>
    <row r="195" spans="1:13" x14ac:dyDescent="0.25">
      <c r="A195" s="43" t="str">
        <f t="shared" si="10"/>
        <v xml:space="preserve"> </v>
      </c>
      <c r="D195" s="42"/>
      <c r="E195" s="42"/>
      <c r="J195" s="17">
        <f t="shared" si="13"/>
        <v>0</v>
      </c>
      <c r="K195" s="2" t="str">
        <f t="shared" si="14"/>
        <v xml:space="preserve"> </v>
      </c>
      <c r="L195" s="2" t="str">
        <f t="shared" si="11"/>
        <v xml:space="preserve"> </v>
      </c>
      <c r="M195" s="2" t="str">
        <f t="shared" si="12"/>
        <v xml:space="preserve"> </v>
      </c>
    </row>
    <row r="196" spans="1:13" x14ac:dyDescent="0.25">
      <c r="A196" s="43" t="str">
        <f t="shared" si="10"/>
        <v xml:space="preserve"> </v>
      </c>
      <c r="D196" s="42"/>
      <c r="E196" s="42"/>
      <c r="J196" s="17">
        <f t="shared" si="13"/>
        <v>0</v>
      </c>
      <c r="K196" s="2" t="str">
        <f t="shared" si="14"/>
        <v xml:space="preserve"> </v>
      </c>
      <c r="L196" s="2" t="str">
        <f t="shared" si="11"/>
        <v xml:space="preserve"> </v>
      </c>
      <c r="M196" s="2" t="str">
        <f t="shared" si="12"/>
        <v xml:space="preserve"> </v>
      </c>
    </row>
    <row r="197" spans="1:13" x14ac:dyDescent="0.25">
      <c r="A197" s="43" t="str">
        <f t="shared" si="10"/>
        <v xml:space="preserve"> </v>
      </c>
      <c r="D197" s="42"/>
      <c r="E197" s="42"/>
      <c r="J197" s="17">
        <f t="shared" si="13"/>
        <v>0</v>
      </c>
      <c r="K197" s="2" t="str">
        <f t="shared" si="14"/>
        <v xml:space="preserve"> </v>
      </c>
      <c r="L197" s="2" t="str">
        <f t="shared" si="11"/>
        <v xml:space="preserve"> </v>
      </c>
      <c r="M197" s="2" t="str">
        <f t="shared" si="12"/>
        <v xml:space="preserve"> </v>
      </c>
    </row>
    <row r="198" spans="1:13" x14ac:dyDescent="0.25">
      <c r="A198" s="43" t="str">
        <f t="shared" si="10"/>
        <v xml:space="preserve"> </v>
      </c>
      <c r="D198" s="42"/>
      <c r="E198" s="42"/>
      <c r="J198" s="17">
        <f t="shared" si="13"/>
        <v>0</v>
      </c>
      <c r="K198" s="2" t="str">
        <f t="shared" si="14"/>
        <v xml:space="preserve"> </v>
      </c>
      <c r="L198" s="2" t="str">
        <f t="shared" si="11"/>
        <v xml:space="preserve"> </v>
      </c>
      <c r="M198" s="2" t="str">
        <f t="shared" si="12"/>
        <v xml:space="preserve"> </v>
      </c>
    </row>
    <row r="199" spans="1:13" x14ac:dyDescent="0.25">
      <c r="A199" s="43" t="str">
        <f t="shared" si="10"/>
        <v xml:space="preserve"> </v>
      </c>
      <c r="D199" s="42"/>
      <c r="E199" s="42"/>
      <c r="J199" s="17">
        <f t="shared" si="13"/>
        <v>0</v>
      </c>
      <c r="K199" s="2" t="str">
        <f t="shared" si="14"/>
        <v xml:space="preserve"> </v>
      </c>
      <c r="L199" s="2" t="str">
        <f t="shared" si="11"/>
        <v xml:space="preserve"> </v>
      </c>
      <c r="M199" s="2" t="str">
        <f t="shared" si="12"/>
        <v xml:space="preserve"> </v>
      </c>
    </row>
    <row r="200" spans="1:13" x14ac:dyDescent="0.25">
      <c r="A200" s="43" t="str">
        <f t="shared" si="10"/>
        <v xml:space="preserve"> </v>
      </c>
      <c r="D200" s="42"/>
      <c r="E200" s="42"/>
      <c r="J200" s="17">
        <f t="shared" si="13"/>
        <v>0</v>
      </c>
      <c r="K200" s="2" t="str">
        <f t="shared" si="14"/>
        <v xml:space="preserve"> </v>
      </c>
      <c r="L200" s="2" t="str">
        <f t="shared" si="11"/>
        <v xml:space="preserve"> </v>
      </c>
      <c r="M200" s="2" t="str">
        <f t="shared" si="12"/>
        <v xml:space="preserve"> </v>
      </c>
    </row>
    <row r="201" spans="1:13" x14ac:dyDescent="0.25">
      <c r="A201" s="43" t="str">
        <f t="shared" si="10"/>
        <v xml:space="preserve"> </v>
      </c>
      <c r="D201" s="42"/>
      <c r="E201" s="42"/>
      <c r="J201" s="17">
        <f t="shared" si="13"/>
        <v>0</v>
      </c>
      <c r="K201" s="2" t="str">
        <f t="shared" si="14"/>
        <v xml:space="preserve"> </v>
      </c>
      <c r="L201" s="2" t="str">
        <f t="shared" si="11"/>
        <v xml:space="preserve"> </v>
      </c>
      <c r="M201" s="2" t="str">
        <f t="shared" si="12"/>
        <v xml:space="preserve"> </v>
      </c>
    </row>
    <row r="202" spans="1:13" x14ac:dyDescent="0.25">
      <c r="A202" s="43" t="str">
        <f t="shared" si="10"/>
        <v xml:space="preserve"> </v>
      </c>
      <c r="D202" s="42"/>
      <c r="E202" s="42"/>
      <c r="J202" s="17">
        <f t="shared" si="13"/>
        <v>0</v>
      </c>
      <c r="K202" s="2" t="str">
        <f t="shared" si="14"/>
        <v xml:space="preserve"> </v>
      </c>
      <c r="L202" s="2" t="str">
        <f t="shared" si="11"/>
        <v xml:space="preserve"> </v>
      </c>
      <c r="M202" s="2" t="str">
        <f t="shared" si="12"/>
        <v xml:space="preserve"> </v>
      </c>
    </row>
    <row r="203" spans="1:13" x14ac:dyDescent="0.25">
      <c r="A203" s="43" t="str">
        <f t="shared" si="10"/>
        <v xml:space="preserve"> </v>
      </c>
      <c r="D203" s="42"/>
      <c r="E203" s="42"/>
      <c r="J203" s="17">
        <f t="shared" si="13"/>
        <v>0</v>
      </c>
      <c r="K203" s="2" t="str">
        <f t="shared" si="14"/>
        <v xml:space="preserve"> </v>
      </c>
      <c r="L203" s="2" t="str">
        <f t="shared" si="11"/>
        <v xml:space="preserve"> </v>
      </c>
      <c r="M203" s="2" t="str">
        <f t="shared" si="12"/>
        <v xml:space="preserve"> </v>
      </c>
    </row>
    <row r="204" spans="1:13" x14ac:dyDescent="0.25">
      <c r="A204" s="43" t="str">
        <f t="shared" si="10"/>
        <v xml:space="preserve"> </v>
      </c>
      <c r="D204" s="42"/>
      <c r="E204" s="42"/>
      <c r="J204" s="17">
        <f t="shared" si="13"/>
        <v>0</v>
      </c>
      <c r="K204" s="2" t="str">
        <f t="shared" si="14"/>
        <v xml:space="preserve"> </v>
      </c>
      <c r="L204" s="2" t="str">
        <f t="shared" si="11"/>
        <v xml:space="preserve"> </v>
      </c>
      <c r="M204" s="2" t="str">
        <f t="shared" si="12"/>
        <v xml:space="preserve"> </v>
      </c>
    </row>
    <row r="205" spans="1:13" x14ac:dyDescent="0.25">
      <c r="A205" s="43" t="str">
        <f t="shared" si="10"/>
        <v xml:space="preserve"> </v>
      </c>
      <c r="D205" s="42"/>
      <c r="E205" s="42"/>
      <c r="J205" s="17">
        <f t="shared" si="13"/>
        <v>0</v>
      </c>
      <c r="K205" s="2" t="str">
        <f t="shared" si="14"/>
        <v xml:space="preserve"> </v>
      </c>
      <c r="L205" s="2" t="str">
        <f t="shared" si="11"/>
        <v xml:space="preserve"> </v>
      </c>
      <c r="M205" s="2" t="str">
        <f t="shared" si="12"/>
        <v xml:space="preserve"> </v>
      </c>
    </row>
    <row r="206" spans="1:13" x14ac:dyDescent="0.25">
      <c r="A206" s="43" t="str">
        <f t="shared" si="10"/>
        <v xml:space="preserve"> </v>
      </c>
      <c r="D206" s="42"/>
      <c r="E206" s="42"/>
      <c r="J206" s="17">
        <f t="shared" si="13"/>
        <v>0</v>
      </c>
      <c r="K206" s="2" t="str">
        <f t="shared" si="14"/>
        <v xml:space="preserve"> </v>
      </c>
      <c r="L206" s="2" t="str">
        <f t="shared" si="11"/>
        <v xml:space="preserve"> </v>
      </c>
      <c r="M206" s="2" t="str">
        <f t="shared" si="12"/>
        <v xml:space="preserve"> </v>
      </c>
    </row>
    <row r="207" spans="1:13" x14ac:dyDescent="0.25">
      <c r="A207" s="43" t="str">
        <f t="shared" ref="A207:A270" si="15">IF(COUNTIF(K207:M207,"ERROR")&gt;0,"ERROR"," ")</f>
        <v xml:space="preserve"> </v>
      </c>
      <c r="D207" s="42"/>
      <c r="E207" s="42"/>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43" t="str">
        <f t="shared" si="15"/>
        <v xml:space="preserve"> </v>
      </c>
      <c r="D208" s="42"/>
      <c r="E208" s="42"/>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43" t="str">
        <f t="shared" si="15"/>
        <v xml:space="preserve"> </v>
      </c>
      <c r="D209" s="42"/>
      <c r="E209" s="42"/>
      <c r="J209" s="17">
        <f t="shared" si="18"/>
        <v>0</v>
      </c>
      <c r="K209" s="2" t="str">
        <f t="shared" si="19"/>
        <v xml:space="preserve"> </v>
      </c>
      <c r="L209" s="2" t="str">
        <f t="shared" si="16"/>
        <v xml:space="preserve"> </v>
      </c>
      <c r="M209" s="2" t="str">
        <f t="shared" si="17"/>
        <v xml:space="preserve"> </v>
      </c>
    </row>
    <row r="210" spans="1:13" x14ac:dyDescent="0.25">
      <c r="A210" s="43" t="str">
        <f t="shared" si="15"/>
        <v xml:space="preserve"> </v>
      </c>
      <c r="D210" s="42"/>
      <c r="E210" s="42"/>
      <c r="J210" s="17">
        <f t="shared" si="18"/>
        <v>0</v>
      </c>
      <c r="K210" s="2" t="str">
        <f t="shared" si="19"/>
        <v xml:space="preserve"> </v>
      </c>
      <c r="L210" s="2" t="str">
        <f t="shared" si="16"/>
        <v xml:space="preserve"> </v>
      </c>
      <c r="M210" s="2" t="str">
        <f t="shared" si="17"/>
        <v xml:space="preserve"> </v>
      </c>
    </row>
    <row r="211" spans="1:13" x14ac:dyDescent="0.25">
      <c r="A211" s="43" t="str">
        <f t="shared" si="15"/>
        <v xml:space="preserve"> </v>
      </c>
      <c r="D211" s="42"/>
      <c r="E211" s="42"/>
      <c r="J211" s="17">
        <f t="shared" si="18"/>
        <v>0</v>
      </c>
      <c r="K211" s="2" t="str">
        <f t="shared" si="19"/>
        <v xml:space="preserve"> </v>
      </c>
      <c r="L211" s="2" t="str">
        <f t="shared" si="16"/>
        <v xml:space="preserve"> </v>
      </c>
      <c r="M211" s="2" t="str">
        <f t="shared" si="17"/>
        <v xml:space="preserve"> </v>
      </c>
    </row>
    <row r="212" spans="1:13" x14ac:dyDescent="0.25">
      <c r="A212" s="43" t="str">
        <f t="shared" si="15"/>
        <v xml:space="preserve"> </v>
      </c>
      <c r="D212" s="42"/>
      <c r="E212" s="42"/>
      <c r="J212" s="17">
        <f t="shared" si="18"/>
        <v>0</v>
      </c>
      <c r="K212" s="2" t="str">
        <f t="shared" si="19"/>
        <v xml:space="preserve"> </v>
      </c>
      <c r="L212" s="2" t="str">
        <f t="shared" si="16"/>
        <v xml:space="preserve"> </v>
      </c>
      <c r="M212" s="2" t="str">
        <f t="shared" si="17"/>
        <v xml:space="preserve"> </v>
      </c>
    </row>
    <row r="213" spans="1:13" x14ac:dyDescent="0.25">
      <c r="A213" s="43" t="str">
        <f t="shared" si="15"/>
        <v xml:space="preserve"> </v>
      </c>
      <c r="D213" s="42"/>
      <c r="E213" s="42"/>
      <c r="J213" s="17">
        <f t="shared" si="18"/>
        <v>0</v>
      </c>
      <c r="K213" s="2" t="str">
        <f t="shared" si="19"/>
        <v xml:space="preserve"> </v>
      </c>
      <c r="L213" s="2" t="str">
        <f t="shared" si="16"/>
        <v xml:space="preserve"> </v>
      </c>
      <c r="M213" s="2" t="str">
        <f t="shared" si="17"/>
        <v xml:space="preserve"> </v>
      </c>
    </row>
    <row r="214" spans="1:13" x14ac:dyDescent="0.25">
      <c r="A214" s="43" t="str">
        <f t="shared" si="15"/>
        <v xml:space="preserve"> </v>
      </c>
      <c r="D214" s="42"/>
      <c r="E214" s="42"/>
      <c r="J214" s="17">
        <f t="shared" si="18"/>
        <v>0</v>
      </c>
      <c r="K214" s="2" t="str">
        <f t="shared" si="19"/>
        <v xml:space="preserve"> </v>
      </c>
      <c r="L214" s="2" t="str">
        <f t="shared" si="16"/>
        <v xml:space="preserve"> </v>
      </c>
      <c r="M214" s="2" t="str">
        <f t="shared" si="17"/>
        <v xml:space="preserve"> </v>
      </c>
    </row>
    <row r="215" spans="1:13" x14ac:dyDescent="0.25">
      <c r="A215" s="43" t="str">
        <f t="shared" si="15"/>
        <v xml:space="preserve"> </v>
      </c>
      <c r="D215" s="42"/>
      <c r="E215" s="42"/>
      <c r="J215" s="17">
        <f t="shared" si="18"/>
        <v>0</v>
      </c>
      <c r="K215" s="2" t="str">
        <f t="shared" si="19"/>
        <v xml:space="preserve"> </v>
      </c>
      <c r="L215" s="2" t="str">
        <f t="shared" si="16"/>
        <v xml:space="preserve"> </v>
      </c>
      <c r="M215" s="2" t="str">
        <f t="shared" si="17"/>
        <v xml:space="preserve"> </v>
      </c>
    </row>
    <row r="216" spans="1:13" x14ac:dyDescent="0.25">
      <c r="A216" s="43" t="str">
        <f t="shared" si="15"/>
        <v xml:space="preserve"> </v>
      </c>
      <c r="D216" s="42"/>
      <c r="E216" s="42"/>
      <c r="J216" s="17">
        <f t="shared" si="18"/>
        <v>0</v>
      </c>
      <c r="K216" s="2" t="str">
        <f t="shared" si="19"/>
        <v xml:space="preserve"> </v>
      </c>
      <c r="L216" s="2" t="str">
        <f t="shared" si="16"/>
        <v xml:space="preserve"> </v>
      </c>
      <c r="M216" s="2" t="str">
        <f t="shared" si="17"/>
        <v xml:space="preserve"> </v>
      </c>
    </row>
    <row r="217" spans="1:13" x14ac:dyDescent="0.25">
      <c r="A217" s="43" t="str">
        <f t="shared" si="15"/>
        <v xml:space="preserve"> </v>
      </c>
      <c r="D217" s="42"/>
      <c r="E217" s="42"/>
      <c r="J217" s="17">
        <f t="shared" si="18"/>
        <v>0</v>
      </c>
      <c r="K217" s="2" t="str">
        <f t="shared" si="19"/>
        <v xml:space="preserve"> </v>
      </c>
      <c r="L217" s="2" t="str">
        <f t="shared" si="16"/>
        <v xml:space="preserve"> </v>
      </c>
      <c r="M217" s="2" t="str">
        <f t="shared" si="17"/>
        <v xml:space="preserve"> </v>
      </c>
    </row>
    <row r="218" spans="1:13" x14ac:dyDescent="0.25">
      <c r="A218" s="43" t="str">
        <f t="shared" si="15"/>
        <v xml:space="preserve"> </v>
      </c>
      <c r="D218" s="42"/>
      <c r="E218" s="42"/>
      <c r="J218" s="17">
        <f t="shared" si="18"/>
        <v>0</v>
      </c>
      <c r="K218" s="2" t="str">
        <f t="shared" si="19"/>
        <v xml:space="preserve"> </v>
      </c>
      <c r="L218" s="2" t="str">
        <f t="shared" si="16"/>
        <v xml:space="preserve"> </v>
      </c>
      <c r="M218" s="2" t="str">
        <f t="shared" si="17"/>
        <v xml:space="preserve"> </v>
      </c>
    </row>
    <row r="219" spans="1:13" x14ac:dyDescent="0.25">
      <c r="A219" s="43" t="str">
        <f t="shared" si="15"/>
        <v xml:space="preserve"> </v>
      </c>
      <c r="D219" s="42"/>
      <c r="E219" s="42"/>
      <c r="J219" s="17">
        <f t="shared" si="18"/>
        <v>0</v>
      </c>
      <c r="K219" s="2" t="str">
        <f t="shared" si="19"/>
        <v xml:space="preserve"> </v>
      </c>
      <c r="L219" s="2" t="str">
        <f t="shared" si="16"/>
        <v xml:space="preserve"> </v>
      </c>
      <c r="M219" s="2" t="str">
        <f t="shared" si="17"/>
        <v xml:space="preserve"> </v>
      </c>
    </row>
    <row r="220" spans="1:13" x14ac:dyDescent="0.25">
      <c r="A220" s="43" t="str">
        <f t="shared" si="15"/>
        <v xml:space="preserve"> </v>
      </c>
      <c r="D220" s="42"/>
      <c r="E220" s="42"/>
      <c r="J220" s="17">
        <f t="shared" si="18"/>
        <v>0</v>
      </c>
      <c r="K220" s="2" t="str">
        <f t="shared" si="19"/>
        <v xml:space="preserve"> </v>
      </c>
      <c r="L220" s="2" t="str">
        <f t="shared" si="16"/>
        <v xml:space="preserve"> </v>
      </c>
      <c r="M220" s="2" t="str">
        <f t="shared" si="17"/>
        <v xml:space="preserve"> </v>
      </c>
    </row>
    <row r="221" spans="1:13" x14ac:dyDescent="0.25">
      <c r="A221" s="43" t="str">
        <f t="shared" si="15"/>
        <v xml:space="preserve"> </v>
      </c>
      <c r="D221" s="42"/>
      <c r="E221" s="42"/>
      <c r="J221" s="17">
        <f t="shared" si="18"/>
        <v>0</v>
      </c>
      <c r="K221" s="2" t="str">
        <f t="shared" si="19"/>
        <v xml:space="preserve"> </v>
      </c>
      <c r="L221" s="2" t="str">
        <f t="shared" si="16"/>
        <v xml:space="preserve"> </v>
      </c>
      <c r="M221" s="2" t="str">
        <f t="shared" si="17"/>
        <v xml:space="preserve"> </v>
      </c>
    </row>
    <row r="222" spans="1:13" x14ac:dyDescent="0.25">
      <c r="A222" s="43" t="str">
        <f t="shared" si="15"/>
        <v xml:space="preserve"> </v>
      </c>
      <c r="D222" s="42"/>
      <c r="E222" s="42"/>
      <c r="J222" s="17">
        <f t="shared" si="18"/>
        <v>0</v>
      </c>
      <c r="K222" s="2" t="str">
        <f t="shared" si="19"/>
        <v xml:space="preserve"> </v>
      </c>
      <c r="L222" s="2" t="str">
        <f t="shared" si="16"/>
        <v xml:space="preserve"> </v>
      </c>
      <c r="M222" s="2" t="str">
        <f t="shared" si="17"/>
        <v xml:space="preserve"> </v>
      </c>
    </row>
    <row r="223" spans="1:13" x14ac:dyDescent="0.25">
      <c r="A223" s="43" t="str">
        <f t="shared" si="15"/>
        <v xml:space="preserve"> </v>
      </c>
      <c r="D223" s="42"/>
      <c r="E223" s="42"/>
      <c r="J223" s="17">
        <f t="shared" si="18"/>
        <v>0</v>
      </c>
      <c r="K223" s="2" t="str">
        <f t="shared" si="19"/>
        <v xml:space="preserve"> </v>
      </c>
      <c r="L223" s="2" t="str">
        <f t="shared" si="16"/>
        <v xml:space="preserve"> </v>
      </c>
      <c r="M223" s="2" t="str">
        <f t="shared" si="17"/>
        <v xml:space="preserve"> </v>
      </c>
    </row>
    <row r="224" spans="1:13" x14ac:dyDescent="0.25">
      <c r="A224" s="43" t="str">
        <f t="shared" si="15"/>
        <v xml:space="preserve"> </v>
      </c>
      <c r="D224" s="42"/>
      <c r="E224" s="42"/>
      <c r="J224" s="17">
        <f t="shared" si="18"/>
        <v>0</v>
      </c>
      <c r="K224" s="2" t="str">
        <f t="shared" si="19"/>
        <v xml:space="preserve"> </v>
      </c>
      <c r="L224" s="2" t="str">
        <f t="shared" si="16"/>
        <v xml:space="preserve"> </v>
      </c>
      <c r="M224" s="2" t="str">
        <f t="shared" si="17"/>
        <v xml:space="preserve"> </v>
      </c>
    </row>
    <row r="225" spans="1:13" x14ac:dyDescent="0.25">
      <c r="A225" s="43" t="str">
        <f t="shared" si="15"/>
        <v xml:space="preserve"> </v>
      </c>
      <c r="D225" s="42"/>
      <c r="E225" s="42"/>
      <c r="J225" s="17">
        <f t="shared" si="18"/>
        <v>0</v>
      </c>
      <c r="K225" s="2" t="str">
        <f t="shared" si="19"/>
        <v xml:space="preserve"> </v>
      </c>
      <c r="L225" s="2" t="str">
        <f t="shared" si="16"/>
        <v xml:space="preserve"> </v>
      </c>
      <c r="M225" s="2" t="str">
        <f t="shared" si="17"/>
        <v xml:space="preserve"> </v>
      </c>
    </row>
    <row r="226" spans="1:13" x14ac:dyDescent="0.25">
      <c r="A226" s="43" t="str">
        <f t="shared" si="15"/>
        <v xml:space="preserve"> </v>
      </c>
      <c r="D226" s="42"/>
      <c r="E226" s="42"/>
      <c r="J226" s="17">
        <f t="shared" si="18"/>
        <v>0</v>
      </c>
      <c r="K226" s="2" t="str">
        <f t="shared" si="19"/>
        <v xml:space="preserve"> </v>
      </c>
      <c r="L226" s="2" t="str">
        <f t="shared" si="16"/>
        <v xml:space="preserve"> </v>
      </c>
      <c r="M226" s="2" t="str">
        <f t="shared" si="17"/>
        <v xml:space="preserve"> </v>
      </c>
    </row>
    <row r="227" spans="1:13" x14ac:dyDescent="0.25">
      <c r="A227" s="43" t="str">
        <f t="shared" si="15"/>
        <v xml:space="preserve"> </v>
      </c>
      <c r="D227" s="42"/>
      <c r="E227" s="42"/>
      <c r="J227" s="17">
        <f t="shared" si="18"/>
        <v>0</v>
      </c>
      <c r="K227" s="2" t="str">
        <f t="shared" si="19"/>
        <v xml:space="preserve"> </v>
      </c>
      <c r="L227" s="2" t="str">
        <f t="shared" si="16"/>
        <v xml:space="preserve"> </v>
      </c>
      <c r="M227" s="2" t="str">
        <f t="shared" si="17"/>
        <v xml:space="preserve"> </v>
      </c>
    </row>
    <row r="228" spans="1:13" x14ac:dyDescent="0.25">
      <c r="A228" s="43" t="str">
        <f t="shared" si="15"/>
        <v xml:space="preserve"> </v>
      </c>
      <c r="D228" s="42"/>
      <c r="E228" s="42"/>
      <c r="J228" s="17">
        <f t="shared" si="18"/>
        <v>0</v>
      </c>
      <c r="K228" s="2" t="str">
        <f t="shared" si="19"/>
        <v xml:space="preserve"> </v>
      </c>
      <c r="L228" s="2" t="str">
        <f t="shared" si="16"/>
        <v xml:space="preserve"> </v>
      </c>
      <c r="M228" s="2" t="str">
        <f t="shared" si="17"/>
        <v xml:space="preserve"> </v>
      </c>
    </row>
    <row r="229" spans="1:13" x14ac:dyDescent="0.25">
      <c r="A229" s="43" t="str">
        <f t="shared" si="15"/>
        <v xml:space="preserve"> </v>
      </c>
      <c r="D229" s="42"/>
      <c r="E229" s="42"/>
      <c r="J229" s="17">
        <f t="shared" si="18"/>
        <v>0</v>
      </c>
      <c r="K229" s="2" t="str">
        <f t="shared" si="19"/>
        <v xml:space="preserve"> </v>
      </c>
      <c r="L229" s="2" t="str">
        <f t="shared" si="16"/>
        <v xml:space="preserve"> </v>
      </c>
      <c r="M229" s="2" t="str">
        <f t="shared" si="17"/>
        <v xml:space="preserve"> </v>
      </c>
    </row>
    <row r="230" spans="1:13" x14ac:dyDescent="0.25">
      <c r="A230" s="43" t="str">
        <f t="shared" si="15"/>
        <v xml:space="preserve"> </v>
      </c>
      <c r="D230" s="42"/>
      <c r="E230" s="42"/>
      <c r="J230" s="17">
        <f t="shared" si="18"/>
        <v>0</v>
      </c>
      <c r="K230" s="2" t="str">
        <f t="shared" si="19"/>
        <v xml:space="preserve"> </v>
      </c>
      <c r="L230" s="2" t="str">
        <f t="shared" si="16"/>
        <v xml:space="preserve"> </v>
      </c>
      <c r="M230" s="2" t="str">
        <f t="shared" si="17"/>
        <v xml:space="preserve"> </v>
      </c>
    </row>
    <row r="231" spans="1:13" x14ac:dyDescent="0.25">
      <c r="A231" s="43" t="str">
        <f t="shared" si="15"/>
        <v xml:space="preserve"> </v>
      </c>
      <c r="D231" s="42"/>
      <c r="E231" s="42"/>
      <c r="J231" s="17">
        <f t="shared" si="18"/>
        <v>0</v>
      </c>
      <c r="K231" s="2" t="str">
        <f t="shared" si="19"/>
        <v xml:space="preserve"> </v>
      </c>
      <c r="L231" s="2" t="str">
        <f t="shared" si="16"/>
        <v xml:space="preserve"> </v>
      </c>
      <c r="M231" s="2" t="str">
        <f t="shared" si="17"/>
        <v xml:space="preserve"> </v>
      </c>
    </row>
    <row r="232" spans="1:13" x14ac:dyDescent="0.25">
      <c r="A232" s="43" t="str">
        <f t="shared" si="15"/>
        <v xml:space="preserve"> </v>
      </c>
      <c r="D232" s="42"/>
      <c r="E232" s="42"/>
      <c r="J232" s="17">
        <f t="shared" si="18"/>
        <v>0</v>
      </c>
      <c r="K232" s="2" t="str">
        <f t="shared" si="19"/>
        <v xml:space="preserve"> </v>
      </c>
      <c r="L232" s="2" t="str">
        <f t="shared" si="16"/>
        <v xml:space="preserve"> </v>
      </c>
      <c r="M232" s="2" t="str">
        <f t="shared" si="17"/>
        <v xml:space="preserve"> </v>
      </c>
    </row>
    <row r="233" spans="1:13" x14ac:dyDescent="0.25">
      <c r="A233" s="43" t="str">
        <f t="shared" si="15"/>
        <v xml:space="preserve"> </v>
      </c>
      <c r="D233" s="42"/>
      <c r="E233" s="42"/>
      <c r="J233" s="17">
        <f t="shared" si="18"/>
        <v>0</v>
      </c>
      <c r="K233" s="2" t="str">
        <f t="shared" si="19"/>
        <v xml:space="preserve"> </v>
      </c>
      <c r="L233" s="2" t="str">
        <f t="shared" si="16"/>
        <v xml:space="preserve"> </v>
      </c>
      <c r="M233" s="2" t="str">
        <f t="shared" si="17"/>
        <v xml:space="preserve"> </v>
      </c>
    </row>
    <row r="234" spans="1:13" x14ac:dyDescent="0.25">
      <c r="A234" s="43" t="str">
        <f t="shared" si="15"/>
        <v xml:space="preserve"> </v>
      </c>
      <c r="D234" s="42"/>
      <c r="E234" s="42"/>
      <c r="J234" s="17">
        <f t="shared" si="18"/>
        <v>0</v>
      </c>
      <c r="K234" s="2" t="str">
        <f t="shared" si="19"/>
        <v xml:space="preserve"> </v>
      </c>
      <c r="L234" s="2" t="str">
        <f t="shared" si="16"/>
        <v xml:space="preserve"> </v>
      </c>
      <c r="M234" s="2" t="str">
        <f t="shared" si="17"/>
        <v xml:space="preserve"> </v>
      </c>
    </row>
    <row r="235" spans="1:13" x14ac:dyDescent="0.25">
      <c r="A235" s="43" t="str">
        <f t="shared" si="15"/>
        <v xml:space="preserve"> </v>
      </c>
      <c r="D235" s="42"/>
      <c r="E235" s="42"/>
      <c r="J235" s="17">
        <f t="shared" si="18"/>
        <v>0</v>
      </c>
      <c r="K235" s="2" t="str">
        <f t="shared" si="19"/>
        <v xml:space="preserve"> </v>
      </c>
      <c r="L235" s="2" t="str">
        <f t="shared" si="16"/>
        <v xml:space="preserve"> </v>
      </c>
      <c r="M235" s="2" t="str">
        <f t="shared" si="17"/>
        <v xml:space="preserve"> </v>
      </c>
    </row>
    <row r="236" spans="1:13" x14ac:dyDescent="0.25">
      <c r="A236" s="43" t="str">
        <f t="shared" si="15"/>
        <v xml:space="preserve"> </v>
      </c>
      <c r="D236" s="42"/>
      <c r="E236" s="42"/>
      <c r="J236" s="17">
        <f t="shared" si="18"/>
        <v>0</v>
      </c>
      <c r="K236" s="2" t="str">
        <f t="shared" si="19"/>
        <v xml:space="preserve"> </v>
      </c>
      <c r="L236" s="2" t="str">
        <f t="shared" si="16"/>
        <v xml:space="preserve"> </v>
      </c>
      <c r="M236" s="2" t="str">
        <f t="shared" si="17"/>
        <v xml:space="preserve"> </v>
      </c>
    </row>
    <row r="237" spans="1:13" x14ac:dyDescent="0.25">
      <c r="A237" s="43" t="str">
        <f t="shared" si="15"/>
        <v xml:space="preserve"> </v>
      </c>
      <c r="D237" s="42"/>
      <c r="E237" s="42"/>
      <c r="J237" s="17">
        <f t="shared" si="18"/>
        <v>0</v>
      </c>
      <c r="K237" s="2" t="str">
        <f t="shared" si="19"/>
        <v xml:space="preserve"> </v>
      </c>
      <c r="L237" s="2" t="str">
        <f t="shared" si="16"/>
        <v xml:space="preserve"> </v>
      </c>
      <c r="M237" s="2" t="str">
        <f t="shared" si="17"/>
        <v xml:space="preserve"> </v>
      </c>
    </row>
    <row r="238" spans="1:13" x14ac:dyDescent="0.25">
      <c r="A238" s="43" t="str">
        <f t="shared" si="15"/>
        <v xml:space="preserve"> </v>
      </c>
      <c r="D238" s="42"/>
      <c r="E238" s="42"/>
      <c r="J238" s="17">
        <f t="shared" si="18"/>
        <v>0</v>
      </c>
      <c r="K238" s="2" t="str">
        <f t="shared" si="19"/>
        <v xml:space="preserve"> </v>
      </c>
      <c r="L238" s="2" t="str">
        <f t="shared" si="16"/>
        <v xml:space="preserve"> </v>
      </c>
      <c r="M238" s="2" t="str">
        <f t="shared" si="17"/>
        <v xml:space="preserve"> </v>
      </c>
    </row>
    <row r="239" spans="1:13" x14ac:dyDescent="0.25">
      <c r="A239" s="43" t="str">
        <f t="shared" si="15"/>
        <v xml:space="preserve"> </v>
      </c>
      <c r="D239" s="42"/>
      <c r="E239" s="42"/>
      <c r="J239" s="17">
        <f t="shared" si="18"/>
        <v>0</v>
      </c>
      <c r="K239" s="2" t="str">
        <f t="shared" si="19"/>
        <v xml:space="preserve"> </v>
      </c>
      <c r="L239" s="2" t="str">
        <f t="shared" si="16"/>
        <v xml:space="preserve"> </v>
      </c>
      <c r="M239" s="2" t="str">
        <f t="shared" si="17"/>
        <v xml:space="preserve"> </v>
      </c>
    </row>
    <row r="240" spans="1:13" x14ac:dyDescent="0.25">
      <c r="A240" s="43" t="str">
        <f t="shared" si="15"/>
        <v xml:space="preserve"> </v>
      </c>
      <c r="D240" s="42"/>
      <c r="E240" s="42"/>
      <c r="J240" s="17">
        <f t="shared" si="18"/>
        <v>0</v>
      </c>
      <c r="K240" s="2" t="str">
        <f t="shared" si="19"/>
        <v xml:space="preserve"> </v>
      </c>
      <c r="L240" s="2" t="str">
        <f t="shared" si="16"/>
        <v xml:space="preserve"> </v>
      </c>
      <c r="M240" s="2" t="str">
        <f t="shared" si="17"/>
        <v xml:space="preserve"> </v>
      </c>
    </row>
    <row r="241" spans="1:13" x14ac:dyDescent="0.25">
      <c r="A241" s="43" t="str">
        <f t="shared" si="15"/>
        <v xml:space="preserve"> </v>
      </c>
      <c r="D241" s="42"/>
      <c r="E241" s="42"/>
      <c r="J241" s="17">
        <f t="shared" si="18"/>
        <v>0</v>
      </c>
      <c r="K241" s="2" t="str">
        <f t="shared" si="19"/>
        <v xml:space="preserve"> </v>
      </c>
      <c r="L241" s="2" t="str">
        <f t="shared" si="16"/>
        <v xml:space="preserve"> </v>
      </c>
      <c r="M241" s="2" t="str">
        <f t="shared" si="17"/>
        <v xml:space="preserve"> </v>
      </c>
    </row>
    <row r="242" spans="1:13" x14ac:dyDescent="0.25">
      <c r="A242" s="43" t="str">
        <f t="shared" si="15"/>
        <v xml:space="preserve"> </v>
      </c>
      <c r="D242" s="42"/>
      <c r="E242" s="42"/>
      <c r="J242" s="17">
        <f t="shared" si="18"/>
        <v>0</v>
      </c>
      <c r="K242" s="2" t="str">
        <f t="shared" si="19"/>
        <v xml:space="preserve"> </v>
      </c>
      <c r="L242" s="2" t="str">
        <f t="shared" si="16"/>
        <v xml:space="preserve"> </v>
      </c>
      <c r="M242" s="2" t="str">
        <f t="shared" si="17"/>
        <v xml:space="preserve"> </v>
      </c>
    </row>
    <row r="243" spans="1:13" x14ac:dyDescent="0.25">
      <c r="A243" s="43" t="str">
        <f t="shared" si="15"/>
        <v xml:space="preserve"> </v>
      </c>
      <c r="D243" s="42"/>
      <c r="E243" s="42"/>
      <c r="J243" s="17">
        <f t="shared" si="18"/>
        <v>0</v>
      </c>
      <c r="K243" s="2" t="str">
        <f t="shared" si="19"/>
        <v xml:space="preserve"> </v>
      </c>
      <c r="L243" s="2" t="str">
        <f t="shared" si="16"/>
        <v xml:space="preserve"> </v>
      </c>
      <c r="M243" s="2" t="str">
        <f t="shared" si="17"/>
        <v xml:space="preserve"> </v>
      </c>
    </row>
    <row r="244" spans="1:13" x14ac:dyDescent="0.25">
      <c r="A244" s="43" t="str">
        <f t="shared" si="15"/>
        <v xml:space="preserve"> </v>
      </c>
      <c r="D244" s="42"/>
      <c r="E244" s="42"/>
      <c r="J244" s="17">
        <f t="shared" si="18"/>
        <v>0</v>
      </c>
      <c r="K244" s="2" t="str">
        <f t="shared" si="19"/>
        <v xml:space="preserve"> </v>
      </c>
      <c r="L244" s="2" t="str">
        <f t="shared" si="16"/>
        <v xml:space="preserve"> </v>
      </c>
      <c r="M244" s="2" t="str">
        <f t="shared" si="17"/>
        <v xml:space="preserve"> </v>
      </c>
    </row>
    <row r="245" spans="1:13" x14ac:dyDescent="0.25">
      <c r="A245" s="43" t="str">
        <f t="shared" si="15"/>
        <v xml:space="preserve"> </v>
      </c>
      <c r="D245" s="42"/>
      <c r="E245" s="42"/>
      <c r="J245" s="17">
        <f t="shared" si="18"/>
        <v>0</v>
      </c>
      <c r="K245" s="2" t="str">
        <f t="shared" si="19"/>
        <v xml:space="preserve"> </v>
      </c>
      <c r="L245" s="2" t="str">
        <f t="shared" si="16"/>
        <v xml:space="preserve"> </v>
      </c>
      <c r="M245" s="2" t="str">
        <f t="shared" si="17"/>
        <v xml:space="preserve"> </v>
      </c>
    </row>
    <row r="246" spans="1:13" x14ac:dyDescent="0.25">
      <c r="A246" s="43" t="str">
        <f t="shared" si="15"/>
        <v xml:space="preserve"> </v>
      </c>
      <c r="D246" s="42"/>
      <c r="E246" s="42"/>
      <c r="J246" s="17">
        <f t="shared" si="18"/>
        <v>0</v>
      </c>
      <c r="K246" s="2" t="str">
        <f t="shared" si="19"/>
        <v xml:space="preserve"> </v>
      </c>
      <c r="L246" s="2" t="str">
        <f t="shared" si="16"/>
        <v xml:space="preserve"> </v>
      </c>
      <c r="M246" s="2" t="str">
        <f t="shared" si="17"/>
        <v xml:space="preserve"> </v>
      </c>
    </row>
    <row r="247" spans="1:13" x14ac:dyDescent="0.25">
      <c r="A247" s="43" t="str">
        <f t="shared" si="15"/>
        <v xml:space="preserve"> </v>
      </c>
      <c r="D247" s="42"/>
      <c r="E247" s="42"/>
      <c r="J247" s="17">
        <f t="shared" si="18"/>
        <v>0</v>
      </c>
      <c r="K247" s="2" t="str">
        <f t="shared" si="19"/>
        <v xml:space="preserve"> </v>
      </c>
      <c r="L247" s="2" t="str">
        <f t="shared" si="16"/>
        <v xml:space="preserve"> </v>
      </c>
      <c r="M247" s="2" t="str">
        <f t="shared" si="17"/>
        <v xml:space="preserve"> </v>
      </c>
    </row>
    <row r="248" spans="1:13" x14ac:dyDescent="0.25">
      <c r="A248" s="43" t="str">
        <f t="shared" si="15"/>
        <v xml:space="preserve"> </v>
      </c>
      <c r="D248" s="42"/>
      <c r="E248" s="42"/>
      <c r="J248" s="17">
        <f t="shared" si="18"/>
        <v>0</v>
      </c>
      <c r="K248" s="2" t="str">
        <f t="shared" si="19"/>
        <v xml:space="preserve"> </v>
      </c>
      <c r="L248" s="2" t="str">
        <f t="shared" si="16"/>
        <v xml:space="preserve"> </v>
      </c>
      <c r="M248" s="2" t="str">
        <f t="shared" si="17"/>
        <v xml:space="preserve"> </v>
      </c>
    </row>
    <row r="249" spans="1:13" x14ac:dyDescent="0.25">
      <c r="A249" s="43" t="str">
        <f t="shared" si="15"/>
        <v xml:space="preserve"> </v>
      </c>
      <c r="D249" s="42"/>
      <c r="E249" s="42"/>
      <c r="J249" s="17">
        <f t="shared" si="18"/>
        <v>0</v>
      </c>
      <c r="K249" s="2" t="str">
        <f t="shared" si="19"/>
        <v xml:space="preserve"> </v>
      </c>
      <c r="L249" s="2" t="str">
        <f t="shared" si="16"/>
        <v xml:space="preserve"> </v>
      </c>
      <c r="M249" s="2" t="str">
        <f t="shared" si="17"/>
        <v xml:space="preserve"> </v>
      </c>
    </row>
    <row r="250" spans="1:13" x14ac:dyDescent="0.25">
      <c r="A250" s="43" t="str">
        <f t="shared" si="15"/>
        <v xml:space="preserve"> </v>
      </c>
      <c r="D250" s="42"/>
      <c r="E250" s="42"/>
      <c r="J250" s="17">
        <f t="shared" si="18"/>
        <v>0</v>
      </c>
      <c r="K250" s="2" t="str">
        <f t="shared" si="19"/>
        <v xml:space="preserve"> </v>
      </c>
      <c r="L250" s="2" t="str">
        <f t="shared" si="16"/>
        <v xml:space="preserve"> </v>
      </c>
      <c r="M250" s="2" t="str">
        <f t="shared" si="17"/>
        <v xml:space="preserve"> </v>
      </c>
    </row>
    <row r="251" spans="1:13" x14ac:dyDescent="0.25">
      <c r="A251" s="43" t="str">
        <f t="shared" si="15"/>
        <v xml:space="preserve"> </v>
      </c>
      <c r="D251" s="42"/>
      <c r="E251" s="42"/>
      <c r="J251" s="17">
        <f t="shared" si="18"/>
        <v>0</v>
      </c>
      <c r="K251" s="2" t="str">
        <f t="shared" si="19"/>
        <v xml:space="preserve"> </v>
      </c>
      <c r="L251" s="2" t="str">
        <f t="shared" si="16"/>
        <v xml:space="preserve"> </v>
      </c>
      <c r="M251" s="2" t="str">
        <f t="shared" si="17"/>
        <v xml:space="preserve"> </v>
      </c>
    </row>
    <row r="252" spans="1:13" x14ac:dyDescent="0.25">
      <c r="A252" s="43" t="str">
        <f t="shared" si="15"/>
        <v xml:space="preserve"> </v>
      </c>
      <c r="D252" s="42"/>
      <c r="E252" s="42"/>
      <c r="J252" s="17">
        <f t="shared" si="18"/>
        <v>0</v>
      </c>
      <c r="K252" s="2" t="str">
        <f t="shared" si="19"/>
        <v xml:space="preserve"> </v>
      </c>
      <c r="L252" s="2" t="str">
        <f t="shared" si="16"/>
        <v xml:space="preserve"> </v>
      </c>
      <c r="M252" s="2" t="str">
        <f t="shared" si="17"/>
        <v xml:space="preserve"> </v>
      </c>
    </row>
    <row r="253" spans="1:13" x14ac:dyDescent="0.25">
      <c r="A253" s="43" t="str">
        <f t="shared" si="15"/>
        <v xml:space="preserve"> </v>
      </c>
      <c r="D253" s="42"/>
      <c r="E253" s="42"/>
      <c r="J253" s="17">
        <f t="shared" si="18"/>
        <v>0</v>
      </c>
      <c r="K253" s="2" t="str">
        <f t="shared" si="19"/>
        <v xml:space="preserve"> </v>
      </c>
      <c r="L253" s="2" t="str">
        <f t="shared" si="16"/>
        <v xml:space="preserve"> </v>
      </c>
      <c r="M253" s="2" t="str">
        <f t="shared" si="17"/>
        <v xml:space="preserve"> </v>
      </c>
    </row>
    <row r="254" spans="1:13" x14ac:dyDescent="0.25">
      <c r="A254" s="43" t="str">
        <f t="shared" si="15"/>
        <v xml:space="preserve"> </v>
      </c>
      <c r="D254" s="42"/>
      <c r="E254" s="42"/>
      <c r="J254" s="17">
        <f t="shared" si="18"/>
        <v>0</v>
      </c>
      <c r="K254" s="2" t="str">
        <f t="shared" si="19"/>
        <v xml:space="preserve"> </v>
      </c>
      <c r="L254" s="2" t="str">
        <f t="shared" si="16"/>
        <v xml:space="preserve"> </v>
      </c>
      <c r="M254" s="2" t="str">
        <f t="shared" si="17"/>
        <v xml:space="preserve"> </v>
      </c>
    </row>
    <row r="255" spans="1:13" x14ac:dyDescent="0.25">
      <c r="A255" s="43" t="str">
        <f t="shared" si="15"/>
        <v xml:space="preserve"> </v>
      </c>
      <c r="D255" s="42"/>
      <c r="E255" s="42"/>
      <c r="J255" s="17">
        <f t="shared" si="18"/>
        <v>0</v>
      </c>
      <c r="K255" s="2" t="str">
        <f t="shared" si="19"/>
        <v xml:space="preserve"> </v>
      </c>
      <c r="L255" s="2" t="str">
        <f t="shared" si="16"/>
        <v xml:space="preserve"> </v>
      </c>
      <c r="M255" s="2" t="str">
        <f t="shared" si="17"/>
        <v xml:space="preserve"> </v>
      </c>
    </row>
    <row r="256" spans="1:13" x14ac:dyDescent="0.25">
      <c r="A256" s="43" t="str">
        <f t="shared" si="15"/>
        <v xml:space="preserve"> </v>
      </c>
      <c r="D256" s="42"/>
      <c r="E256" s="42"/>
      <c r="J256" s="17">
        <f t="shared" si="18"/>
        <v>0</v>
      </c>
      <c r="K256" s="2" t="str">
        <f t="shared" si="19"/>
        <v xml:space="preserve"> </v>
      </c>
      <c r="L256" s="2" t="str">
        <f t="shared" si="16"/>
        <v xml:space="preserve"> </v>
      </c>
      <c r="M256" s="2" t="str">
        <f t="shared" si="17"/>
        <v xml:space="preserve"> </v>
      </c>
    </row>
    <row r="257" spans="1:13" x14ac:dyDescent="0.25">
      <c r="A257" s="43" t="str">
        <f t="shared" si="15"/>
        <v xml:space="preserve"> </v>
      </c>
      <c r="D257" s="42"/>
      <c r="E257" s="42"/>
      <c r="J257" s="17">
        <f t="shared" si="18"/>
        <v>0</v>
      </c>
      <c r="K257" s="2" t="str">
        <f t="shared" si="19"/>
        <v xml:space="preserve"> </v>
      </c>
      <c r="L257" s="2" t="str">
        <f t="shared" si="16"/>
        <v xml:space="preserve"> </v>
      </c>
      <c r="M257" s="2" t="str">
        <f t="shared" si="17"/>
        <v xml:space="preserve"> </v>
      </c>
    </row>
    <row r="258" spans="1:13" x14ac:dyDescent="0.25">
      <c r="A258" s="43" t="str">
        <f t="shared" si="15"/>
        <v xml:space="preserve"> </v>
      </c>
      <c r="D258" s="42"/>
      <c r="E258" s="42"/>
      <c r="J258" s="17">
        <f t="shared" si="18"/>
        <v>0</v>
      </c>
      <c r="K258" s="2" t="str">
        <f t="shared" si="19"/>
        <v xml:space="preserve"> </v>
      </c>
      <c r="L258" s="2" t="str">
        <f t="shared" si="16"/>
        <v xml:space="preserve"> </v>
      </c>
      <c r="M258" s="2" t="str">
        <f t="shared" si="17"/>
        <v xml:space="preserve"> </v>
      </c>
    </row>
    <row r="259" spans="1:13" x14ac:dyDescent="0.25">
      <c r="A259" s="43" t="str">
        <f t="shared" si="15"/>
        <v xml:space="preserve"> </v>
      </c>
      <c r="D259" s="42"/>
      <c r="E259" s="42"/>
      <c r="J259" s="17">
        <f t="shared" si="18"/>
        <v>0</v>
      </c>
      <c r="K259" s="2" t="str">
        <f t="shared" si="19"/>
        <v xml:space="preserve"> </v>
      </c>
      <c r="L259" s="2" t="str">
        <f t="shared" si="16"/>
        <v xml:space="preserve"> </v>
      </c>
      <c r="M259" s="2" t="str">
        <f t="shared" si="17"/>
        <v xml:space="preserve"> </v>
      </c>
    </row>
    <row r="260" spans="1:13" x14ac:dyDescent="0.25">
      <c r="A260" s="43" t="str">
        <f t="shared" si="15"/>
        <v xml:space="preserve"> </v>
      </c>
      <c r="D260" s="42"/>
      <c r="E260" s="42"/>
      <c r="J260" s="17">
        <f t="shared" si="18"/>
        <v>0</v>
      </c>
      <c r="K260" s="2" t="str">
        <f t="shared" si="19"/>
        <v xml:space="preserve"> </v>
      </c>
      <c r="L260" s="2" t="str">
        <f t="shared" si="16"/>
        <v xml:space="preserve"> </v>
      </c>
      <c r="M260" s="2" t="str">
        <f t="shared" si="17"/>
        <v xml:space="preserve"> </v>
      </c>
    </row>
    <row r="261" spans="1:13" x14ac:dyDescent="0.25">
      <c r="A261" s="43" t="str">
        <f t="shared" si="15"/>
        <v xml:space="preserve"> </v>
      </c>
      <c r="D261" s="42"/>
      <c r="E261" s="42"/>
      <c r="J261" s="17">
        <f t="shared" si="18"/>
        <v>0</v>
      </c>
      <c r="K261" s="2" t="str">
        <f t="shared" si="19"/>
        <v xml:space="preserve"> </v>
      </c>
      <c r="L261" s="2" t="str">
        <f t="shared" si="16"/>
        <v xml:space="preserve"> </v>
      </c>
      <c r="M261" s="2" t="str">
        <f t="shared" si="17"/>
        <v xml:space="preserve"> </v>
      </c>
    </row>
    <row r="262" spans="1:13" x14ac:dyDescent="0.25">
      <c r="A262" s="43" t="str">
        <f t="shared" si="15"/>
        <v xml:space="preserve"> </v>
      </c>
      <c r="D262" s="42"/>
      <c r="E262" s="42"/>
      <c r="J262" s="17">
        <f t="shared" si="18"/>
        <v>0</v>
      </c>
      <c r="K262" s="2" t="str">
        <f t="shared" si="19"/>
        <v xml:space="preserve"> </v>
      </c>
      <c r="L262" s="2" t="str">
        <f t="shared" si="16"/>
        <v xml:space="preserve"> </v>
      </c>
      <c r="M262" s="2" t="str">
        <f t="shared" si="17"/>
        <v xml:space="preserve"> </v>
      </c>
    </row>
    <row r="263" spans="1:13" x14ac:dyDescent="0.25">
      <c r="A263" s="43" t="str">
        <f t="shared" si="15"/>
        <v xml:space="preserve"> </v>
      </c>
      <c r="D263" s="42"/>
      <c r="E263" s="42"/>
      <c r="J263" s="17">
        <f t="shared" si="18"/>
        <v>0</v>
      </c>
      <c r="K263" s="2" t="str">
        <f t="shared" si="19"/>
        <v xml:space="preserve"> </v>
      </c>
      <c r="L263" s="2" t="str">
        <f t="shared" si="16"/>
        <v xml:space="preserve"> </v>
      </c>
      <c r="M263" s="2" t="str">
        <f t="shared" si="17"/>
        <v xml:space="preserve"> </v>
      </c>
    </row>
    <row r="264" spans="1:13" x14ac:dyDescent="0.25">
      <c r="A264" s="43" t="str">
        <f t="shared" si="15"/>
        <v xml:space="preserve"> </v>
      </c>
      <c r="D264" s="42"/>
      <c r="E264" s="42"/>
      <c r="J264" s="17">
        <f t="shared" si="18"/>
        <v>0</v>
      </c>
      <c r="K264" s="2" t="str">
        <f t="shared" si="19"/>
        <v xml:space="preserve"> </v>
      </c>
      <c r="L264" s="2" t="str">
        <f t="shared" si="16"/>
        <v xml:space="preserve"> </v>
      </c>
      <c r="M264" s="2" t="str">
        <f t="shared" si="17"/>
        <v xml:space="preserve"> </v>
      </c>
    </row>
    <row r="265" spans="1:13" x14ac:dyDescent="0.25">
      <c r="A265" s="43" t="str">
        <f t="shared" si="15"/>
        <v xml:space="preserve"> </v>
      </c>
      <c r="D265" s="42"/>
      <c r="E265" s="42"/>
      <c r="J265" s="17">
        <f t="shared" si="18"/>
        <v>0</v>
      </c>
      <c r="K265" s="2" t="str">
        <f t="shared" si="19"/>
        <v xml:space="preserve"> </v>
      </c>
      <c r="L265" s="2" t="str">
        <f t="shared" si="16"/>
        <v xml:space="preserve"> </v>
      </c>
      <c r="M265" s="2" t="str">
        <f t="shared" si="17"/>
        <v xml:space="preserve"> </v>
      </c>
    </row>
    <row r="266" spans="1:13" x14ac:dyDescent="0.25">
      <c r="A266" s="43" t="str">
        <f t="shared" si="15"/>
        <v xml:space="preserve"> </v>
      </c>
      <c r="D266" s="42"/>
      <c r="E266" s="42"/>
      <c r="J266" s="17">
        <f t="shared" si="18"/>
        <v>0</v>
      </c>
      <c r="K266" s="2" t="str">
        <f t="shared" si="19"/>
        <v xml:space="preserve"> </v>
      </c>
      <c r="L266" s="2" t="str">
        <f t="shared" si="16"/>
        <v xml:space="preserve"> </v>
      </c>
      <c r="M266" s="2" t="str">
        <f t="shared" si="17"/>
        <v xml:space="preserve"> </v>
      </c>
    </row>
    <row r="267" spans="1:13" x14ac:dyDescent="0.25">
      <c r="A267" s="43" t="str">
        <f t="shared" si="15"/>
        <v xml:space="preserve"> </v>
      </c>
      <c r="D267" s="42"/>
      <c r="E267" s="42"/>
      <c r="J267" s="17">
        <f t="shared" si="18"/>
        <v>0</v>
      </c>
      <c r="K267" s="2" t="str">
        <f t="shared" si="19"/>
        <v xml:space="preserve"> </v>
      </c>
      <c r="L267" s="2" t="str">
        <f t="shared" si="16"/>
        <v xml:space="preserve"> </v>
      </c>
      <c r="M267" s="2" t="str">
        <f t="shared" si="17"/>
        <v xml:space="preserve"> </v>
      </c>
    </row>
    <row r="268" spans="1:13" x14ac:dyDescent="0.25">
      <c r="A268" s="43" t="str">
        <f t="shared" si="15"/>
        <v xml:space="preserve"> </v>
      </c>
      <c r="D268" s="42"/>
      <c r="E268" s="42"/>
      <c r="J268" s="17">
        <f t="shared" si="18"/>
        <v>0</v>
      </c>
      <c r="K268" s="2" t="str">
        <f t="shared" si="19"/>
        <v xml:space="preserve"> </v>
      </c>
      <c r="L268" s="2" t="str">
        <f t="shared" si="16"/>
        <v xml:space="preserve"> </v>
      </c>
      <c r="M268" s="2" t="str">
        <f t="shared" si="17"/>
        <v xml:space="preserve"> </v>
      </c>
    </row>
    <row r="269" spans="1:13" x14ac:dyDescent="0.25">
      <c r="A269" s="43" t="str">
        <f t="shared" si="15"/>
        <v xml:space="preserve"> </v>
      </c>
      <c r="D269" s="42"/>
      <c r="E269" s="42"/>
      <c r="J269" s="17">
        <f t="shared" si="18"/>
        <v>0</v>
      </c>
      <c r="K269" s="2" t="str">
        <f t="shared" si="19"/>
        <v xml:space="preserve"> </v>
      </c>
      <c r="L269" s="2" t="str">
        <f t="shared" si="16"/>
        <v xml:space="preserve"> </v>
      </c>
      <c r="M269" s="2" t="str">
        <f t="shared" si="17"/>
        <v xml:space="preserve"> </v>
      </c>
    </row>
    <row r="270" spans="1:13" x14ac:dyDescent="0.25">
      <c r="A270" s="43" t="str">
        <f t="shared" si="15"/>
        <v xml:space="preserve"> </v>
      </c>
      <c r="D270" s="42"/>
      <c r="E270" s="42"/>
      <c r="J270" s="17">
        <f t="shared" si="18"/>
        <v>0</v>
      </c>
      <c r="K270" s="2" t="str">
        <f t="shared" si="19"/>
        <v xml:space="preserve"> </v>
      </c>
      <c r="L270" s="2" t="str">
        <f t="shared" si="16"/>
        <v xml:space="preserve"> </v>
      </c>
      <c r="M270" s="2" t="str">
        <f t="shared" si="17"/>
        <v xml:space="preserve"> </v>
      </c>
    </row>
    <row r="271" spans="1:13" x14ac:dyDescent="0.25">
      <c r="A271" s="43" t="str">
        <f t="shared" ref="A271:A334" si="20">IF(COUNTIF(K271:M271,"ERROR")&gt;0,"ERROR"," ")</f>
        <v xml:space="preserve"> </v>
      </c>
      <c r="D271" s="42"/>
      <c r="E271" s="42"/>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43" t="str">
        <f t="shared" si="20"/>
        <v xml:space="preserve"> </v>
      </c>
      <c r="D272" s="42"/>
      <c r="E272" s="42"/>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43" t="str">
        <f t="shared" si="20"/>
        <v xml:space="preserve"> </v>
      </c>
      <c r="D273" s="42"/>
      <c r="E273" s="42"/>
      <c r="J273" s="17">
        <f t="shared" si="23"/>
        <v>0</v>
      </c>
      <c r="K273" s="2" t="str">
        <f t="shared" si="24"/>
        <v xml:space="preserve"> </v>
      </c>
      <c r="L273" s="2" t="str">
        <f t="shared" si="21"/>
        <v xml:space="preserve"> </v>
      </c>
      <c r="M273" s="2" t="str">
        <f t="shared" si="22"/>
        <v xml:space="preserve"> </v>
      </c>
    </row>
    <row r="274" spans="1:13" x14ac:dyDescent="0.25">
      <c r="A274" s="43" t="str">
        <f t="shared" si="20"/>
        <v xml:space="preserve"> </v>
      </c>
      <c r="D274" s="42"/>
      <c r="E274" s="42"/>
      <c r="J274" s="17">
        <f t="shared" si="23"/>
        <v>0</v>
      </c>
      <c r="K274" s="2" t="str">
        <f t="shared" si="24"/>
        <v xml:space="preserve"> </v>
      </c>
      <c r="L274" s="2" t="str">
        <f t="shared" si="21"/>
        <v xml:space="preserve"> </v>
      </c>
      <c r="M274" s="2" t="str">
        <f t="shared" si="22"/>
        <v xml:space="preserve"> </v>
      </c>
    </row>
    <row r="275" spans="1:13" x14ac:dyDescent="0.25">
      <c r="A275" s="43" t="str">
        <f t="shared" si="20"/>
        <v xml:space="preserve"> </v>
      </c>
      <c r="D275" s="42"/>
      <c r="E275" s="42"/>
      <c r="J275" s="17">
        <f t="shared" si="23"/>
        <v>0</v>
      </c>
      <c r="K275" s="2" t="str">
        <f t="shared" si="24"/>
        <v xml:space="preserve"> </v>
      </c>
      <c r="L275" s="2" t="str">
        <f t="shared" si="21"/>
        <v xml:space="preserve"> </v>
      </c>
      <c r="M275" s="2" t="str">
        <f t="shared" si="22"/>
        <v xml:space="preserve"> </v>
      </c>
    </row>
    <row r="276" spans="1:13" x14ac:dyDescent="0.25">
      <c r="A276" s="43" t="str">
        <f t="shared" si="20"/>
        <v xml:space="preserve"> </v>
      </c>
      <c r="D276" s="42"/>
      <c r="E276" s="42"/>
      <c r="J276" s="17">
        <f t="shared" si="23"/>
        <v>0</v>
      </c>
      <c r="K276" s="2" t="str">
        <f t="shared" si="24"/>
        <v xml:space="preserve"> </v>
      </c>
      <c r="L276" s="2" t="str">
        <f t="shared" si="21"/>
        <v xml:space="preserve"> </v>
      </c>
      <c r="M276" s="2" t="str">
        <f t="shared" si="22"/>
        <v xml:space="preserve"> </v>
      </c>
    </row>
    <row r="277" spans="1:13" x14ac:dyDescent="0.25">
      <c r="A277" s="43" t="str">
        <f t="shared" si="20"/>
        <v xml:space="preserve"> </v>
      </c>
      <c r="D277" s="42"/>
      <c r="E277" s="42"/>
      <c r="J277" s="17">
        <f t="shared" si="23"/>
        <v>0</v>
      </c>
      <c r="K277" s="2" t="str">
        <f t="shared" si="24"/>
        <v xml:space="preserve"> </v>
      </c>
      <c r="L277" s="2" t="str">
        <f t="shared" si="21"/>
        <v xml:space="preserve"> </v>
      </c>
      <c r="M277" s="2" t="str">
        <f t="shared" si="22"/>
        <v xml:space="preserve"> </v>
      </c>
    </row>
    <row r="278" spans="1:13" x14ac:dyDescent="0.25">
      <c r="A278" s="43" t="str">
        <f t="shared" si="20"/>
        <v xml:space="preserve"> </v>
      </c>
      <c r="D278" s="42"/>
      <c r="E278" s="42"/>
      <c r="J278" s="17">
        <f t="shared" si="23"/>
        <v>0</v>
      </c>
      <c r="K278" s="2" t="str">
        <f t="shared" si="24"/>
        <v xml:space="preserve"> </v>
      </c>
      <c r="L278" s="2" t="str">
        <f t="shared" si="21"/>
        <v xml:space="preserve"> </v>
      </c>
      <c r="M278" s="2" t="str">
        <f t="shared" si="22"/>
        <v xml:space="preserve"> </v>
      </c>
    </row>
    <row r="279" spans="1:13" x14ac:dyDescent="0.25">
      <c r="A279" s="43" t="str">
        <f t="shared" si="20"/>
        <v xml:space="preserve"> </v>
      </c>
      <c r="D279" s="42"/>
      <c r="E279" s="42"/>
      <c r="J279" s="17">
        <f t="shared" si="23"/>
        <v>0</v>
      </c>
      <c r="K279" s="2" t="str">
        <f t="shared" si="24"/>
        <v xml:space="preserve"> </v>
      </c>
      <c r="L279" s="2" t="str">
        <f t="shared" si="21"/>
        <v xml:space="preserve"> </v>
      </c>
      <c r="M279" s="2" t="str">
        <f t="shared" si="22"/>
        <v xml:space="preserve"> </v>
      </c>
    </row>
    <row r="280" spans="1:13" x14ac:dyDescent="0.25">
      <c r="A280" s="43" t="str">
        <f t="shared" si="20"/>
        <v xml:space="preserve"> </v>
      </c>
      <c r="D280" s="42"/>
      <c r="E280" s="42"/>
      <c r="J280" s="17">
        <f t="shared" si="23"/>
        <v>0</v>
      </c>
      <c r="K280" s="2" t="str">
        <f t="shared" si="24"/>
        <v xml:space="preserve"> </v>
      </c>
      <c r="L280" s="2" t="str">
        <f t="shared" si="21"/>
        <v xml:space="preserve"> </v>
      </c>
      <c r="M280" s="2" t="str">
        <f t="shared" si="22"/>
        <v xml:space="preserve"> </v>
      </c>
    </row>
    <row r="281" spans="1:13" x14ac:dyDescent="0.25">
      <c r="A281" s="43" t="str">
        <f t="shared" si="20"/>
        <v xml:space="preserve"> </v>
      </c>
      <c r="D281" s="42"/>
      <c r="E281" s="42"/>
      <c r="J281" s="17">
        <f t="shared" si="23"/>
        <v>0</v>
      </c>
      <c r="K281" s="2" t="str">
        <f t="shared" si="24"/>
        <v xml:space="preserve"> </v>
      </c>
      <c r="L281" s="2" t="str">
        <f t="shared" si="21"/>
        <v xml:space="preserve"> </v>
      </c>
      <c r="M281" s="2" t="str">
        <f t="shared" si="22"/>
        <v xml:space="preserve"> </v>
      </c>
    </row>
    <row r="282" spans="1:13" x14ac:dyDescent="0.25">
      <c r="A282" s="43" t="str">
        <f t="shared" si="20"/>
        <v xml:space="preserve"> </v>
      </c>
      <c r="D282" s="42"/>
      <c r="E282" s="42"/>
      <c r="J282" s="17">
        <f t="shared" si="23"/>
        <v>0</v>
      </c>
      <c r="K282" s="2" t="str">
        <f t="shared" si="24"/>
        <v xml:space="preserve"> </v>
      </c>
      <c r="L282" s="2" t="str">
        <f t="shared" si="21"/>
        <v xml:space="preserve"> </v>
      </c>
      <c r="M282" s="2" t="str">
        <f t="shared" si="22"/>
        <v xml:space="preserve"> </v>
      </c>
    </row>
    <row r="283" spans="1:13" x14ac:dyDescent="0.25">
      <c r="A283" s="43" t="str">
        <f t="shared" si="20"/>
        <v xml:space="preserve"> </v>
      </c>
      <c r="D283" s="42"/>
      <c r="E283" s="42"/>
      <c r="J283" s="17">
        <f t="shared" si="23"/>
        <v>0</v>
      </c>
      <c r="K283" s="2" t="str">
        <f t="shared" si="24"/>
        <v xml:space="preserve"> </v>
      </c>
      <c r="L283" s="2" t="str">
        <f t="shared" si="21"/>
        <v xml:space="preserve"> </v>
      </c>
      <c r="M283" s="2" t="str">
        <f t="shared" si="22"/>
        <v xml:space="preserve"> </v>
      </c>
    </row>
    <row r="284" spans="1:13" x14ac:dyDescent="0.25">
      <c r="A284" s="43" t="str">
        <f t="shared" si="20"/>
        <v xml:space="preserve"> </v>
      </c>
      <c r="D284" s="42"/>
      <c r="E284" s="42"/>
      <c r="J284" s="17">
        <f t="shared" si="23"/>
        <v>0</v>
      </c>
      <c r="K284" s="2" t="str">
        <f t="shared" si="24"/>
        <v xml:space="preserve"> </v>
      </c>
      <c r="L284" s="2" t="str">
        <f t="shared" si="21"/>
        <v xml:space="preserve"> </v>
      </c>
      <c r="M284" s="2" t="str">
        <f t="shared" si="22"/>
        <v xml:space="preserve"> </v>
      </c>
    </row>
    <row r="285" spans="1:13" x14ac:dyDescent="0.25">
      <c r="A285" s="43" t="str">
        <f t="shared" si="20"/>
        <v xml:space="preserve"> </v>
      </c>
      <c r="D285" s="42"/>
      <c r="E285" s="42"/>
      <c r="J285" s="17">
        <f t="shared" si="23"/>
        <v>0</v>
      </c>
      <c r="K285" s="2" t="str">
        <f t="shared" si="24"/>
        <v xml:space="preserve"> </v>
      </c>
      <c r="L285" s="2" t="str">
        <f t="shared" si="21"/>
        <v xml:space="preserve"> </v>
      </c>
      <c r="M285" s="2" t="str">
        <f t="shared" si="22"/>
        <v xml:space="preserve"> </v>
      </c>
    </row>
    <row r="286" spans="1:13" x14ac:dyDescent="0.25">
      <c r="A286" s="43" t="str">
        <f t="shared" si="20"/>
        <v xml:space="preserve"> </v>
      </c>
      <c r="D286" s="42"/>
      <c r="E286" s="42"/>
      <c r="J286" s="17">
        <f t="shared" si="23"/>
        <v>0</v>
      </c>
      <c r="K286" s="2" t="str">
        <f t="shared" si="24"/>
        <v xml:space="preserve"> </v>
      </c>
      <c r="L286" s="2" t="str">
        <f t="shared" si="21"/>
        <v xml:space="preserve"> </v>
      </c>
      <c r="M286" s="2" t="str">
        <f t="shared" si="22"/>
        <v xml:space="preserve"> </v>
      </c>
    </row>
    <row r="287" spans="1:13" x14ac:dyDescent="0.25">
      <c r="A287" s="43" t="str">
        <f t="shared" si="20"/>
        <v xml:space="preserve"> </v>
      </c>
      <c r="D287" s="42"/>
      <c r="E287" s="42"/>
      <c r="J287" s="17">
        <f t="shared" si="23"/>
        <v>0</v>
      </c>
      <c r="K287" s="2" t="str">
        <f t="shared" si="24"/>
        <v xml:space="preserve"> </v>
      </c>
      <c r="L287" s="2" t="str">
        <f t="shared" si="21"/>
        <v xml:space="preserve"> </v>
      </c>
      <c r="M287" s="2" t="str">
        <f t="shared" si="22"/>
        <v xml:space="preserve"> </v>
      </c>
    </row>
    <row r="288" spans="1:13" x14ac:dyDescent="0.25">
      <c r="A288" s="43" t="str">
        <f t="shared" si="20"/>
        <v xml:space="preserve"> </v>
      </c>
      <c r="D288" s="42"/>
      <c r="E288" s="42"/>
      <c r="J288" s="17">
        <f t="shared" si="23"/>
        <v>0</v>
      </c>
      <c r="K288" s="2" t="str">
        <f t="shared" si="24"/>
        <v xml:space="preserve"> </v>
      </c>
      <c r="L288" s="2" t="str">
        <f t="shared" si="21"/>
        <v xml:space="preserve"> </v>
      </c>
      <c r="M288" s="2" t="str">
        <f t="shared" si="22"/>
        <v xml:space="preserve"> </v>
      </c>
    </row>
    <row r="289" spans="1:13" x14ac:dyDescent="0.25">
      <c r="A289" s="43" t="str">
        <f t="shared" si="20"/>
        <v xml:space="preserve"> </v>
      </c>
      <c r="D289" s="42"/>
      <c r="E289" s="42"/>
      <c r="J289" s="17">
        <f t="shared" si="23"/>
        <v>0</v>
      </c>
      <c r="K289" s="2" t="str">
        <f t="shared" si="24"/>
        <v xml:space="preserve"> </v>
      </c>
      <c r="L289" s="2" t="str">
        <f t="shared" si="21"/>
        <v xml:space="preserve"> </v>
      </c>
      <c r="M289" s="2" t="str">
        <f t="shared" si="22"/>
        <v xml:space="preserve"> </v>
      </c>
    </row>
    <row r="290" spans="1:13" x14ac:dyDescent="0.25">
      <c r="A290" s="43" t="str">
        <f t="shared" si="20"/>
        <v xml:space="preserve"> </v>
      </c>
      <c r="D290" s="42"/>
      <c r="E290" s="42"/>
      <c r="J290" s="17">
        <f t="shared" si="23"/>
        <v>0</v>
      </c>
      <c r="K290" s="2" t="str">
        <f t="shared" si="24"/>
        <v xml:space="preserve"> </v>
      </c>
      <c r="L290" s="2" t="str">
        <f t="shared" si="21"/>
        <v xml:space="preserve"> </v>
      </c>
      <c r="M290" s="2" t="str">
        <f t="shared" si="22"/>
        <v xml:space="preserve"> </v>
      </c>
    </row>
    <row r="291" spans="1:13" x14ac:dyDescent="0.25">
      <c r="A291" s="43" t="str">
        <f t="shared" si="20"/>
        <v xml:space="preserve"> </v>
      </c>
      <c r="D291" s="42"/>
      <c r="E291" s="42"/>
      <c r="J291" s="17">
        <f t="shared" si="23"/>
        <v>0</v>
      </c>
      <c r="K291" s="2" t="str">
        <f t="shared" si="24"/>
        <v xml:space="preserve"> </v>
      </c>
      <c r="L291" s="2" t="str">
        <f t="shared" si="21"/>
        <v xml:space="preserve"> </v>
      </c>
      <c r="M291" s="2" t="str">
        <f t="shared" si="22"/>
        <v xml:space="preserve"> </v>
      </c>
    </row>
    <row r="292" spans="1:13" x14ac:dyDescent="0.25">
      <c r="A292" s="43" t="str">
        <f t="shared" si="20"/>
        <v xml:space="preserve"> </v>
      </c>
      <c r="D292" s="42"/>
      <c r="E292" s="42"/>
      <c r="J292" s="17">
        <f t="shared" si="23"/>
        <v>0</v>
      </c>
      <c r="K292" s="2" t="str">
        <f t="shared" si="24"/>
        <v xml:space="preserve"> </v>
      </c>
      <c r="L292" s="2" t="str">
        <f t="shared" si="21"/>
        <v xml:space="preserve"> </v>
      </c>
      <c r="M292" s="2" t="str">
        <f t="shared" si="22"/>
        <v xml:space="preserve"> </v>
      </c>
    </row>
    <row r="293" spans="1:13" x14ac:dyDescent="0.25">
      <c r="A293" s="43" t="str">
        <f t="shared" si="20"/>
        <v xml:space="preserve"> </v>
      </c>
      <c r="D293" s="42"/>
      <c r="E293" s="42"/>
      <c r="J293" s="17">
        <f t="shared" si="23"/>
        <v>0</v>
      </c>
      <c r="K293" s="2" t="str">
        <f t="shared" si="24"/>
        <v xml:space="preserve"> </v>
      </c>
      <c r="L293" s="2" t="str">
        <f t="shared" si="21"/>
        <v xml:space="preserve"> </v>
      </c>
      <c r="M293" s="2" t="str">
        <f t="shared" si="22"/>
        <v xml:space="preserve"> </v>
      </c>
    </row>
    <row r="294" spans="1:13" x14ac:dyDescent="0.25">
      <c r="A294" s="43" t="str">
        <f t="shared" si="20"/>
        <v xml:space="preserve"> </v>
      </c>
      <c r="D294" s="42"/>
      <c r="E294" s="42"/>
      <c r="J294" s="17">
        <f t="shared" si="23"/>
        <v>0</v>
      </c>
      <c r="K294" s="2" t="str">
        <f t="shared" si="24"/>
        <v xml:space="preserve"> </v>
      </c>
      <c r="L294" s="2" t="str">
        <f t="shared" si="21"/>
        <v xml:space="preserve"> </v>
      </c>
      <c r="M294" s="2" t="str">
        <f t="shared" si="22"/>
        <v xml:space="preserve"> </v>
      </c>
    </row>
    <row r="295" spans="1:13" x14ac:dyDescent="0.25">
      <c r="A295" s="43" t="str">
        <f t="shared" si="20"/>
        <v xml:space="preserve"> </v>
      </c>
      <c r="D295" s="42"/>
      <c r="E295" s="42"/>
      <c r="J295" s="17">
        <f t="shared" si="23"/>
        <v>0</v>
      </c>
      <c r="K295" s="2" t="str">
        <f t="shared" si="24"/>
        <v xml:space="preserve"> </v>
      </c>
      <c r="L295" s="2" t="str">
        <f t="shared" si="21"/>
        <v xml:space="preserve"> </v>
      </c>
      <c r="M295" s="2" t="str">
        <f t="shared" si="22"/>
        <v xml:space="preserve"> </v>
      </c>
    </row>
    <row r="296" spans="1:13" x14ac:dyDescent="0.25">
      <c r="A296" s="43" t="str">
        <f t="shared" si="20"/>
        <v xml:space="preserve"> </v>
      </c>
      <c r="D296" s="42"/>
      <c r="E296" s="42"/>
      <c r="J296" s="17">
        <f t="shared" si="23"/>
        <v>0</v>
      </c>
      <c r="K296" s="2" t="str">
        <f t="shared" si="24"/>
        <v xml:space="preserve"> </v>
      </c>
      <c r="L296" s="2" t="str">
        <f t="shared" si="21"/>
        <v xml:space="preserve"> </v>
      </c>
      <c r="M296" s="2" t="str">
        <f t="shared" si="22"/>
        <v xml:space="preserve"> </v>
      </c>
    </row>
    <row r="297" spans="1:13" x14ac:dyDescent="0.25">
      <c r="A297" s="43" t="str">
        <f t="shared" si="20"/>
        <v xml:space="preserve"> </v>
      </c>
      <c r="D297" s="42"/>
      <c r="E297" s="42"/>
      <c r="J297" s="17">
        <f t="shared" si="23"/>
        <v>0</v>
      </c>
      <c r="K297" s="2" t="str">
        <f t="shared" si="24"/>
        <v xml:space="preserve"> </v>
      </c>
      <c r="L297" s="2" t="str">
        <f t="shared" si="21"/>
        <v xml:space="preserve"> </v>
      </c>
      <c r="M297" s="2" t="str">
        <f t="shared" si="22"/>
        <v xml:space="preserve"> </v>
      </c>
    </row>
    <row r="298" spans="1:13" x14ac:dyDescent="0.25">
      <c r="A298" s="43" t="str">
        <f t="shared" si="20"/>
        <v xml:space="preserve"> </v>
      </c>
      <c r="D298" s="42"/>
      <c r="E298" s="42"/>
      <c r="J298" s="17">
        <f t="shared" si="23"/>
        <v>0</v>
      </c>
      <c r="K298" s="2" t="str">
        <f t="shared" si="24"/>
        <v xml:space="preserve"> </v>
      </c>
      <c r="L298" s="2" t="str">
        <f t="shared" si="21"/>
        <v xml:space="preserve"> </v>
      </c>
      <c r="M298" s="2" t="str">
        <f t="shared" si="22"/>
        <v xml:space="preserve"> </v>
      </c>
    </row>
    <row r="299" spans="1:13" x14ac:dyDescent="0.25">
      <c r="A299" s="43" t="str">
        <f t="shared" si="20"/>
        <v xml:space="preserve"> </v>
      </c>
      <c r="D299" s="42"/>
      <c r="E299" s="42"/>
      <c r="J299" s="17">
        <f t="shared" si="23"/>
        <v>0</v>
      </c>
      <c r="K299" s="2" t="str">
        <f t="shared" si="24"/>
        <v xml:space="preserve"> </v>
      </c>
      <c r="L299" s="2" t="str">
        <f t="shared" si="21"/>
        <v xml:space="preserve"> </v>
      </c>
      <c r="M299" s="2" t="str">
        <f t="shared" si="22"/>
        <v xml:space="preserve"> </v>
      </c>
    </row>
    <row r="300" spans="1:13" x14ac:dyDescent="0.25">
      <c r="A300" s="43" t="str">
        <f t="shared" si="20"/>
        <v xml:space="preserve"> </v>
      </c>
      <c r="D300" s="42"/>
      <c r="E300" s="42"/>
      <c r="J300" s="17">
        <f t="shared" si="23"/>
        <v>0</v>
      </c>
      <c r="K300" s="2" t="str">
        <f t="shared" si="24"/>
        <v xml:space="preserve"> </v>
      </c>
      <c r="L300" s="2" t="str">
        <f t="shared" si="21"/>
        <v xml:space="preserve"> </v>
      </c>
      <c r="M300" s="2" t="str">
        <f t="shared" si="22"/>
        <v xml:space="preserve"> </v>
      </c>
    </row>
    <row r="301" spans="1:13" x14ac:dyDescent="0.25">
      <c r="A301" s="43" t="str">
        <f t="shared" si="20"/>
        <v xml:space="preserve"> </v>
      </c>
      <c r="D301" s="42"/>
      <c r="E301" s="42"/>
      <c r="J301" s="17">
        <f t="shared" si="23"/>
        <v>0</v>
      </c>
      <c r="K301" s="2" t="str">
        <f t="shared" si="24"/>
        <v xml:space="preserve"> </v>
      </c>
      <c r="L301" s="2" t="str">
        <f t="shared" si="21"/>
        <v xml:space="preserve"> </v>
      </c>
      <c r="M301" s="2" t="str">
        <f t="shared" si="22"/>
        <v xml:space="preserve"> </v>
      </c>
    </row>
    <row r="302" spans="1:13" x14ac:dyDescent="0.25">
      <c r="A302" s="43" t="str">
        <f t="shared" si="20"/>
        <v xml:space="preserve"> </v>
      </c>
      <c r="D302" s="42"/>
      <c r="E302" s="42"/>
      <c r="J302" s="17">
        <f t="shared" si="23"/>
        <v>0</v>
      </c>
      <c r="K302" s="2" t="str">
        <f t="shared" si="24"/>
        <v xml:space="preserve"> </v>
      </c>
      <c r="L302" s="2" t="str">
        <f t="shared" si="21"/>
        <v xml:space="preserve"> </v>
      </c>
      <c r="M302" s="2" t="str">
        <f t="shared" si="22"/>
        <v xml:space="preserve"> </v>
      </c>
    </row>
    <row r="303" spans="1:13" x14ac:dyDescent="0.25">
      <c r="A303" s="43" t="str">
        <f t="shared" si="20"/>
        <v xml:space="preserve"> </v>
      </c>
      <c r="D303" s="42"/>
      <c r="E303" s="42"/>
      <c r="J303" s="17">
        <f t="shared" si="23"/>
        <v>0</v>
      </c>
      <c r="K303" s="2" t="str">
        <f t="shared" si="24"/>
        <v xml:space="preserve"> </v>
      </c>
      <c r="L303" s="2" t="str">
        <f t="shared" si="21"/>
        <v xml:space="preserve"> </v>
      </c>
      <c r="M303" s="2" t="str">
        <f t="shared" si="22"/>
        <v xml:space="preserve"> </v>
      </c>
    </row>
    <row r="304" spans="1:13" x14ac:dyDescent="0.25">
      <c r="A304" s="43" t="str">
        <f t="shared" si="20"/>
        <v xml:space="preserve"> </v>
      </c>
      <c r="D304" s="42"/>
      <c r="E304" s="42"/>
      <c r="J304" s="17">
        <f t="shared" si="23"/>
        <v>0</v>
      </c>
      <c r="K304" s="2" t="str">
        <f t="shared" si="24"/>
        <v xml:space="preserve"> </v>
      </c>
      <c r="L304" s="2" t="str">
        <f t="shared" si="21"/>
        <v xml:space="preserve"> </v>
      </c>
      <c r="M304" s="2" t="str">
        <f t="shared" si="22"/>
        <v xml:space="preserve"> </v>
      </c>
    </row>
    <row r="305" spans="1:13" x14ac:dyDescent="0.25">
      <c r="A305" s="43" t="str">
        <f t="shared" si="20"/>
        <v xml:space="preserve"> </v>
      </c>
      <c r="D305" s="42"/>
      <c r="E305" s="42"/>
      <c r="J305" s="17">
        <f t="shared" si="23"/>
        <v>0</v>
      </c>
      <c r="K305" s="2" t="str">
        <f t="shared" si="24"/>
        <v xml:space="preserve"> </v>
      </c>
      <c r="L305" s="2" t="str">
        <f t="shared" si="21"/>
        <v xml:space="preserve"> </v>
      </c>
      <c r="M305" s="2" t="str">
        <f t="shared" si="22"/>
        <v xml:space="preserve"> </v>
      </c>
    </row>
    <row r="306" spans="1:13" x14ac:dyDescent="0.25">
      <c r="A306" s="43" t="str">
        <f t="shared" si="20"/>
        <v xml:space="preserve"> </v>
      </c>
      <c r="D306" s="42"/>
      <c r="E306" s="42"/>
      <c r="J306" s="17">
        <f t="shared" si="23"/>
        <v>0</v>
      </c>
      <c r="K306" s="2" t="str">
        <f t="shared" si="24"/>
        <v xml:space="preserve"> </v>
      </c>
      <c r="L306" s="2" t="str">
        <f t="shared" si="21"/>
        <v xml:space="preserve"> </v>
      </c>
      <c r="M306" s="2" t="str">
        <f t="shared" si="22"/>
        <v xml:space="preserve"> </v>
      </c>
    </row>
    <row r="307" spans="1:13" x14ac:dyDescent="0.25">
      <c r="A307" s="43" t="str">
        <f t="shared" si="20"/>
        <v xml:space="preserve"> </v>
      </c>
      <c r="D307" s="42"/>
      <c r="E307" s="42"/>
      <c r="J307" s="17">
        <f t="shared" si="23"/>
        <v>0</v>
      </c>
      <c r="K307" s="2" t="str">
        <f t="shared" si="24"/>
        <v xml:space="preserve"> </v>
      </c>
      <c r="L307" s="2" t="str">
        <f t="shared" si="21"/>
        <v xml:space="preserve"> </v>
      </c>
      <c r="M307" s="2" t="str">
        <f t="shared" si="22"/>
        <v xml:space="preserve"> </v>
      </c>
    </row>
    <row r="308" spans="1:13" x14ac:dyDescent="0.25">
      <c r="A308" s="43" t="str">
        <f t="shared" si="20"/>
        <v xml:space="preserve"> </v>
      </c>
      <c r="D308" s="42"/>
      <c r="E308" s="42"/>
      <c r="J308" s="17">
        <f t="shared" si="23"/>
        <v>0</v>
      </c>
      <c r="K308" s="2" t="str">
        <f t="shared" si="24"/>
        <v xml:space="preserve"> </v>
      </c>
      <c r="L308" s="2" t="str">
        <f t="shared" si="21"/>
        <v xml:space="preserve"> </v>
      </c>
      <c r="M308" s="2" t="str">
        <f t="shared" si="22"/>
        <v xml:space="preserve"> </v>
      </c>
    </row>
    <row r="309" spans="1:13" x14ac:dyDescent="0.25">
      <c r="A309" s="43" t="str">
        <f t="shared" si="20"/>
        <v xml:space="preserve"> </v>
      </c>
      <c r="D309" s="42"/>
      <c r="E309" s="42"/>
      <c r="J309" s="17">
        <f t="shared" si="23"/>
        <v>0</v>
      </c>
      <c r="K309" s="2" t="str">
        <f t="shared" si="24"/>
        <v xml:space="preserve"> </v>
      </c>
      <c r="L309" s="2" t="str">
        <f t="shared" si="21"/>
        <v xml:space="preserve"> </v>
      </c>
      <c r="M309" s="2" t="str">
        <f t="shared" si="22"/>
        <v xml:space="preserve"> </v>
      </c>
    </row>
    <row r="310" spans="1:13" x14ac:dyDescent="0.25">
      <c r="A310" s="43" t="str">
        <f t="shared" si="20"/>
        <v xml:space="preserve"> </v>
      </c>
      <c r="D310" s="42"/>
      <c r="E310" s="42"/>
      <c r="J310" s="17">
        <f t="shared" si="23"/>
        <v>0</v>
      </c>
      <c r="K310" s="2" t="str">
        <f t="shared" si="24"/>
        <v xml:space="preserve"> </v>
      </c>
      <c r="L310" s="2" t="str">
        <f t="shared" si="21"/>
        <v xml:space="preserve"> </v>
      </c>
      <c r="M310" s="2" t="str">
        <f t="shared" si="22"/>
        <v xml:space="preserve"> </v>
      </c>
    </row>
    <row r="311" spans="1:13" x14ac:dyDescent="0.25">
      <c r="A311" s="43" t="str">
        <f t="shared" si="20"/>
        <v xml:space="preserve"> </v>
      </c>
      <c r="D311" s="42"/>
      <c r="E311" s="42"/>
      <c r="J311" s="17">
        <f t="shared" si="23"/>
        <v>0</v>
      </c>
      <c r="K311" s="2" t="str">
        <f t="shared" si="24"/>
        <v xml:space="preserve"> </v>
      </c>
      <c r="L311" s="2" t="str">
        <f t="shared" si="21"/>
        <v xml:space="preserve"> </v>
      </c>
      <c r="M311" s="2" t="str">
        <f t="shared" si="22"/>
        <v xml:space="preserve"> </v>
      </c>
    </row>
    <row r="312" spans="1:13" x14ac:dyDescent="0.25">
      <c r="A312" s="43" t="str">
        <f t="shared" si="20"/>
        <v xml:space="preserve"> </v>
      </c>
      <c r="D312" s="42"/>
      <c r="E312" s="42"/>
      <c r="J312" s="17">
        <f t="shared" si="23"/>
        <v>0</v>
      </c>
      <c r="K312" s="2" t="str">
        <f t="shared" si="24"/>
        <v xml:space="preserve"> </v>
      </c>
      <c r="L312" s="2" t="str">
        <f t="shared" si="21"/>
        <v xml:space="preserve"> </v>
      </c>
      <c r="M312" s="2" t="str">
        <f t="shared" si="22"/>
        <v xml:space="preserve"> </v>
      </c>
    </row>
    <row r="313" spans="1:13" x14ac:dyDescent="0.25">
      <c r="A313" s="43" t="str">
        <f t="shared" si="20"/>
        <v xml:space="preserve"> </v>
      </c>
      <c r="D313" s="42"/>
      <c r="E313" s="42"/>
      <c r="J313" s="17">
        <f t="shared" si="23"/>
        <v>0</v>
      </c>
      <c r="K313" s="2" t="str">
        <f t="shared" si="24"/>
        <v xml:space="preserve"> </v>
      </c>
      <c r="L313" s="2" t="str">
        <f t="shared" si="21"/>
        <v xml:space="preserve"> </v>
      </c>
      <c r="M313" s="2" t="str">
        <f t="shared" si="22"/>
        <v xml:space="preserve"> </v>
      </c>
    </row>
    <row r="314" spans="1:13" x14ac:dyDescent="0.25">
      <c r="A314" s="43" t="str">
        <f t="shared" si="20"/>
        <v xml:space="preserve"> </v>
      </c>
      <c r="D314" s="42"/>
      <c r="E314" s="42"/>
      <c r="J314" s="17">
        <f t="shared" si="23"/>
        <v>0</v>
      </c>
      <c r="K314" s="2" t="str">
        <f t="shared" si="24"/>
        <v xml:space="preserve"> </v>
      </c>
      <c r="L314" s="2" t="str">
        <f t="shared" si="21"/>
        <v xml:space="preserve"> </v>
      </c>
      <c r="M314" s="2" t="str">
        <f t="shared" si="22"/>
        <v xml:space="preserve"> </v>
      </c>
    </row>
    <row r="315" spans="1:13" x14ac:dyDescent="0.25">
      <c r="A315" s="43" t="str">
        <f t="shared" si="20"/>
        <v xml:space="preserve"> </v>
      </c>
      <c r="D315" s="42"/>
      <c r="E315" s="42"/>
      <c r="J315" s="17">
        <f t="shared" si="23"/>
        <v>0</v>
      </c>
      <c r="K315" s="2" t="str">
        <f t="shared" si="24"/>
        <v xml:space="preserve"> </v>
      </c>
      <c r="L315" s="2" t="str">
        <f t="shared" si="21"/>
        <v xml:space="preserve"> </v>
      </c>
      <c r="M315" s="2" t="str">
        <f t="shared" si="22"/>
        <v xml:space="preserve"> </v>
      </c>
    </row>
    <row r="316" spans="1:13" x14ac:dyDescent="0.25">
      <c r="A316" s="43" t="str">
        <f t="shared" si="20"/>
        <v xml:space="preserve"> </v>
      </c>
      <c r="D316" s="42"/>
      <c r="E316" s="42"/>
      <c r="J316" s="17">
        <f t="shared" si="23"/>
        <v>0</v>
      </c>
      <c r="K316" s="2" t="str">
        <f t="shared" si="24"/>
        <v xml:space="preserve"> </v>
      </c>
      <c r="L316" s="2" t="str">
        <f t="shared" si="21"/>
        <v xml:space="preserve"> </v>
      </c>
      <c r="M316" s="2" t="str">
        <f t="shared" si="22"/>
        <v xml:space="preserve"> </v>
      </c>
    </row>
    <row r="317" spans="1:13" x14ac:dyDescent="0.25">
      <c r="A317" s="43" t="str">
        <f t="shared" si="20"/>
        <v xml:space="preserve"> </v>
      </c>
      <c r="D317" s="42"/>
      <c r="E317" s="42"/>
      <c r="J317" s="17">
        <f t="shared" si="23"/>
        <v>0</v>
      </c>
      <c r="K317" s="2" t="str">
        <f t="shared" si="24"/>
        <v xml:space="preserve"> </v>
      </c>
      <c r="L317" s="2" t="str">
        <f t="shared" si="21"/>
        <v xml:space="preserve"> </v>
      </c>
      <c r="M317" s="2" t="str">
        <f t="shared" si="22"/>
        <v xml:space="preserve"> </v>
      </c>
    </row>
    <row r="318" spans="1:13" x14ac:dyDescent="0.25">
      <c r="A318" s="43" t="str">
        <f t="shared" si="20"/>
        <v xml:space="preserve"> </v>
      </c>
      <c r="D318" s="42"/>
      <c r="E318" s="42"/>
      <c r="J318" s="17">
        <f t="shared" si="23"/>
        <v>0</v>
      </c>
      <c r="K318" s="2" t="str">
        <f t="shared" si="24"/>
        <v xml:space="preserve"> </v>
      </c>
      <c r="L318" s="2" t="str">
        <f t="shared" si="21"/>
        <v xml:space="preserve"> </v>
      </c>
      <c r="M318" s="2" t="str">
        <f t="shared" si="22"/>
        <v xml:space="preserve"> </v>
      </c>
    </row>
    <row r="319" spans="1:13" x14ac:dyDescent="0.25">
      <c r="A319" s="43" t="str">
        <f t="shared" si="20"/>
        <v xml:space="preserve"> </v>
      </c>
      <c r="D319" s="42"/>
      <c r="E319" s="42"/>
      <c r="J319" s="17">
        <f t="shared" si="23"/>
        <v>0</v>
      </c>
      <c r="K319" s="2" t="str">
        <f t="shared" si="24"/>
        <v xml:space="preserve"> </v>
      </c>
      <c r="L319" s="2" t="str">
        <f t="shared" si="21"/>
        <v xml:space="preserve"> </v>
      </c>
      <c r="M319" s="2" t="str">
        <f t="shared" si="22"/>
        <v xml:space="preserve"> </v>
      </c>
    </row>
    <row r="320" spans="1:13" x14ac:dyDescent="0.25">
      <c r="A320" s="43" t="str">
        <f t="shared" si="20"/>
        <v xml:space="preserve"> </v>
      </c>
      <c r="D320" s="42"/>
      <c r="E320" s="42"/>
      <c r="J320" s="17">
        <f t="shared" si="23"/>
        <v>0</v>
      </c>
      <c r="K320" s="2" t="str">
        <f t="shared" si="24"/>
        <v xml:space="preserve"> </v>
      </c>
      <c r="L320" s="2" t="str">
        <f t="shared" si="21"/>
        <v xml:space="preserve"> </v>
      </c>
      <c r="M320" s="2" t="str">
        <f t="shared" si="22"/>
        <v xml:space="preserve"> </v>
      </c>
    </row>
    <row r="321" spans="1:13" x14ac:dyDescent="0.25">
      <c r="A321" s="43" t="str">
        <f t="shared" si="20"/>
        <v xml:space="preserve"> </v>
      </c>
      <c r="D321" s="42"/>
      <c r="E321" s="42"/>
      <c r="J321" s="17">
        <f t="shared" si="23"/>
        <v>0</v>
      </c>
      <c r="K321" s="2" t="str">
        <f t="shared" si="24"/>
        <v xml:space="preserve"> </v>
      </c>
      <c r="L321" s="2" t="str">
        <f t="shared" si="21"/>
        <v xml:space="preserve"> </v>
      </c>
      <c r="M321" s="2" t="str">
        <f t="shared" si="22"/>
        <v xml:space="preserve"> </v>
      </c>
    </row>
    <row r="322" spans="1:13" x14ac:dyDescent="0.25">
      <c r="A322" s="43" t="str">
        <f t="shared" si="20"/>
        <v xml:space="preserve"> </v>
      </c>
      <c r="D322" s="42"/>
      <c r="E322" s="42"/>
      <c r="J322" s="17">
        <f t="shared" si="23"/>
        <v>0</v>
      </c>
      <c r="K322" s="2" t="str">
        <f t="shared" si="24"/>
        <v xml:space="preserve"> </v>
      </c>
      <c r="L322" s="2" t="str">
        <f t="shared" si="21"/>
        <v xml:space="preserve"> </v>
      </c>
      <c r="M322" s="2" t="str">
        <f t="shared" si="22"/>
        <v xml:space="preserve"> </v>
      </c>
    </row>
    <row r="323" spans="1:13" x14ac:dyDescent="0.25">
      <c r="A323" s="43" t="str">
        <f t="shared" si="20"/>
        <v xml:space="preserve"> </v>
      </c>
      <c r="D323" s="42"/>
      <c r="E323" s="42"/>
      <c r="J323" s="17">
        <f t="shared" si="23"/>
        <v>0</v>
      </c>
      <c r="K323" s="2" t="str">
        <f t="shared" si="24"/>
        <v xml:space="preserve"> </v>
      </c>
      <c r="L323" s="2" t="str">
        <f t="shared" si="21"/>
        <v xml:space="preserve"> </v>
      </c>
      <c r="M323" s="2" t="str">
        <f t="shared" si="22"/>
        <v xml:space="preserve"> </v>
      </c>
    </row>
    <row r="324" spans="1:13" x14ac:dyDescent="0.25">
      <c r="A324" s="43" t="str">
        <f t="shared" si="20"/>
        <v xml:space="preserve"> </v>
      </c>
      <c r="D324" s="42"/>
      <c r="E324" s="42"/>
      <c r="J324" s="17">
        <f t="shared" si="23"/>
        <v>0</v>
      </c>
      <c r="K324" s="2" t="str">
        <f t="shared" si="24"/>
        <v xml:space="preserve"> </v>
      </c>
      <c r="L324" s="2" t="str">
        <f t="shared" si="21"/>
        <v xml:space="preserve"> </v>
      </c>
      <c r="M324" s="2" t="str">
        <f t="shared" si="22"/>
        <v xml:space="preserve"> </v>
      </c>
    </row>
    <row r="325" spans="1:13" x14ac:dyDescent="0.25">
      <c r="A325" s="43" t="str">
        <f t="shared" si="20"/>
        <v xml:space="preserve"> </v>
      </c>
      <c r="D325" s="42"/>
      <c r="E325" s="42"/>
      <c r="J325" s="17">
        <f t="shared" si="23"/>
        <v>0</v>
      </c>
      <c r="K325" s="2" t="str">
        <f t="shared" si="24"/>
        <v xml:space="preserve"> </v>
      </c>
      <c r="L325" s="2" t="str">
        <f t="shared" si="21"/>
        <v xml:space="preserve"> </v>
      </c>
      <c r="M325" s="2" t="str">
        <f t="shared" si="22"/>
        <v xml:space="preserve"> </v>
      </c>
    </row>
    <row r="326" spans="1:13" x14ac:dyDescent="0.25">
      <c r="A326" s="43" t="str">
        <f t="shared" si="20"/>
        <v xml:space="preserve"> </v>
      </c>
      <c r="D326" s="42"/>
      <c r="E326" s="42"/>
      <c r="J326" s="17">
        <f t="shared" si="23"/>
        <v>0</v>
      </c>
      <c r="K326" s="2" t="str">
        <f t="shared" si="24"/>
        <v xml:space="preserve"> </v>
      </c>
      <c r="L326" s="2" t="str">
        <f t="shared" si="21"/>
        <v xml:space="preserve"> </v>
      </c>
      <c r="M326" s="2" t="str">
        <f t="shared" si="22"/>
        <v xml:space="preserve"> </v>
      </c>
    </row>
    <row r="327" spans="1:13" x14ac:dyDescent="0.25">
      <c r="A327" s="43" t="str">
        <f t="shared" si="20"/>
        <v xml:space="preserve"> </v>
      </c>
      <c r="D327" s="42"/>
      <c r="E327" s="42"/>
      <c r="J327" s="17">
        <f t="shared" si="23"/>
        <v>0</v>
      </c>
      <c r="K327" s="2" t="str">
        <f t="shared" si="24"/>
        <v xml:space="preserve"> </v>
      </c>
      <c r="L327" s="2" t="str">
        <f t="shared" si="21"/>
        <v xml:space="preserve"> </v>
      </c>
      <c r="M327" s="2" t="str">
        <f t="shared" si="22"/>
        <v xml:space="preserve"> </v>
      </c>
    </row>
    <row r="328" spans="1:13" x14ac:dyDescent="0.25">
      <c r="A328" s="43" t="str">
        <f t="shared" si="20"/>
        <v xml:space="preserve"> </v>
      </c>
      <c r="D328" s="42"/>
      <c r="E328" s="42"/>
      <c r="J328" s="17">
        <f t="shared" si="23"/>
        <v>0</v>
      </c>
      <c r="K328" s="2" t="str">
        <f t="shared" si="24"/>
        <v xml:space="preserve"> </v>
      </c>
      <c r="L328" s="2" t="str">
        <f t="shared" si="21"/>
        <v xml:space="preserve"> </v>
      </c>
      <c r="M328" s="2" t="str">
        <f t="shared" si="22"/>
        <v xml:space="preserve"> </v>
      </c>
    </row>
    <row r="329" spans="1:13" x14ac:dyDescent="0.25">
      <c r="A329" s="43" t="str">
        <f t="shared" si="20"/>
        <v xml:space="preserve"> </v>
      </c>
      <c r="D329" s="42"/>
      <c r="E329" s="42"/>
      <c r="J329" s="17">
        <f t="shared" si="23"/>
        <v>0</v>
      </c>
      <c r="K329" s="2" t="str">
        <f t="shared" si="24"/>
        <v xml:space="preserve"> </v>
      </c>
      <c r="L329" s="2" t="str">
        <f t="shared" si="21"/>
        <v xml:space="preserve"> </v>
      </c>
      <c r="M329" s="2" t="str">
        <f t="shared" si="22"/>
        <v xml:space="preserve"> </v>
      </c>
    </row>
    <row r="330" spans="1:13" x14ac:dyDescent="0.25">
      <c r="A330" s="43" t="str">
        <f t="shared" si="20"/>
        <v xml:space="preserve"> </v>
      </c>
      <c r="D330" s="42"/>
      <c r="E330" s="42"/>
      <c r="J330" s="17">
        <f t="shared" si="23"/>
        <v>0</v>
      </c>
      <c r="K330" s="2" t="str">
        <f t="shared" si="24"/>
        <v xml:space="preserve"> </v>
      </c>
      <c r="L330" s="2" t="str">
        <f t="shared" si="21"/>
        <v xml:space="preserve"> </v>
      </c>
      <c r="M330" s="2" t="str">
        <f t="shared" si="22"/>
        <v xml:space="preserve"> </v>
      </c>
    </row>
    <row r="331" spans="1:13" x14ac:dyDescent="0.25">
      <c r="A331" s="43" t="str">
        <f t="shared" si="20"/>
        <v xml:space="preserve"> </v>
      </c>
      <c r="D331" s="42"/>
      <c r="E331" s="42"/>
      <c r="J331" s="17">
        <f t="shared" si="23"/>
        <v>0</v>
      </c>
      <c r="K331" s="2" t="str">
        <f t="shared" si="24"/>
        <v xml:space="preserve"> </v>
      </c>
      <c r="L331" s="2" t="str">
        <f t="shared" si="21"/>
        <v xml:space="preserve"> </v>
      </c>
      <c r="M331" s="2" t="str">
        <f t="shared" si="22"/>
        <v xml:space="preserve"> </v>
      </c>
    </row>
    <row r="332" spans="1:13" x14ac:dyDescent="0.25">
      <c r="A332" s="43" t="str">
        <f t="shared" si="20"/>
        <v xml:space="preserve"> </v>
      </c>
      <c r="D332" s="42"/>
      <c r="E332" s="42"/>
      <c r="J332" s="17">
        <f t="shared" si="23"/>
        <v>0</v>
      </c>
      <c r="K332" s="2" t="str">
        <f t="shared" si="24"/>
        <v xml:space="preserve"> </v>
      </c>
      <c r="L332" s="2" t="str">
        <f t="shared" si="21"/>
        <v xml:space="preserve"> </v>
      </c>
      <c r="M332" s="2" t="str">
        <f t="shared" si="22"/>
        <v xml:space="preserve"> </v>
      </c>
    </row>
    <row r="333" spans="1:13" x14ac:dyDescent="0.25">
      <c r="A333" s="43" t="str">
        <f t="shared" si="20"/>
        <v xml:space="preserve"> </v>
      </c>
      <c r="D333" s="42"/>
      <c r="E333" s="42"/>
      <c r="J333" s="17">
        <f t="shared" si="23"/>
        <v>0</v>
      </c>
      <c r="K333" s="2" t="str">
        <f t="shared" si="24"/>
        <v xml:space="preserve"> </v>
      </c>
      <c r="L333" s="2" t="str">
        <f t="shared" si="21"/>
        <v xml:space="preserve"> </v>
      </c>
      <c r="M333" s="2" t="str">
        <f t="shared" si="22"/>
        <v xml:space="preserve"> </v>
      </c>
    </row>
    <row r="334" spans="1:13" x14ac:dyDescent="0.25">
      <c r="A334" s="43" t="str">
        <f t="shared" si="20"/>
        <v xml:space="preserve"> </v>
      </c>
      <c r="D334" s="42"/>
      <c r="E334" s="42"/>
      <c r="J334" s="17">
        <f t="shared" si="23"/>
        <v>0</v>
      </c>
      <c r="K334" s="2" t="str">
        <f t="shared" si="24"/>
        <v xml:space="preserve"> </v>
      </c>
      <c r="L334" s="2" t="str">
        <f t="shared" si="21"/>
        <v xml:space="preserve"> </v>
      </c>
      <c r="M334" s="2" t="str">
        <f t="shared" si="22"/>
        <v xml:space="preserve"> </v>
      </c>
    </row>
    <row r="335" spans="1:13" x14ac:dyDescent="0.25">
      <c r="A335" s="43" t="str">
        <f t="shared" ref="A335:A398" si="25">IF(COUNTIF(K335:M335,"ERROR")&gt;0,"ERROR"," ")</f>
        <v xml:space="preserve"> </v>
      </c>
      <c r="D335" s="42"/>
      <c r="E335" s="42"/>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43" t="str">
        <f t="shared" si="25"/>
        <v xml:space="preserve"> </v>
      </c>
      <c r="D336" s="42"/>
      <c r="E336" s="42"/>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43" t="str">
        <f t="shared" si="25"/>
        <v xml:space="preserve"> </v>
      </c>
      <c r="D337" s="42"/>
      <c r="E337" s="42"/>
      <c r="J337" s="17">
        <f t="shared" si="28"/>
        <v>0</v>
      </c>
      <c r="K337" s="2" t="str">
        <f t="shared" si="29"/>
        <v xml:space="preserve"> </v>
      </c>
      <c r="L337" s="2" t="str">
        <f t="shared" si="26"/>
        <v xml:space="preserve"> </v>
      </c>
      <c r="M337" s="2" t="str">
        <f t="shared" si="27"/>
        <v xml:space="preserve"> </v>
      </c>
    </row>
    <row r="338" spans="1:13" x14ac:dyDescent="0.25">
      <c r="A338" s="43" t="str">
        <f t="shared" si="25"/>
        <v xml:space="preserve"> </v>
      </c>
      <c r="D338" s="42"/>
      <c r="E338" s="42"/>
      <c r="J338" s="17">
        <f t="shared" si="28"/>
        <v>0</v>
      </c>
      <c r="K338" s="2" t="str">
        <f t="shared" si="29"/>
        <v xml:space="preserve"> </v>
      </c>
      <c r="L338" s="2" t="str">
        <f t="shared" si="26"/>
        <v xml:space="preserve"> </v>
      </c>
      <c r="M338" s="2" t="str">
        <f t="shared" si="27"/>
        <v xml:space="preserve"> </v>
      </c>
    </row>
    <row r="339" spans="1:13" x14ac:dyDescent="0.25">
      <c r="A339" s="43" t="str">
        <f t="shared" si="25"/>
        <v xml:space="preserve"> </v>
      </c>
      <c r="D339" s="42"/>
      <c r="E339" s="42"/>
      <c r="J339" s="17">
        <f t="shared" si="28"/>
        <v>0</v>
      </c>
      <c r="K339" s="2" t="str">
        <f t="shared" si="29"/>
        <v xml:space="preserve"> </v>
      </c>
      <c r="L339" s="2" t="str">
        <f t="shared" si="26"/>
        <v xml:space="preserve"> </v>
      </c>
      <c r="M339" s="2" t="str">
        <f t="shared" si="27"/>
        <v xml:space="preserve"> </v>
      </c>
    </row>
    <row r="340" spans="1:13" x14ac:dyDescent="0.25">
      <c r="A340" s="43" t="str">
        <f t="shared" si="25"/>
        <v xml:space="preserve"> </v>
      </c>
      <c r="D340" s="42"/>
      <c r="E340" s="42"/>
      <c r="J340" s="17">
        <f t="shared" si="28"/>
        <v>0</v>
      </c>
      <c r="K340" s="2" t="str">
        <f t="shared" si="29"/>
        <v xml:space="preserve"> </v>
      </c>
      <c r="L340" s="2" t="str">
        <f t="shared" si="26"/>
        <v xml:space="preserve"> </v>
      </c>
      <c r="M340" s="2" t="str">
        <f t="shared" si="27"/>
        <v xml:space="preserve"> </v>
      </c>
    </row>
    <row r="341" spans="1:13" x14ac:dyDescent="0.25">
      <c r="A341" s="43" t="str">
        <f t="shared" si="25"/>
        <v xml:space="preserve"> </v>
      </c>
      <c r="D341" s="42"/>
      <c r="E341" s="42"/>
      <c r="J341" s="17">
        <f t="shared" si="28"/>
        <v>0</v>
      </c>
      <c r="K341" s="2" t="str">
        <f t="shared" si="29"/>
        <v xml:space="preserve"> </v>
      </c>
      <c r="L341" s="2" t="str">
        <f t="shared" si="26"/>
        <v xml:space="preserve"> </v>
      </c>
      <c r="M341" s="2" t="str">
        <f t="shared" si="27"/>
        <v xml:space="preserve"> </v>
      </c>
    </row>
    <row r="342" spans="1:13" x14ac:dyDescent="0.25">
      <c r="A342" s="43" t="str">
        <f t="shared" si="25"/>
        <v xml:space="preserve"> </v>
      </c>
      <c r="D342" s="42"/>
      <c r="E342" s="42"/>
      <c r="J342" s="17">
        <f t="shared" si="28"/>
        <v>0</v>
      </c>
      <c r="K342" s="2" t="str">
        <f t="shared" si="29"/>
        <v xml:space="preserve"> </v>
      </c>
      <c r="L342" s="2" t="str">
        <f t="shared" si="26"/>
        <v xml:space="preserve"> </v>
      </c>
      <c r="M342" s="2" t="str">
        <f t="shared" si="27"/>
        <v xml:space="preserve"> </v>
      </c>
    </row>
    <row r="343" spans="1:13" x14ac:dyDescent="0.25">
      <c r="A343" s="43" t="str">
        <f t="shared" si="25"/>
        <v xml:space="preserve"> </v>
      </c>
      <c r="D343" s="42"/>
      <c r="E343" s="42"/>
      <c r="J343" s="17">
        <f t="shared" si="28"/>
        <v>0</v>
      </c>
      <c r="K343" s="2" t="str">
        <f t="shared" si="29"/>
        <v xml:space="preserve"> </v>
      </c>
      <c r="L343" s="2" t="str">
        <f t="shared" si="26"/>
        <v xml:space="preserve"> </v>
      </c>
      <c r="M343" s="2" t="str">
        <f t="shared" si="27"/>
        <v xml:space="preserve"> </v>
      </c>
    </row>
    <row r="344" spans="1:13" x14ac:dyDescent="0.25">
      <c r="A344" s="43" t="str">
        <f t="shared" si="25"/>
        <v xml:space="preserve"> </v>
      </c>
      <c r="D344" s="42"/>
      <c r="E344" s="42"/>
      <c r="J344" s="17">
        <f t="shared" si="28"/>
        <v>0</v>
      </c>
      <c r="K344" s="2" t="str">
        <f t="shared" si="29"/>
        <v xml:space="preserve"> </v>
      </c>
      <c r="L344" s="2" t="str">
        <f t="shared" si="26"/>
        <v xml:space="preserve"> </v>
      </c>
      <c r="M344" s="2" t="str">
        <f t="shared" si="27"/>
        <v xml:space="preserve"> </v>
      </c>
    </row>
    <row r="345" spans="1:13" x14ac:dyDescent="0.25">
      <c r="A345" s="43" t="str">
        <f t="shared" si="25"/>
        <v xml:space="preserve"> </v>
      </c>
      <c r="D345" s="42"/>
      <c r="E345" s="42"/>
      <c r="J345" s="17">
        <f t="shared" si="28"/>
        <v>0</v>
      </c>
      <c r="K345" s="2" t="str">
        <f t="shared" si="29"/>
        <v xml:space="preserve"> </v>
      </c>
      <c r="L345" s="2" t="str">
        <f t="shared" si="26"/>
        <v xml:space="preserve"> </v>
      </c>
      <c r="M345" s="2" t="str">
        <f t="shared" si="27"/>
        <v xml:space="preserve"> </v>
      </c>
    </row>
    <row r="346" spans="1:13" x14ac:dyDescent="0.25">
      <c r="A346" s="43" t="str">
        <f t="shared" si="25"/>
        <v xml:space="preserve"> </v>
      </c>
      <c r="D346" s="42"/>
      <c r="E346" s="42"/>
      <c r="J346" s="17">
        <f t="shared" si="28"/>
        <v>0</v>
      </c>
      <c r="K346" s="2" t="str">
        <f t="shared" si="29"/>
        <v xml:space="preserve"> </v>
      </c>
      <c r="L346" s="2" t="str">
        <f t="shared" si="26"/>
        <v xml:space="preserve"> </v>
      </c>
      <c r="M346" s="2" t="str">
        <f t="shared" si="27"/>
        <v xml:space="preserve"> </v>
      </c>
    </row>
    <row r="347" spans="1:13" x14ac:dyDescent="0.25">
      <c r="A347" s="43" t="str">
        <f t="shared" si="25"/>
        <v xml:space="preserve"> </v>
      </c>
      <c r="D347" s="42"/>
      <c r="E347" s="42"/>
      <c r="J347" s="17">
        <f t="shared" si="28"/>
        <v>0</v>
      </c>
      <c r="K347" s="2" t="str">
        <f t="shared" si="29"/>
        <v xml:space="preserve"> </v>
      </c>
      <c r="L347" s="2" t="str">
        <f t="shared" si="26"/>
        <v xml:space="preserve"> </v>
      </c>
      <c r="M347" s="2" t="str">
        <f t="shared" si="27"/>
        <v xml:space="preserve"> </v>
      </c>
    </row>
    <row r="348" spans="1:13" x14ac:dyDescent="0.25">
      <c r="A348" s="43" t="str">
        <f t="shared" si="25"/>
        <v xml:space="preserve"> </v>
      </c>
      <c r="D348" s="42"/>
      <c r="E348" s="42"/>
      <c r="J348" s="17">
        <f t="shared" si="28"/>
        <v>0</v>
      </c>
      <c r="K348" s="2" t="str">
        <f t="shared" si="29"/>
        <v xml:space="preserve"> </v>
      </c>
      <c r="L348" s="2" t="str">
        <f t="shared" si="26"/>
        <v xml:space="preserve"> </v>
      </c>
      <c r="M348" s="2" t="str">
        <f t="shared" si="27"/>
        <v xml:space="preserve"> </v>
      </c>
    </row>
    <row r="349" spans="1:13" x14ac:dyDescent="0.25">
      <c r="A349" s="43" t="str">
        <f t="shared" si="25"/>
        <v xml:space="preserve"> </v>
      </c>
      <c r="D349" s="42"/>
      <c r="E349" s="42"/>
      <c r="J349" s="17">
        <f t="shared" si="28"/>
        <v>0</v>
      </c>
      <c r="K349" s="2" t="str">
        <f t="shared" si="29"/>
        <v xml:space="preserve"> </v>
      </c>
      <c r="L349" s="2" t="str">
        <f t="shared" si="26"/>
        <v xml:space="preserve"> </v>
      </c>
      <c r="M349" s="2" t="str">
        <f t="shared" si="27"/>
        <v xml:space="preserve"> </v>
      </c>
    </row>
    <row r="350" spans="1:13" x14ac:dyDescent="0.25">
      <c r="A350" s="43" t="str">
        <f t="shared" si="25"/>
        <v xml:space="preserve"> </v>
      </c>
      <c r="D350" s="42"/>
      <c r="E350" s="42"/>
      <c r="J350" s="17">
        <f t="shared" si="28"/>
        <v>0</v>
      </c>
      <c r="K350" s="2" t="str">
        <f t="shared" si="29"/>
        <v xml:space="preserve"> </v>
      </c>
      <c r="L350" s="2" t="str">
        <f t="shared" si="26"/>
        <v xml:space="preserve"> </v>
      </c>
      <c r="M350" s="2" t="str">
        <f t="shared" si="27"/>
        <v xml:space="preserve"> </v>
      </c>
    </row>
    <row r="351" spans="1:13" x14ac:dyDescent="0.25">
      <c r="A351" s="43" t="str">
        <f t="shared" si="25"/>
        <v xml:space="preserve"> </v>
      </c>
      <c r="D351" s="42"/>
      <c r="E351" s="42"/>
      <c r="J351" s="17">
        <f t="shared" si="28"/>
        <v>0</v>
      </c>
      <c r="K351" s="2" t="str">
        <f t="shared" si="29"/>
        <v xml:space="preserve"> </v>
      </c>
      <c r="L351" s="2" t="str">
        <f t="shared" si="26"/>
        <v xml:space="preserve"> </v>
      </c>
      <c r="M351" s="2" t="str">
        <f t="shared" si="27"/>
        <v xml:space="preserve"> </v>
      </c>
    </row>
    <row r="352" spans="1:13" x14ac:dyDescent="0.25">
      <c r="A352" s="43" t="str">
        <f t="shared" si="25"/>
        <v xml:space="preserve"> </v>
      </c>
      <c r="D352" s="42"/>
      <c r="E352" s="42"/>
      <c r="J352" s="17">
        <f t="shared" si="28"/>
        <v>0</v>
      </c>
      <c r="K352" s="2" t="str">
        <f t="shared" si="29"/>
        <v xml:space="preserve"> </v>
      </c>
      <c r="L352" s="2" t="str">
        <f t="shared" si="26"/>
        <v xml:space="preserve"> </v>
      </c>
      <c r="M352" s="2" t="str">
        <f t="shared" si="27"/>
        <v xml:space="preserve"> </v>
      </c>
    </row>
    <row r="353" spans="1:13" x14ac:dyDescent="0.25">
      <c r="A353" s="43" t="str">
        <f t="shared" si="25"/>
        <v xml:space="preserve"> </v>
      </c>
      <c r="D353" s="42"/>
      <c r="E353" s="42"/>
      <c r="J353" s="17">
        <f t="shared" si="28"/>
        <v>0</v>
      </c>
      <c r="K353" s="2" t="str">
        <f t="shared" si="29"/>
        <v xml:space="preserve"> </v>
      </c>
      <c r="L353" s="2" t="str">
        <f t="shared" si="26"/>
        <v xml:space="preserve"> </v>
      </c>
      <c r="M353" s="2" t="str">
        <f t="shared" si="27"/>
        <v xml:space="preserve"> </v>
      </c>
    </row>
    <row r="354" spans="1:13" x14ac:dyDescent="0.25">
      <c r="A354" s="43" t="str">
        <f t="shared" si="25"/>
        <v xml:space="preserve"> </v>
      </c>
      <c r="D354" s="42"/>
      <c r="E354" s="42"/>
      <c r="J354" s="17">
        <f t="shared" si="28"/>
        <v>0</v>
      </c>
      <c r="K354" s="2" t="str">
        <f t="shared" si="29"/>
        <v xml:space="preserve"> </v>
      </c>
      <c r="L354" s="2" t="str">
        <f t="shared" si="26"/>
        <v xml:space="preserve"> </v>
      </c>
      <c r="M354" s="2" t="str">
        <f t="shared" si="27"/>
        <v xml:space="preserve"> </v>
      </c>
    </row>
    <row r="355" spans="1:13" x14ac:dyDescent="0.25">
      <c r="A355" s="43" t="str">
        <f t="shared" si="25"/>
        <v xml:space="preserve"> </v>
      </c>
      <c r="D355" s="42"/>
      <c r="E355" s="42"/>
      <c r="J355" s="17">
        <f t="shared" si="28"/>
        <v>0</v>
      </c>
      <c r="K355" s="2" t="str">
        <f t="shared" si="29"/>
        <v xml:space="preserve"> </v>
      </c>
      <c r="L355" s="2" t="str">
        <f t="shared" si="26"/>
        <v xml:space="preserve"> </v>
      </c>
      <c r="M355" s="2" t="str">
        <f t="shared" si="27"/>
        <v xml:space="preserve"> </v>
      </c>
    </row>
    <row r="356" spans="1:13" x14ac:dyDescent="0.25">
      <c r="A356" s="43" t="str">
        <f t="shared" si="25"/>
        <v xml:space="preserve"> </v>
      </c>
      <c r="D356" s="42"/>
      <c r="E356" s="42"/>
      <c r="J356" s="17">
        <f t="shared" si="28"/>
        <v>0</v>
      </c>
      <c r="K356" s="2" t="str">
        <f t="shared" si="29"/>
        <v xml:space="preserve"> </v>
      </c>
      <c r="L356" s="2" t="str">
        <f t="shared" si="26"/>
        <v xml:space="preserve"> </v>
      </c>
      <c r="M356" s="2" t="str">
        <f t="shared" si="27"/>
        <v xml:space="preserve"> </v>
      </c>
    </row>
    <row r="357" spans="1:13" x14ac:dyDescent="0.25">
      <c r="A357" s="43" t="str">
        <f t="shared" si="25"/>
        <v xml:space="preserve"> </v>
      </c>
      <c r="D357" s="42"/>
      <c r="E357" s="42"/>
      <c r="J357" s="17">
        <f t="shared" si="28"/>
        <v>0</v>
      </c>
      <c r="K357" s="2" t="str">
        <f t="shared" si="29"/>
        <v xml:space="preserve"> </v>
      </c>
      <c r="L357" s="2" t="str">
        <f t="shared" si="26"/>
        <v xml:space="preserve"> </v>
      </c>
      <c r="M357" s="2" t="str">
        <f t="shared" si="27"/>
        <v xml:space="preserve"> </v>
      </c>
    </row>
    <row r="358" spans="1:13" x14ac:dyDescent="0.25">
      <c r="A358" s="43" t="str">
        <f t="shared" si="25"/>
        <v xml:space="preserve"> </v>
      </c>
      <c r="D358" s="42"/>
      <c r="E358" s="42"/>
      <c r="J358" s="17">
        <f t="shared" si="28"/>
        <v>0</v>
      </c>
      <c r="K358" s="2" t="str">
        <f t="shared" si="29"/>
        <v xml:space="preserve"> </v>
      </c>
      <c r="L358" s="2" t="str">
        <f t="shared" si="26"/>
        <v xml:space="preserve"> </v>
      </c>
      <c r="M358" s="2" t="str">
        <f t="shared" si="27"/>
        <v xml:space="preserve"> </v>
      </c>
    </row>
    <row r="359" spans="1:13" x14ac:dyDescent="0.25">
      <c r="A359" s="43" t="str">
        <f t="shared" si="25"/>
        <v xml:space="preserve"> </v>
      </c>
      <c r="D359" s="42"/>
      <c r="E359" s="42"/>
      <c r="J359" s="17">
        <f t="shared" si="28"/>
        <v>0</v>
      </c>
      <c r="K359" s="2" t="str">
        <f t="shared" si="29"/>
        <v xml:space="preserve"> </v>
      </c>
      <c r="L359" s="2" t="str">
        <f t="shared" si="26"/>
        <v xml:space="preserve"> </v>
      </c>
      <c r="M359" s="2" t="str">
        <f t="shared" si="27"/>
        <v xml:space="preserve"> </v>
      </c>
    </row>
    <row r="360" spans="1:13" x14ac:dyDescent="0.25">
      <c r="A360" s="43" t="str">
        <f t="shared" si="25"/>
        <v xml:space="preserve"> </v>
      </c>
      <c r="D360" s="42"/>
      <c r="E360" s="42"/>
      <c r="J360" s="17">
        <f t="shared" si="28"/>
        <v>0</v>
      </c>
      <c r="K360" s="2" t="str">
        <f t="shared" si="29"/>
        <v xml:space="preserve"> </v>
      </c>
      <c r="L360" s="2" t="str">
        <f t="shared" si="26"/>
        <v xml:space="preserve"> </v>
      </c>
      <c r="M360" s="2" t="str">
        <f t="shared" si="27"/>
        <v xml:space="preserve"> </v>
      </c>
    </row>
    <row r="361" spans="1:13" x14ac:dyDescent="0.25">
      <c r="A361" s="43" t="str">
        <f t="shared" si="25"/>
        <v xml:space="preserve"> </v>
      </c>
      <c r="D361" s="42"/>
      <c r="E361" s="42"/>
      <c r="J361" s="17">
        <f t="shared" si="28"/>
        <v>0</v>
      </c>
      <c r="K361" s="2" t="str">
        <f t="shared" si="29"/>
        <v xml:space="preserve"> </v>
      </c>
      <c r="L361" s="2" t="str">
        <f t="shared" si="26"/>
        <v xml:space="preserve"> </v>
      </c>
      <c r="M361" s="2" t="str">
        <f t="shared" si="27"/>
        <v xml:space="preserve"> </v>
      </c>
    </row>
    <row r="362" spans="1:13" x14ac:dyDescent="0.25">
      <c r="A362" s="43" t="str">
        <f t="shared" si="25"/>
        <v xml:space="preserve"> </v>
      </c>
      <c r="D362" s="42"/>
      <c r="E362" s="42"/>
      <c r="J362" s="17">
        <f t="shared" si="28"/>
        <v>0</v>
      </c>
      <c r="K362" s="2" t="str">
        <f t="shared" si="29"/>
        <v xml:space="preserve"> </v>
      </c>
      <c r="L362" s="2" t="str">
        <f t="shared" si="26"/>
        <v xml:space="preserve"> </v>
      </c>
      <c r="M362" s="2" t="str">
        <f t="shared" si="27"/>
        <v xml:space="preserve"> </v>
      </c>
    </row>
    <row r="363" spans="1:13" x14ac:dyDescent="0.25">
      <c r="A363" s="43" t="str">
        <f t="shared" si="25"/>
        <v xml:space="preserve"> </v>
      </c>
      <c r="D363" s="42"/>
      <c r="E363" s="42"/>
      <c r="J363" s="17">
        <f t="shared" si="28"/>
        <v>0</v>
      </c>
      <c r="K363" s="2" t="str">
        <f t="shared" si="29"/>
        <v xml:space="preserve"> </v>
      </c>
      <c r="L363" s="2" t="str">
        <f t="shared" si="26"/>
        <v xml:space="preserve"> </v>
      </c>
      <c r="M363" s="2" t="str">
        <f t="shared" si="27"/>
        <v xml:space="preserve"> </v>
      </c>
    </row>
    <row r="364" spans="1:13" x14ac:dyDescent="0.25">
      <c r="A364" s="43" t="str">
        <f t="shared" si="25"/>
        <v xml:space="preserve"> </v>
      </c>
      <c r="D364" s="42"/>
      <c r="E364" s="42"/>
      <c r="J364" s="17">
        <f t="shared" si="28"/>
        <v>0</v>
      </c>
      <c r="K364" s="2" t="str">
        <f t="shared" si="29"/>
        <v xml:space="preserve"> </v>
      </c>
      <c r="L364" s="2" t="str">
        <f t="shared" si="26"/>
        <v xml:space="preserve"> </v>
      </c>
      <c r="M364" s="2" t="str">
        <f t="shared" si="27"/>
        <v xml:space="preserve"> </v>
      </c>
    </row>
    <row r="365" spans="1:13" x14ac:dyDescent="0.25">
      <c r="A365" s="43" t="str">
        <f t="shared" si="25"/>
        <v xml:space="preserve"> </v>
      </c>
      <c r="D365" s="42"/>
      <c r="E365" s="42"/>
      <c r="J365" s="17">
        <f t="shared" si="28"/>
        <v>0</v>
      </c>
      <c r="K365" s="2" t="str">
        <f t="shared" si="29"/>
        <v xml:space="preserve"> </v>
      </c>
      <c r="L365" s="2" t="str">
        <f t="shared" si="26"/>
        <v xml:space="preserve"> </v>
      </c>
      <c r="M365" s="2" t="str">
        <f t="shared" si="27"/>
        <v xml:space="preserve"> </v>
      </c>
    </row>
    <row r="366" spans="1:13" x14ac:dyDescent="0.25">
      <c r="A366" s="43" t="str">
        <f t="shared" si="25"/>
        <v xml:space="preserve"> </v>
      </c>
      <c r="D366" s="42"/>
      <c r="E366" s="42"/>
      <c r="J366" s="17">
        <f t="shared" si="28"/>
        <v>0</v>
      </c>
      <c r="K366" s="2" t="str">
        <f t="shared" si="29"/>
        <v xml:space="preserve"> </v>
      </c>
      <c r="L366" s="2" t="str">
        <f t="shared" si="26"/>
        <v xml:space="preserve"> </v>
      </c>
      <c r="M366" s="2" t="str">
        <f t="shared" si="27"/>
        <v xml:space="preserve"> </v>
      </c>
    </row>
    <row r="367" spans="1:13" x14ac:dyDescent="0.25">
      <c r="A367" s="43" t="str">
        <f t="shared" si="25"/>
        <v xml:space="preserve"> </v>
      </c>
      <c r="D367" s="42"/>
      <c r="E367" s="42"/>
      <c r="J367" s="17">
        <f t="shared" si="28"/>
        <v>0</v>
      </c>
      <c r="K367" s="2" t="str">
        <f t="shared" si="29"/>
        <v xml:space="preserve"> </v>
      </c>
      <c r="L367" s="2" t="str">
        <f t="shared" si="26"/>
        <v xml:space="preserve"> </v>
      </c>
      <c r="M367" s="2" t="str">
        <f t="shared" si="27"/>
        <v xml:space="preserve"> </v>
      </c>
    </row>
    <row r="368" spans="1:13" x14ac:dyDescent="0.25">
      <c r="A368" s="43" t="str">
        <f t="shared" si="25"/>
        <v xml:space="preserve"> </v>
      </c>
      <c r="D368" s="42"/>
      <c r="E368" s="42"/>
      <c r="J368" s="17">
        <f t="shared" si="28"/>
        <v>0</v>
      </c>
      <c r="K368" s="2" t="str">
        <f t="shared" si="29"/>
        <v xml:space="preserve"> </v>
      </c>
      <c r="L368" s="2" t="str">
        <f t="shared" si="26"/>
        <v xml:space="preserve"> </v>
      </c>
      <c r="M368" s="2" t="str">
        <f t="shared" si="27"/>
        <v xml:space="preserve"> </v>
      </c>
    </row>
    <row r="369" spans="1:13" x14ac:dyDescent="0.25">
      <c r="A369" s="43" t="str">
        <f t="shared" si="25"/>
        <v xml:space="preserve"> </v>
      </c>
      <c r="D369" s="42"/>
      <c r="E369" s="42"/>
      <c r="J369" s="17">
        <f t="shared" si="28"/>
        <v>0</v>
      </c>
      <c r="K369" s="2" t="str">
        <f t="shared" si="29"/>
        <v xml:space="preserve"> </v>
      </c>
      <c r="L369" s="2" t="str">
        <f t="shared" si="26"/>
        <v xml:space="preserve"> </v>
      </c>
      <c r="M369" s="2" t="str">
        <f t="shared" si="27"/>
        <v xml:space="preserve"> </v>
      </c>
    </row>
    <row r="370" spans="1:13" x14ac:dyDescent="0.25">
      <c r="A370" s="43" t="str">
        <f t="shared" si="25"/>
        <v xml:space="preserve"> </v>
      </c>
      <c r="D370" s="42"/>
      <c r="E370" s="42"/>
      <c r="J370" s="17">
        <f t="shared" si="28"/>
        <v>0</v>
      </c>
      <c r="K370" s="2" t="str">
        <f t="shared" si="29"/>
        <v xml:space="preserve"> </v>
      </c>
      <c r="L370" s="2" t="str">
        <f t="shared" si="26"/>
        <v xml:space="preserve"> </v>
      </c>
      <c r="M370" s="2" t="str">
        <f t="shared" si="27"/>
        <v xml:space="preserve"> </v>
      </c>
    </row>
    <row r="371" spans="1:13" x14ac:dyDescent="0.25">
      <c r="A371" s="43" t="str">
        <f t="shared" si="25"/>
        <v xml:space="preserve"> </v>
      </c>
      <c r="D371" s="42"/>
      <c r="E371" s="42"/>
      <c r="J371" s="17">
        <f t="shared" si="28"/>
        <v>0</v>
      </c>
      <c r="K371" s="2" t="str">
        <f t="shared" si="29"/>
        <v xml:space="preserve"> </v>
      </c>
      <c r="L371" s="2" t="str">
        <f t="shared" si="26"/>
        <v xml:space="preserve"> </v>
      </c>
      <c r="M371" s="2" t="str">
        <f t="shared" si="27"/>
        <v xml:space="preserve"> </v>
      </c>
    </row>
    <row r="372" spans="1:13" x14ac:dyDescent="0.25">
      <c r="A372" s="43" t="str">
        <f t="shared" si="25"/>
        <v xml:space="preserve"> </v>
      </c>
      <c r="D372" s="42"/>
      <c r="E372" s="42"/>
      <c r="J372" s="17">
        <f t="shared" si="28"/>
        <v>0</v>
      </c>
      <c r="K372" s="2" t="str">
        <f t="shared" si="29"/>
        <v xml:space="preserve"> </v>
      </c>
      <c r="L372" s="2" t="str">
        <f t="shared" si="26"/>
        <v xml:space="preserve"> </v>
      </c>
      <c r="M372" s="2" t="str">
        <f t="shared" si="27"/>
        <v xml:space="preserve"> </v>
      </c>
    </row>
    <row r="373" spans="1:13" x14ac:dyDescent="0.25">
      <c r="A373" s="43" t="str">
        <f t="shared" si="25"/>
        <v xml:space="preserve"> </v>
      </c>
      <c r="D373" s="42"/>
      <c r="E373" s="42"/>
      <c r="J373" s="17">
        <f t="shared" si="28"/>
        <v>0</v>
      </c>
      <c r="K373" s="2" t="str">
        <f t="shared" si="29"/>
        <v xml:space="preserve"> </v>
      </c>
      <c r="L373" s="2" t="str">
        <f t="shared" si="26"/>
        <v xml:space="preserve"> </v>
      </c>
      <c r="M373" s="2" t="str">
        <f t="shared" si="27"/>
        <v xml:space="preserve"> </v>
      </c>
    </row>
    <row r="374" spans="1:13" x14ac:dyDescent="0.25">
      <c r="A374" s="43" t="str">
        <f t="shared" si="25"/>
        <v xml:space="preserve"> </v>
      </c>
      <c r="D374" s="42"/>
      <c r="E374" s="42"/>
      <c r="J374" s="17">
        <f t="shared" si="28"/>
        <v>0</v>
      </c>
      <c r="K374" s="2" t="str">
        <f t="shared" si="29"/>
        <v xml:space="preserve"> </v>
      </c>
      <c r="L374" s="2" t="str">
        <f t="shared" si="26"/>
        <v xml:space="preserve"> </v>
      </c>
      <c r="M374" s="2" t="str">
        <f t="shared" si="27"/>
        <v xml:space="preserve"> </v>
      </c>
    </row>
    <row r="375" spans="1:13" x14ac:dyDescent="0.25">
      <c r="A375" s="43" t="str">
        <f t="shared" si="25"/>
        <v xml:space="preserve"> </v>
      </c>
      <c r="D375" s="42"/>
      <c r="E375" s="42"/>
      <c r="J375" s="17">
        <f t="shared" si="28"/>
        <v>0</v>
      </c>
      <c r="K375" s="2" t="str">
        <f t="shared" si="29"/>
        <v xml:space="preserve"> </v>
      </c>
      <c r="L375" s="2" t="str">
        <f t="shared" si="26"/>
        <v xml:space="preserve"> </v>
      </c>
      <c r="M375" s="2" t="str">
        <f t="shared" si="27"/>
        <v xml:space="preserve"> </v>
      </c>
    </row>
    <row r="376" spans="1:13" x14ac:dyDescent="0.25">
      <c r="A376" s="43" t="str">
        <f t="shared" si="25"/>
        <v xml:space="preserve"> </v>
      </c>
      <c r="D376" s="42"/>
      <c r="E376" s="42"/>
      <c r="J376" s="17">
        <f t="shared" si="28"/>
        <v>0</v>
      </c>
      <c r="K376" s="2" t="str">
        <f t="shared" si="29"/>
        <v xml:space="preserve"> </v>
      </c>
      <c r="L376" s="2" t="str">
        <f t="shared" si="26"/>
        <v xml:space="preserve"> </v>
      </c>
      <c r="M376" s="2" t="str">
        <f t="shared" si="27"/>
        <v xml:space="preserve"> </v>
      </c>
    </row>
    <row r="377" spans="1:13" x14ac:dyDescent="0.25">
      <c r="A377" s="43" t="str">
        <f t="shared" si="25"/>
        <v xml:space="preserve"> </v>
      </c>
      <c r="D377" s="42"/>
      <c r="E377" s="42"/>
      <c r="J377" s="17">
        <f t="shared" si="28"/>
        <v>0</v>
      </c>
      <c r="K377" s="2" t="str">
        <f t="shared" si="29"/>
        <v xml:space="preserve"> </v>
      </c>
      <c r="L377" s="2" t="str">
        <f t="shared" si="26"/>
        <v xml:space="preserve"> </v>
      </c>
      <c r="M377" s="2" t="str">
        <f t="shared" si="27"/>
        <v xml:space="preserve"> </v>
      </c>
    </row>
    <row r="378" spans="1:13" x14ac:dyDescent="0.25">
      <c r="A378" s="43" t="str">
        <f t="shared" si="25"/>
        <v xml:space="preserve"> </v>
      </c>
      <c r="D378" s="42"/>
      <c r="E378" s="42"/>
      <c r="J378" s="17">
        <f t="shared" si="28"/>
        <v>0</v>
      </c>
      <c r="K378" s="2" t="str">
        <f t="shared" si="29"/>
        <v xml:space="preserve"> </v>
      </c>
      <c r="L378" s="2" t="str">
        <f t="shared" si="26"/>
        <v xml:space="preserve"> </v>
      </c>
      <c r="M378" s="2" t="str">
        <f t="shared" si="27"/>
        <v xml:space="preserve"> </v>
      </c>
    </row>
    <row r="379" spans="1:13" x14ac:dyDescent="0.25">
      <c r="A379" s="43" t="str">
        <f t="shared" si="25"/>
        <v xml:space="preserve"> </v>
      </c>
      <c r="D379" s="42"/>
      <c r="E379" s="42"/>
      <c r="J379" s="17">
        <f t="shared" si="28"/>
        <v>0</v>
      </c>
      <c r="K379" s="2" t="str">
        <f t="shared" si="29"/>
        <v xml:space="preserve"> </v>
      </c>
      <c r="L379" s="2" t="str">
        <f t="shared" si="26"/>
        <v xml:space="preserve"> </v>
      </c>
      <c r="M379" s="2" t="str">
        <f t="shared" si="27"/>
        <v xml:space="preserve"> </v>
      </c>
    </row>
    <row r="380" spans="1:13" x14ac:dyDescent="0.25">
      <c r="A380" s="43" t="str">
        <f t="shared" si="25"/>
        <v xml:space="preserve"> </v>
      </c>
      <c r="D380" s="42"/>
      <c r="E380" s="42"/>
      <c r="J380" s="17">
        <f t="shared" si="28"/>
        <v>0</v>
      </c>
      <c r="K380" s="2" t="str">
        <f t="shared" si="29"/>
        <v xml:space="preserve"> </v>
      </c>
      <c r="L380" s="2" t="str">
        <f t="shared" si="26"/>
        <v xml:space="preserve"> </v>
      </c>
      <c r="M380" s="2" t="str">
        <f t="shared" si="27"/>
        <v xml:space="preserve"> </v>
      </c>
    </row>
    <row r="381" spans="1:13" x14ac:dyDescent="0.25">
      <c r="A381" s="43" t="str">
        <f t="shared" si="25"/>
        <v xml:space="preserve"> </v>
      </c>
      <c r="D381" s="42"/>
      <c r="E381" s="42"/>
      <c r="J381" s="17">
        <f t="shared" si="28"/>
        <v>0</v>
      </c>
      <c r="K381" s="2" t="str">
        <f t="shared" si="29"/>
        <v xml:space="preserve"> </v>
      </c>
      <c r="L381" s="2" t="str">
        <f t="shared" si="26"/>
        <v xml:space="preserve"> </v>
      </c>
      <c r="M381" s="2" t="str">
        <f t="shared" si="27"/>
        <v xml:space="preserve"> </v>
      </c>
    </row>
    <row r="382" spans="1:13" x14ac:dyDescent="0.25">
      <c r="A382" s="43" t="str">
        <f t="shared" si="25"/>
        <v xml:space="preserve"> </v>
      </c>
      <c r="D382" s="42"/>
      <c r="E382" s="42"/>
      <c r="J382" s="17">
        <f t="shared" si="28"/>
        <v>0</v>
      </c>
      <c r="K382" s="2" t="str">
        <f t="shared" si="29"/>
        <v xml:space="preserve"> </v>
      </c>
      <c r="L382" s="2" t="str">
        <f t="shared" si="26"/>
        <v xml:space="preserve"> </v>
      </c>
      <c r="M382" s="2" t="str">
        <f t="shared" si="27"/>
        <v xml:space="preserve"> </v>
      </c>
    </row>
    <row r="383" spans="1:13" x14ac:dyDescent="0.25">
      <c r="A383" s="43" t="str">
        <f t="shared" si="25"/>
        <v xml:space="preserve"> </v>
      </c>
      <c r="D383" s="42"/>
      <c r="E383" s="42"/>
      <c r="J383" s="17">
        <f t="shared" si="28"/>
        <v>0</v>
      </c>
      <c r="K383" s="2" t="str">
        <f t="shared" si="29"/>
        <v xml:space="preserve"> </v>
      </c>
      <c r="L383" s="2" t="str">
        <f t="shared" si="26"/>
        <v xml:space="preserve"> </v>
      </c>
      <c r="M383" s="2" t="str">
        <f t="shared" si="27"/>
        <v xml:space="preserve"> </v>
      </c>
    </row>
    <row r="384" spans="1:13" x14ac:dyDescent="0.25">
      <c r="A384" s="43" t="str">
        <f t="shared" si="25"/>
        <v xml:space="preserve"> </v>
      </c>
      <c r="D384" s="42"/>
      <c r="E384" s="42"/>
      <c r="J384" s="17">
        <f t="shared" si="28"/>
        <v>0</v>
      </c>
      <c r="K384" s="2" t="str">
        <f t="shared" si="29"/>
        <v xml:space="preserve"> </v>
      </c>
      <c r="L384" s="2" t="str">
        <f t="shared" si="26"/>
        <v xml:space="preserve"> </v>
      </c>
      <c r="M384" s="2" t="str">
        <f t="shared" si="27"/>
        <v xml:space="preserve"> </v>
      </c>
    </row>
    <row r="385" spans="1:13" x14ac:dyDescent="0.25">
      <c r="A385" s="43" t="str">
        <f t="shared" si="25"/>
        <v xml:space="preserve"> </v>
      </c>
      <c r="D385" s="42"/>
      <c r="E385" s="42"/>
      <c r="J385" s="17">
        <f t="shared" si="28"/>
        <v>0</v>
      </c>
      <c r="K385" s="2" t="str">
        <f t="shared" si="29"/>
        <v xml:space="preserve"> </v>
      </c>
      <c r="L385" s="2" t="str">
        <f t="shared" si="26"/>
        <v xml:space="preserve"> </v>
      </c>
      <c r="M385" s="2" t="str">
        <f t="shared" si="27"/>
        <v xml:space="preserve"> </v>
      </c>
    </row>
    <row r="386" spans="1:13" x14ac:dyDescent="0.25">
      <c r="A386" s="43" t="str">
        <f t="shared" si="25"/>
        <v xml:space="preserve"> </v>
      </c>
      <c r="D386" s="42"/>
      <c r="E386" s="42"/>
      <c r="J386" s="17">
        <f t="shared" si="28"/>
        <v>0</v>
      </c>
      <c r="K386" s="2" t="str">
        <f t="shared" si="29"/>
        <v xml:space="preserve"> </v>
      </c>
      <c r="L386" s="2" t="str">
        <f t="shared" si="26"/>
        <v xml:space="preserve"> </v>
      </c>
      <c r="M386" s="2" t="str">
        <f t="shared" si="27"/>
        <v xml:space="preserve"> </v>
      </c>
    </row>
    <row r="387" spans="1:13" x14ac:dyDescent="0.25">
      <c r="A387" s="43" t="str">
        <f t="shared" si="25"/>
        <v xml:space="preserve"> </v>
      </c>
      <c r="D387" s="42"/>
      <c r="E387" s="42"/>
      <c r="J387" s="17">
        <f t="shared" si="28"/>
        <v>0</v>
      </c>
      <c r="K387" s="2" t="str">
        <f t="shared" si="29"/>
        <v xml:space="preserve"> </v>
      </c>
      <c r="L387" s="2" t="str">
        <f t="shared" si="26"/>
        <v xml:space="preserve"> </v>
      </c>
      <c r="M387" s="2" t="str">
        <f t="shared" si="27"/>
        <v xml:space="preserve"> </v>
      </c>
    </row>
    <row r="388" spans="1:13" x14ac:dyDescent="0.25">
      <c r="A388" s="43" t="str">
        <f t="shared" si="25"/>
        <v xml:space="preserve"> </v>
      </c>
      <c r="D388" s="42"/>
      <c r="E388" s="42"/>
      <c r="J388" s="17">
        <f t="shared" si="28"/>
        <v>0</v>
      </c>
      <c r="K388" s="2" t="str">
        <f t="shared" si="29"/>
        <v xml:space="preserve"> </v>
      </c>
      <c r="L388" s="2" t="str">
        <f t="shared" si="26"/>
        <v xml:space="preserve"> </v>
      </c>
      <c r="M388" s="2" t="str">
        <f t="shared" si="27"/>
        <v xml:space="preserve"> </v>
      </c>
    </row>
    <row r="389" spans="1:13" x14ac:dyDescent="0.25">
      <c r="A389" s="43" t="str">
        <f t="shared" si="25"/>
        <v xml:space="preserve"> </v>
      </c>
      <c r="D389" s="42"/>
      <c r="E389" s="42"/>
      <c r="J389" s="17">
        <f t="shared" si="28"/>
        <v>0</v>
      </c>
      <c r="K389" s="2" t="str">
        <f t="shared" si="29"/>
        <v xml:space="preserve"> </v>
      </c>
      <c r="L389" s="2" t="str">
        <f t="shared" si="26"/>
        <v xml:space="preserve"> </v>
      </c>
      <c r="M389" s="2" t="str">
        <f t="shared" si="27"/>
        <v xml:space="preserve"> </v>
      </c>
    </row>
    <row r="390" spans="1:13" x14ac:dyDescent="0.25">
      <c r="A390" s="43" t="str">
        <f t="shared" si="25"/>
        <v xml:space="preserve"> </v>
      </c>
      <c r="D390" s="42"/>
      <c r="E390" s="42"/>
      <c r="J390" s="17">
        <f t="shared" si="28"/>
        <v>0</v>
      </c>
      <c r="K390" s="2" t="str">
        <f t="shared" si="29"/>
        <v xml:space="preserve"> </v>
      </c>
      <c r="L390" s="2" t="str">
        <f t="shared" si="26"/>
        <v xml:space="preserve"> </v>
      </c>
      <c r="M390" s="2" t="str">
        <f t="shared" si="27"/>
        <v xml:space="preserve"> </v>
      </c>
    </row>
    <row r="391" spans="1:13" x14ac:dyDescent="0.25">
      <c r="A391" s="43" t="str">
        <f t="shared" si="25"/>
        <v xml:space="preserve"> </v>
      </c>
      <c r="D391" s="42"/>
      <c r="E391" s="42"/>
      <c r="J391" s="17">
        <f t="shared" si="28"/>
        <v>0</v>
      </c>
      <c r="K391" s="2" t="str">
        <f t="shared" si="29"/>
        <v xml:space="preserve"> </v>
      </c>
      <c r="L391" s="2" t="str">
        <f t="shared" si="26"/>
        <v xml:space="preserve"> </v>
      </c>
      <c r="M391" s="2" t="str">
        <f t="shared" si="27"/>
        <v xml:space="preserve"> </v>
      </c>
    </row>
    <row r="392" spans="1:13" x14ac:dyDescent="0.25">
      <c r="A392" s="43" t="str">
        <f t="shared" si="25"/>
        <v xml:space="preserve"> </v>
      </c>
      <c r="D392" s="42"/>
      <c r="E392" s="42"/>
      <c r="J392" s="17">
        <f t="shared" si="28"/>
        <v>0</v>
      </c>
      <c r="K392" s="2" t="str">
        <f t="shared" si="29"/>
        <v xml:space="preserve"> </v>
      </c>
      <c r="L392" s="2" t="str">
        <f t="shared" si="26"/>
        <v xml:space="preserve"> </v>
      </c>
      <c r="M392" s="2" t="str">
        <f t="shared" si="27"/>
        <v xml:space="preserve"> </v>
      </c>
    </row>
    <row r="393" spans="1:13" x14ac:dyDescent="0.25">
      <c r="A393" s="43" t="str">
        <f t="shared" si="25"/>
        <v xml:space="preserve"> </v>
      </c>
      <c r="D393" s="42"/>
      <c r="E393" s="42"/>
      <c r="J393" s="17">
        <f t="shared" si="28"/>
        <v>0</v>
      </c>
      <c r="K393" s="2" t="str">
        <f t="shared" si="29"/>
        <v xml:space="preserve"> </v>
      </c>
      <c r="L393" s="2" t="str">
        <f t="shared" si="26"/>
        <v xml:space="preserve"> </v>
      </c>
      <c r="M393" s="2" t="str">
        <f t="shared" si="27"/>
        <v xml:space="preserve"> </v>
      </c>
    </row>
    <row r="394" spans="1:13" x14ac:dyDescent="0.25">
      <c r="A394" s="43" t="str">
        <f t="shared" si="25"/>
        <v xml:space="preserve"> </v>
      </c>
      <c r="D394" s="42"/>
      <c r="E394" s="42"/>
      <c r="J394" s="17">
        <f t="shared" si="28"/>
        <v>0</v>
      </c>
      <c r="K394" s="2" t="str">
        <f t="shared" si="29"/>
        <v xml:space="preserve"> </v>
      </c>
      <c r="L394" s="2" t="str">
        <f t="shared" si="26"/>
        <v xml:space="preserve"> </v>
      </c>
      <c r="M394" s="2" t="str">
        <f t="shared" si="27"/>
        <v xml:space="preserve"> </v>
      </c>
    </row>
    <row r="395" spans="1:13" x14ac:dyDescent="0.25">
      <c r="A395" s="43" t="str">
        <f t="shared" si="25"/>
        <v xml:space="preserve"> </v>
      </c>
      <c r="D395" s="42"/>
      <c r="E395" s="42"/>
      <c r="J395" s="17">
        <f t="shared" si="28"/>
        <v>0</v>
      </c>
      <c r="K395" s="2" t="str">
        <f t="shared" si="29"/>
        <v xml:space="preserve"> </v>
      </c>
      <c r="L395" s="2" t="str">
        <f t="shared" si="26"/>
        <v xml:space="preserve"> </v>
      </c>
      <c r="M395" s="2" t="str">
        <f t="shared" si="27"/>
        <v xml:space="preserve"> </v>
      </c>
    </row>
    <row r="396" spans="1:13" x14ac:dyDescent="0.25">
      <c r="A396" s="43" t="str">
        <f t="shared" si="25"/>
        <v xml:space="preserve"> </v>
      </c>
      <c r="D396" s="42"/>
      <c r="E396" s="42"/>
      <c r="J396" s="17">
        <f t="shared" si="28"/>
        <v>0</v>
      </c>
      <c r="K396" s="2" t="str">
        <f t="shared" si="29"/>
        <v xml:space="preserve"> </v>
      </c>
      <c r="L396" s="2" t="str">
        <f t="shared" si="26"/>
        <v xml:space="preserve"> </v>
      </c>
      <c r="M396" s="2" t="str">
        <f t="shared" si="27"/>
        <v xml:space="preserve"> </v>
      </c>
    </row>
    <row r="397" spans="1:13" x14ac:dyDescent="0.25">
      <c r="A397" s="43" t="str">
        <f t="shared" si="25"/>
        <v xml:space="preserve"> </v>
      </c>
      <c r="D397" s="42"/>
      <c r="E397" s="42"/>
      <c r="J397" s="17">
        <f t="shared" si="28"/>
        <v>0</v>
      </c>
      <c r="K397" s="2" t="str">
        <f t="shared" si="29"/>
        <v xml:space="preserve"> </v>
      </c>
      <c r="L397" s="2" t="str">
        <f t="shared" si="26"/>
        <v xml:space="preserve"> </v>
      </c>
      <c r="M397" s="2" t="str">
        <f t="shared" si="27"/>
        <v xml:space="preserve"> </v>
      </c>
    </row>
    <row r="398" spans="1:13" x14ac:dyDescent="0.25">
      <c r="A398" s="43" t="str">
        <f t="shared" si="25"/>
        <v xml:space="preserve"> </v>
      </c>
      <c r="D398" s="42"/>
      <c r="E398" s="42"/>
      <c r="J398" s="17">
        <f t="shared" si="28"/>
        <v>0</v>
      </c>
      <c r="K398" s="2" t="str">
        <f t="shared" si="29"/>
        <v xml:space="preserve"> </v>
      </c>
      <c r="L398" s="2" t="str">
        <f t="shared" si="26"/>
        <v xml:space="preserve"> </v>
      </c>
      <c r="M398" s="2" t="str">
        <f t="shared" si="27"/>
        <v xml:space="preserve"> </v>
      </c>
    </row>
    <row r="399" spans="1:13" x14ac:dyDescent="0.25">
      <c r="A399" s="43" t="str">
        <f t="shared" ref="A399:A462" si="30">IF(COUNTIF(K399:M399,"ERROR")&gt;0,"ERROR"," ")</f>
        <v xml:space="preserve"> </v>
      </c>
      <c r="D399" s="42"/>
      <c r="E399" s="42"/>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43" t="str">
        <f t="shared" si="30"/>
        <v xml:space="preserve"> </v>
      </c>
      <c r="D400" s="42"/>
      <c r="E400" s="42"/>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43" t="str">
        <f t="shared" si="30"/>
        <v xml:space="preserve"> </v>
      </c>
      <c r="D401" s="42"/>
      <c r="E401" s="42"/>
      <c r="J401" s="17">
        <f t="shared" si="33"/>
        <v>0</v>
      </c>
      <c r="K401" s="2" t="str">
        <f t="shared" si="34"/>
        <v xml:space="preserve"> </v>
      </c>
      <c r="L401" s="2" t="str">
        <f t="shared" si="31"/>
        <v xml:space="preserve"> </v>
      </c>
      <c r="M401" s="2" t="str">
        <f t="shared" si="32"/>
        <v xml:space="preserve"> </v>
      </c>
    </row>
    <row r="402" spans="1:13" x14ac:dyDescent="0.25">
      <c r="A402" s="43" t="str">
        <f t="shared" si="30"/>
        <v xml:space="preserve"> </v>
      </c>
      <c r="D402" s="42"/>
      <c r="E402" s="42"/>
      <c r="J402" s="17">
        <f t="shared" si="33"/>
        <v>0</v>
      </c>
      <c r="K402" s="2" t="str">
        <f t="shared" si="34"/>
        <v xml:space="preserve"> </v>
      </c>
      <c r="L402" s="2" t="str">
        <f t="shared" si="31"/>
        <v xml:space="preserve"> </v>
      </c>
      <c r="M402" s="2" t="str">
        <f t="shared" si="32"/>
        <v xml:space="preserve"> </v>
      </c>
    </row>
    <row r="403" spans="1:13" x14ac:dyDescent="0.25">
      <c r="A403" s="43" t="str">
        <f t="shared" si="30"/>
        <v xml:space="preserve"> </v>
      </c>
      <c r="D403" s="42"/>
      <c r="E403" s="42"/>
      <c r="J403" s="17">
        <f t="shared" si="33"/>
        <v>0</v>
      </c>
      <c r="K403" s="2" t="str">
        <f t="shared" si="34"/>
        <v xml:space="preserve"> </v>
      </c>
      <c r="L403" s="2" t="str">
        <f t="shared" si="31"/>
        <v xml:space="preserve"> </v>
      </c>
      <c r="M403" s="2" t="str">
        <f t="shared" si="32"/>
        <v xml:space="preserve"> </v>
      </c>
    </row>
    <row r="404" spans="1:13" x14ac:dyDescent="0.25">
      <c r="A404" s="43" t="str">
        <f t="shared" si="30"/>
        <v xml:space="preserve"> </v>
      </c>
      <c r="D404" s="42"/>
      <c r="E404" s="42"/>
      <c r="J404" s="17">
        <f t="shared" si="33"/>
        <v>0</v>
      </c>
      <c r="K404" s="2" t="str">
        <f t="shared" si="34"/>
        <v xml:space="preserve"> </v>
      </c>
      <c r="L404" s="2" t="str">
        <f t="shared" si="31"/>
        <v xml:space="preserve"> </v>
      </c>
      <c r="M404" s="2" t="str">
        <f t="shared" si="32"/>
        <v xml:space="preserve"> </v>
      </c>
    </row>
    <row r="405" spans="1:13" x14ac:dyDescent="0.25">
      <c r="A405" s="43" t="str">
        <f t="shared" si="30"/>
        <v xml:space="preserve"> </v>
      </c>
      <c r="D405" s="42"/>
      <c r="E405" s="42"/>
      <c r="J405" s="17">
        <f t="shared" si="33"/>
        <v>0</v>
      </c>
      <c r="K405" s="2" t="str">
        <f t="shared" si="34"/>
        <v xml:space="preserve"> </v>
      </c>
      <c r="L405" s="2" t="str">
        <f t="shared" si="31"/>
        <v xml:space="preserve"> </v>
      </c>
      <c r="M405" s="2" t="str">
        <f t="shared" si="32"/>
        <v xml:space="preserve"> </v>
      </c>
    </row>
    <row r="406" spans="1:13" x14ac:dyDescent="0.25">
      <c r="A406" s="43" t="str">
        <f t="shared" si="30"/>
        <v xml:space="preserve"> </v>
      </c>
      <c r="D406" s="42"/>
      <c r="E406" s="42"/>
      <c r="J406" s="17">
        <f t="shared" si="33"/>
        <v>0</v>
      </c>
      <c r="K406" s="2" t="str">
        <f t="shared" si="34"/>
        <v xml:space="preserve"> </v>
      </c>
      <c r="L406" s="2" t="str">
        <f t="shared" si="31"/>
        <v xml:space="preserve"> </v>
      </c>
      <c r="M406" s="2" t="str">
        <f t="shared" si="32"/>
        <v xml:space="preserve"> </v>
      </c>
    </row>
    <row r="407" spans="1:13" x14ac:dyDescent="0.25">
      <c r="A407" s="43" t="str">
        <f t="shared" si="30"/>
        <v xml:space="preserve"> </v>
      </c>
      <c r="D407" s="42"/>
      <c r="E407" s="42"/>
      <c r="J407" s="17">
        <f t="shared" si="33"/>
        <v>0</v>
      </c>
      <c r="K407" s="2" t="str">
        <f t="shared" si="34"/>
        <v xml:space="preserve"> </v>
      </c>
      <c r="L407" s="2" t="str">
        <f t="shared" si="31"/>
        <v xml:space="preserve"> </v>
      </c>
      <c r="M407" s="2" t="str">
        <f t="shared" si="32"/>
        <v xml:space="preserve"> </v>
      </c>
    </row>
    <row r="408" spans="1:13" x14ac:dyDescent="0.25">
      <c r="A408" s="43" t="str">
        <f t="shared" si="30"/>
        <v xml:space="preserve"> </v>
      </c>
      <c r="D408" s="42"/>
      <c r="E408" s="42"/>
      <c r="J408" s="17">
        <f t="shared" si="33"/>
        <v>0</v>
      </c>
      <c r="K408" s="2" t="str">
        <f t="shared" si="34"/>
        <v xml:space="preserve"> </v>
      </c>
      <c r="L408" s="2" t="str">
        <f t="shared" si="31"/>
        <v xml:space="preserve"> </v>
      </c>
      <c r="M408" s="2" t="str">
        <f t="shared" si="32"/>
        <v xml:space="preserve"> </v>
      </c>
    </row>
    <row r="409" spans="1:13" x14ac:dyDescent="0.25">
      <c r="A409" s="43" t="str">
        <f t="shared" si="30"/>
        <v xml:space="preserve"> </v>
      </c>
      <c r="D409" s="42"/>
      <c r="E409" s="42"/>
      <c r="J409" s="17">
        <f t="shared" si="33"/>
        <v>0</v>
      </c>
      <c r="K409" s="2" t="str">
        <f t="shared" si="34"/>
        <v xml:space="preserve"> </v>
      </c>
      <c r="L409" s="2" t="str">
        <f t="shared" si="31"/>
        <v xml:space="preserve"> </v>
      </c>
      <c r="M409" s="2" t="str">
        <f t="shared" si="32"/>
        <v xml:space="preserve"> </v>
      </c>
    </row>
    <row r="410" spans="1:13" x14ac:dyDescent="0.25">
      <c r="A410" s="43" t="str">
        <f t="shared" si="30"/>
        <v xml:space="preserve"> </v>
      </c>
      <c r="D410" s="42"/>
      <c r="E410" s="42"/>
      <c r="J410" s="17">
        <f t="shared" si="33"/>
        <v>0</v>
      </c>
      <c r="K410" s="2" t="str">
        <f t="shared" si="34"/>
        <v xml:space="preserve"> </v>
      </c>
      <c r="L410" s="2" t="str">
        <f t="shared" si="31"/>
        <v xml:space="preserve"> </v>
      </c>
      <c r="M410" s="2" t="str">
        <f t="shared" si="32"/>
        <v xml:space="preserve"> </v>
      </c>
    </row>
    <row r="411" spans="1:13" x14ac:dyDescent="0.25">
      <c r="A411" s="43" t="str">
        <f t="shared" si="30"/>
        <v xml:space="preserve"> </v>
      </c>
      <c r="D411" s="42"/>
      <c r="E411" s="42"/>
      <c r="J411" s="17">
        <f t="shared" si="33"/>
        <v>0</v>
      </c>
      <c r="K411" s="2" t="str">
        <f t="shared" si="34"/>
        <v xml:space="preserve"> </v>
      </c>
      <c r="L411" s="2" t="str">
        <f t="shared" si="31"/>
        <v xml:space="preserve"> </v>
      </c>
      <c r="M411" s="2" t="str">
        <f t="shared" si="32"/>
        <v xml:space="preserve"> </v>
      </c>
    </row>
    <row r="412" spans="1:13" x14ac:dyDescent="0.25">
      <c r="A412" s="43" t="str">
        <f t="shared" si="30"/>
        <v xml:space="preserve"> </v>
      </c>
      <c r="D412" s="42"/>
      <c r="E412" s="42"/>
      <c r="J412" s="17">
        <f t="shared" si="33"/>
        <v>0</v>
      </c>
      <c r="K412" s="2" t="str">
        <f t="shared" si="34"/>
        <v xml:space="preserve"> </v>
      </c>
      <c r="L412" s="2" t="str">
        <f t="shared" si="31"/>
        <v xml:space="preserve"> </v>
      </c>
      <c r="M412" s="2" t="str">
        <f t="shared" si="32"/>
        <v xml:space="preserve"> </v>
      </c>
    </row>
    <row r="413" spans="1:13" x14ac:dyDescent="0.25">
      <c r="A413" s="43" t="str">
        <f t="shared" si="30"/>
        <v xml:space="preserve"> </v>
      </c>
      <c r="D413" s="42"/>
      <c r="E413" s="42"/>
      <c r="J413" s="17">
        <f t="shared" si="33"/>
        <v>0</v>
      </c>
      <c r="K413" s="2" t="str">
        <f t="shared" si="34"/>
        <v xml:space="preserve"> </v>
      </c>
      <c r="L413" s="2" t="str">
        <f t="shared" si="31"/>
        <v xml:space="preserve"> </v>
      </c>
      <c r="M413" s="2" t="str">
        <f t="shared" si="32"/>
        <v xml:space="preserve"> </v>
      </c>
    </row>
    <row r="414" spans="1:13" x14ac:dyDescent="0.25">
      <c r="A414" s="43" t="str">
        <f t="shared" si="30"/>
        <v xml:space="preserve"> </v>
      </c>
      <c r="D414" s="42"/>
      <c r="E414" s="42"/>
      <c r="J414" s="17">
        <f t="shared" si="33"/>
        <v>0</v>
      </c>
      <c r="K414" s="2" t="str">
        <f t="shared" si="34"/>
        <v xml:space="preserve"> </v>
      </c>
      <c r="L414" s="2" t="str">
        <f t="shared" si="31"/>
        <v xml:space="preserve"> </v>
      </c>
      <c r="M414" s="2" t="str">
        <f t="shared" si="32"/>
        <v xml:space="preserve"> </v>
      </c>
    </row>
    <row r="415" spans="1:13" x14ac:dyDescent="0.25">
      <c r="A415" s="43" t="str">
        <f t="shared" si="30"/>
        <v xml:space="preserve"> </v>
      </c>
      <c r="D415" s="42"/>
      <c r="E415" s="42"/>
      <c r="J415" s="17">
        <f t="shared" si="33"/>
        <v>0</v>
      </c>
      <c r="K415" s="2" t="str">
        <f t="shared" si="34"/>
        <v xml:space="preserve"> </v>
      </c>
      <c r="L415" s="2" t="str">
        <f t="shared" si="31"/>
        <v xml:space="preserve"> </v>
      </c>
      <c r="M415" s="2" t="str">
        <f t="shared" si="32"/>
        <v xml:space="preserve"> </v>
      </c>
    </row>
    <row r="416" spans="1:13" x14ac:dyDescent="0.25">
      <c r="A416" s="43" t="str">
        <f t="shared" si="30"/>
        <v xml:space="preserve"> </v>
      </c>
      <c r="D416" s="42"/>
      <c r="E416" s="42"/>
      <c r="J416" s="17">
        <f t="shared" si="33"/>
        <v>0</v>
      </c>
      <c r="K416" s="2" t="str">
        <f t="shared" si="34"/>
        <v xml:space="preserve"> </v>
      </c>
      <c r="L416" s="2" t="str">
        <f t="shared" si="31"/>
        <v xml:space="preserve"> </v>
      </c>
      <c r="M416" s="2" t="str">
        <f t="shared" si="32"/>
        <v xml:space="preserve"> </v>
      </c>
    </row>
    <row r="417" spans="1:13" x14ac:dyDescent="0.25">
      <c r="A417" s="43" t="str">
        <f t="shared" si="30"/>
        <v xml:space="preserve"> </v>
      </c>
      <c r="D417" s="42"/>
      <c r="E417" s="42"/>
      <c r="J417" s="17">
        <f t="shared" si="33"/>
        <v>0</v>
      </c>
      <c r="K417" s="2" t="str">
        <f t="shared" si="34"/>
        <v xml:space="preserve"> </v>
      </c>
      <c r="L417" s="2" t="str">
        <f t="shared" si="31"/>
        <v xml:space="preserve"> </v>
      </c>
      <c r="M417" s="2" t="str">
        <f t="shared" si="32"/>
        <v xml:space="preserve"> </v>
      </c>
    </row>
    <row r="418" spans="1:13" x14ac:dyDescent="0.25">
      <c r="A418" s="43" t="str">
        <f t="shared" si="30"/>
        <v xml:space="preserve"> </v>
      </c>
      <c r="D418" s="42"/>
      <c r="E418" s="42"/>
      <c r="J418" s="17">
        <f t="shared" si="33"/>
        <v>0</v>
      </c>
      <c r="K418" s="2" t="str">
        <f t="shared" si="34"/>
        <v xml:space="preserve"> </v>
      </c>
      <c r="L418" s="2" t="str">
        <f t="shared" si="31"/>
        <v xml:space="preserve"> </v>
      </c>
      <c r="M418" s="2" t="str">
        <f t="shared" si="32"/>
        <v xml:space="preserve"> </v>
      </c>
    </row>
    <row r="419" spans="1:13" x14ac:dyDescent="0.25">
      <c r="A419" s="43" t="str">
        <f t="shared" si="30"/>
        <v xml:space="preserve"> </v>
      </c>
      <c r="D419" s="42"/>
      <c r="E419" s="42"/>
      <c r="J419" s="17">
        <f t="shared" si="33"/>
        <v>0</v>
      </c>
      <c r="K419" s="2" t="str">
        <f t="shared" si="34"/>
        <v xml:space="preserve"> </v>
      </c>
      <c r="L419" s="2" t="str">
        <f t="shared" si="31"/>
        <v xml:space="preserve"> </v>
      </c>
      <c r="M419" s="2" t="str">
        <f t="shared" si="32"/>
        <v xml:space="preserve"> </v>
      </c>
    </row>
    <row r="420" spans="1:13" x14ac:dyDescent="0.25">
      <c r="A420" s="43" t="str">
        <f t="shared" si="30"/>
        <v xml:space="preserve"> </v>
      </c>
      <c r="D420" s="42"/>
      <c r="E420" s="42"/>
      <c r="J420" s="17">
        <f t="shared" si="33"/>
        <v>0</v>
      </c>
      <c r="K420" s="2" t="str">
        <f t="shared" si="34"/>
        <v xml:space="preserve"> </v>
      </c>
      <c r="L420" s="2" t="str">
        <f t="shared" si="31"/>
        <v xml:space="preserve"> </v>
      </c>
      <c r="M420" s="2" t="str">
        <f t="shared" si="32"/>
        <v xml:space="preserve"> </v>
      </c>
    </row>
    <row r="421" spans="1:13" x14ac:dyDescent="0.25">
      <c r="A421" s="43" t="str">
        <f t="shared" si="30"/>
        <v xml:space="preserve"> </v>
      </c>
      <c r="D421" s="42"/>
      <c r="E421" s="42"/>
      <c r="J421" s="17">
        <f t="shared" si="33"/>
        <v>0</v>
      </c>
      <c r="K421" s="2" t="str">
        <f t="shared" si="34"/>
        <v xml:space="preserve"> </v>
      </c>
      <c r="L421" s="2" t="str">
        <f t="shared" si="31"/>
        <v xml:space="preserve"> </v>
      </c>
      <c r="M421" s="2" t="str">
        <f t="shared" si="32"/>
        <v xml:space="preserve"> </v>
      </c>
    </row>
    <row r="422" spans="1:13" x14ac:dyDescent="0.25">
      <c r="A422" s="43" t="str">
        <f t="shared" si="30"/>
        <v xml:space="preserve"> </v>
      </c>
      <c r="D422" s="42"/>
      <c r="E422" s="42"/>
      <c r="J422" s="17">
        <f t="shared" si="33"/>
        <v>0</v>
      </c>
      <c r="K422" s="2" t="str">
        <f t="shared" si="34"/>
        <v xml:space="preserve"> </v>
      </c>
      <c r="L422" s="2" t="str">
        <f t="shared" si="31"/>
        <v xml:space="preserve"> </v>
      </c>
      <c r="M422" s="2" t="str">
        <f t="shared" si="32"/>
        <v xml:space="preserve"> </v>
      </c>
    </row>
    <row r="423" spans="1:13" x14ac:dyDescent="0.25">
      <c r="A423" s="43" t="str">
        <f t="shared" si="30"/>
        <v xml:space="preserve"> </v>
      </c>
      <c r="D423" s="42"/>
      <c r="E423" s="42"/>
      <c r="J423" s="17">
        <f t="shared" si="33"/>
        <v>0</v>
      </c>
      <c r="K423" s="2" t="str">
        <f t="shared" si="34"/>
        <v xml:space="preserve"> </v>
      </c>
      <c r="L423" s="2" t="str">
        <f t="shared" si="31"/>
        <v xml:space="preserve"> </v>
      </c>
      <c r="M423" s="2" t="str">
        <f t="shared" si="32"/>
        <v xml:space="preserve"> </v>
      </c>
    </row>
    <row r="424" spans="1:13" x14ac:dyDescent="0.25">
      <c r="A424" s="43" t="str">
        <f t="shared" si="30"/>
        <v xml:space="preserve"> </v>
      </c>
      <c r="D424" s="42"/>
      <c r="E424" s="42"/>
      <c r="J424" s="17">
        <f t="shared" si="33"/>
        <v>0</v>
      </c>
      <c r="K424" s="2" t="str">
        <f t="shared" si="34"/>
        <v xml:space="preserve"> </v>
      </c>
      <c r="L424" s="2" t="str">
        <f t="shared" si="31"/>
        <v xml:space="preserve"> </v>
      </c>
      <c r="M424" s="2" t="str">
        <f t="shared" si="32"/>
        <v xml:space="preserve"> </v>
      </c>
    </row>
    <row r="425" spans="1:13" x14ac:dyDescent="0.25">
      <c r="A425" s="43" t="str">
        <f t="shared" si="30"/>
        <v xml:space="preserve"> </v>
      </c>
      <c r="D425" s="42"/>
      <c r="E425" s="42"/>
      <c r="J425" s="17">
        <f t="shared" si="33"/>
        <v>0</v>
      </c>
      <c r="K425" s="2" t="str">
        <f t="shared" si="34"/>
        <v xml:space="preserve"> </v>
      </c>
      <c r="L425" s="2" t="str">
        <f t="shared" si="31"/>
        <v xml:space="preserve"> </v>
      </c>
      <c r="M425" s="2" t="str">
        <f t="shared" si="32"/>
        <v xml:space="preserve"> </v>
      </c>
    </row>
    <row r="426" spans="1:13" x14ac:dyDescent="0.25">
      <c r="A426" s="43" t="str">
        <f t="shared" si="30"/>
        <v xml:space="preserve"> </v>
      </c>
      <c r="D426" s="42"/>
      <c r="E426" s="42"/>
      <c r="J426" s="17">
        <f t="shared" si="33"/>
        <v>0</v>
      </c>
      <c r="K426" s="2" t="str">
        <f t="shared" si="34"/>
        <v xml:space="preserve"> </v>
      </c>
      <c r="L426" s="2" t="str">
        <f t="shared" si="31"/>
        <v xml:space="preserve"> </v>
      </c>
      <c r="M426" s="2" t="str">
        <f t="shared" si="32"/>
        <v xml:space="preserve"> </v>
      </c>
    </row>
    <row r="427" spans="1:13" x14ac:dyDescent="0.25">
      <c r="A427" s="43" t="str">
        <f t="shared" si="30"/>
        <v xml:space="preserve"> </v>
      </c>
      <c r="D427" s="42"/>
      <c r="E427" s="42"/>
      <c r="J427" s="17">
        <f t="shared" si="33"/>
        <v>0</v>
      </c>
      <c r="K427" s="2" t="str">
        <f t="shared" si="34"/>
        <v xml:space="preserve"> </v>
      </c>
      <c r="L427" s="2" t="str">
        <f t="shared" si="31"/>
        <v xml:space="preserve"> </v>
      </c>
      <c r="M427" s="2" t="str">
        <f t="shared" si="32"/>
        <v xml:space="preserve"> </v>
      </c>
    </row>
    <row r="428" spans="1:13" x14ac:dyDescent="0.25">
      <c r="A428" s="43" t="str">
        <f t="shared" si="30"/>
        <v xml:space="preserve"> </v>
      </c>
      <c r="D428" s="42"/>
      <c r="E428" s="42"/>
      <c r="J428" s="17">
        <f t="shared" si="33"/>
        <v>0</v>
      </c>
      <c r="K428" s="2" t="str">
        <f t="shared" si="34"/>
        <v xml:space="preserve"> </v>
      </c>
      <c r="L428" s="2" t="str">
        <f t="shared" si="31"/>
        <v xml:space="preserve"> </v>
      </c>
      <c r="M428" s="2" t="str">
        <f t="shared" si="32"/>
        <v xml:space="preserve"> </v>
      </c>
    </row>
    <row r="429" spans="1:13" x14ac:dyDescent="0.25">
      <c r="A429" s="43" t="str">
        <f t="shared" si="30"/>
        <v xml:space="preserve"> </v>
      </c>
      <c r="D429" s="42"/>
      <c r="E429" s="42"/>
      <c r="J429" s="17">
        <f t="shared" si="33"/>
        <v>0</v>
      </c>
      <c r="K429" s="2" t="str">
        <f t="shared" si="34"/>
        <v xml:space="preserve"> </v>
      </c>
      <c r="L429" s="2" t="str">
        <f t="shared" si="31"/>
        <v xml:space="preserve"> </v>
      </c>
      <c r="M429" s="2" t="str">
        <f t="shared" si="32"/>
        <v xml:space="preserve"> </v>
      </c>
    </row>
    <row r="430" spans="1:13" x14ac:dyDescent="0.25">
      <c r="A430" s="43" t="str">
        <f t="shared" si="30"/>
        <v xml:space="preserve"> </v>
      </c>
      <c r="D430" s="42"/>
      <c r="E430" s="42"/>
      <c r="J430" s="17">
        <f t="shared" si="33"/>
        <v>0</v>
      </c>
      <c r="K430" s="2" t="str">
        <f t="shared" si="34"/>
        <v xml:space="preserve"> </v>
      </c>
      <c r="L430" s="2" t="str">
        <f t="shared" si="31"/>
        <v xml:space="preserve"> </v>
      </c>
      <c r="M430" s="2" t="str">
        <f t="shared" si="32"/>
        <v xml:space="preserve"> </v>
      </c>
    </row>
    <row r="431" spans="1:13" x14ac:dyDescent="0.25">
      <c r="A431" s="43" t="str">
        <f t="shared" si="30"/>
        <v xml:space="preserve"> </v>
      </c>
      <c r="D431" s="42"/>
      <c r="E431" s="42"/>
      <c r="J431" s="17">
        <f t="shared" si="33"/>
        <v>0</v>
      </c>
      <c r="K431" s="2" t="str">
        <f t="shared" si="34"/>
        <v xml:space="preserve"> </v>
      </c>
      <c r="L431" s="2" t="str">
        <f t="shared" si="31"/>
        <v xml:space="preserve"> </v>
      </c>
      <c r="M431" s="2" t="str">
        <f t="shared" si="32"/>
        <v xml:space="preserve"> </v>
      </c>
    </row>
    <row r="432" spans="1:13" x14ac:dyDescent="0.25">
      <c r="A432" s="43" t="str">
        <f t="shared" si="30"/>
        <v xml:space="preserve"> </v>
      </c>
      <c r="D432" s="42"/>
      <c r="E432" s="42"/>
      <c r="J432" s="17">
        <f t="shared" si="33"/>
        <v>0</v>
      </c>
      <c r="K432" s="2" t="str">
        <f t="shared" si="34"/>
        <v xml:space="preserve"> </v>
      </c>
      <c r="L432" s="2" t="str">
        <f t="shared" si="31"/>
        <v xml:space="preserve"> </v>
      </c>
      <c r="M432" s="2" t="str">
        <f t="shared" si="32"/>
        <v xml:space="preserve"> </v>
      </c>
    </row>
    <row r="433" spans="1:13" x14ac:dyDescent="0.25">
      <c r="A433" s="43" t="str">
        <f t="shared" si="30"/>
        <v xml:space="preserve"> </v>
      </c>
      <c r="D433" s="42"/>
      <c r="E433" s="42"/>
      <c r="J433" s="17">
        <f t="shared" si="33"/>
        <v>0</v>
      </c>
      <c r="K433" s="2" t="str">
        <f t="shared" si="34"/>
        <v xml:space="preserve"> </v>
      </c>
      <c r="L433" s="2" t="str">
        <f t="shared" si="31"/>
        <v xml:space="preserve"> </v>
      </c>
      <c r="M433" s="2" t="str">
        <f t="shared" si="32"/>
        <v xml:space="preserve"> </v>
      </c>
    </row>
    <row r="434" spans="1:13" x14ac:dyDescent="0.25">
      <c r="A434" s="43" t="str">
        <f t="shared" si="30"/>
        <v xml:space="preserve"> </v>
      </c>
      <c r="D434" s="42"/>
      <c r="E434" s="42"/>
      <c r="J434" s="17">
        <f t="shared" si="33"/>
        <v>0</v>
      </c>
      <c r="K434" s="2" t="str">
        <f t="shared" si="34"/>
        <v xml:space="preserve"> </v>
      </c>
      <c r="L434" s="2" t="str">
        <f t="shared" si="31"/>
        <v xml:space="preserve"> </v>
      </c>
      <c r="M434" s="2" t="str">
        <f t="shared" si="32"/>
        <v xml:space="preserve"> </v>
      </c>
    </row>
    <row r="435" spans="1:13" x14ac:dyDescent="0.25">
      <c r="A435" s="43" t="str">
        <f t="shared" si="30"/>
        <v xml:space="preserve"> </v>
      </c>
      <c r="D435" s="42"/>
      <c r="E435" s="42"/>
      <c r="J435" s="17">
        <f t="shared" si="33"/>
        <v>0</v>
      </c>
      <c r="K435" s="2" t="str">
        <f t="shared" si="34"/>
        <v xml:space="preserve"> </v>
      </c>
      <c r="L435" s="2" t="str">
        <f t="shared" si="31"/>
        <v xml:space="preserve"> </v>
      </c>
      <c r="M435" s="2" t="str">
        <f t="shared" si="32"/>
        <v xml:space="preserve"> </v>
      </c>
    </row>
    <row r="436" spans="1:13" x14ac:dyDescent="0.25">
      <c r="A436" s="43" t="str">
        <f t="shared" si="30"/>
        <v xml:space="preserve"> </v>
      </c>
      <c r="D436" s="42"/>
      <c r="E436" s="42"/>
      <c r="J436" s="17">
        <f t="shared" si="33"/>
        <v>0</v>
      </c>
      <c r="K436" s="2" t="str">
        <f t="shared" si="34"/>
        <v xml:space="preserve"> </v>
      </c>
      <c r="L436" s="2" t="str">
        <f t="shared" si="31"/>
        <v xml:space="preserve"> </v>
      </c>
      <c r="M436" s="2" t="str">
        <f t="shared" si="32"/>
        <v xml:space="preserve"> </v>
      </c>
    </row>
    <row r="437" spans="1:13" x14ac:dyDescent="0.25">
      <c r="A437" s="43" t="str">
        <f t="shared" si="30"/>
        <v xml:space="preserve"> </v>
      </c>
      <c r="D437" s="42"/>
      <c r="E437" s="42"/>
      <c r="J437" s="17">
        <f t="shared" si="33"/>
        <v>0</v>
      </c>
      <c r="K437" s="2" t="str">
        <f t="shared" si="34"/>
        <v xml:space="preserve"> </v>
      </c>
      <c r="L437" s="2" t="str">
        <f t="shared" si="31"/>
        <v xml:space="preserve"> </v>
      </c>
      <c r="M437" s="2" t="str">
        <f t="shared" si="32"/>
        <v xml:space="preserve"> </v>
      </c>
    </row>
    <row r="438" spans="1:13" x14ac:dyDescent="0.25">
      <c r="A438" s="43" t="str">
        <f t="shared" si="30"/>
        <v xml:space="preserve"> </v>
      </c>
      <c r="D438" s="42"/>
      <c r="E438" s="42"/>
      <c r="J438" s="17">
        <f t="shared" si="33"/>
        <v>0</v>
      </c>
      <c r="K438" s="2" t="str">
        <f t="shared" si="34"/>
        <v xml:space="preserve"> </v>
      </c>
      <c r="L438" s="2" t="str">
        <f t="shared" si="31"/>
        <v xml:space="preserve"> </v>
      </c>
      <c r="M438" s="2" t="str">
        <f t="shared" si="32"/>
        <v xml:space="preserve"> </v>
      </c>
    </row>
    <row r="439" spans="1:13" x14ac:dyDescent="0.25">
      <c r="A439" s="43" t="str">
        <f t="shared" si="30"/>
        <v xml:space="preserve"> </v>
      </c>
      <c r="D439" s="42"/>
      <c r="E439" s="42"/>
      <c r="J439" s="17">
        <f t="shared" si="33"/>
        <v>0</v>
      </c>
      <c r="K439" s="2" t="str">
        <f t="shared" si="34"/>
        <v xml:space="preserve"> </v>
      </c>
      <c r="L439" s="2" t="str">
        <f t="shared" si="31"/>
        <v xml:space="preserve"> </v>
      </c>
      <c r="M439" s="2" t="str">
        <f t="shared" si="32"/>
        <v xml:space="preserve"> </v>
      </c>
    </row>
    <row r="440" spans="1:13" x14ac:dyDescent="0.25">
      <c r="A440" s="43" t="str">
        <f t="shared" si="30"/>
        <v xml:space="preserve"> </v>
      </c>
      <c r="D440" s="42"/>
      <c r="E440" s="42"/>
      <c r="J440" s="17">
        <f t="shared" si="33"/>
        <v>0</v>
      </c>
      <c r="K440" s="2" t="str">
        <f t="shared" si="34"/>
        <v xml:space="preserve"> </v>
      </c>
      <c r="L440" s="2" t="str">
        <f t="shared" si="31"/>
        <v xml:space="preserve"> </v>
      </c>
      <c r="M440" s="2" t="str">
        <f t="shared" si="32"/>
        <v xml:space="preserve"> </v>
      </c>
    </row>
    <row r="441" spans="1:13" x14ac:dyDescent="0.25">
      <c r="A441" s="43" t="str">
        <f t="shared" si="30"/>
        <v xml:space="preserve"> </v>
      </c>
      <c r="D441" s="42"/>
      <c r="E441" s="42"/>
      <c r="J441" s="17">
        <f t="shared" si="33"/>
        <v>0</v>
      </c>
      <c r="K441" s="2" t="str">
        <f t="shared" si="34"/>
        <v xml:space="preserve"> </v>
      </c>
      <c r="L441" s="2" t="str">
        <f t="shared" si="31"/>
        <v xml:space="preserve"> </v>
      </c>
      <c r="M441" s="2" t="str">
        <f t="shared" si="32"/>
        <v xml:space="preserve"> </v>
      </c>
    </row>
    <row r="442" spans="1:13" x14ac:dyDescent="0.25">
      <c r="A442" s="43" t="str">
        <f t="shared" si="30"/>
        <v xml:space="preserve"> </v>
      </c>
      <c r="D442" s="42"/>
      <c r="E442" s="42"/>
      <c r="J442" s="17">
        <f t="shared" si="33"/>
        <v>0</v>
      </c>
      <c r="K442" s="2" t="str">
        <f t="shared" si="34"/>
        <v xml:space="preserve"> </v>
      </c>
      <c r="L442" s="2" t="str">
        <f t="shared" si="31"/>
        <v xml:space="preserve"> </v>
      </c>
      <c r="M442" s="2" t="str">
        <f t="shared" si="32"/>
        <v xml:space="preserve"> </v>
      </c>
    </row>
    <row r="443" spans="1:13" x14ac:dyDescent="0.25">
      <c r="A443" s="43" t="str">
        <f t="shared" si="30"/>
        <v xml:space="preserve"> </v>
      </c>
      <c r="D443" s="42"/>
      <c r="E443" s="42"/>
      <c r="J443" s="17">
        <f t="shared" si="33"/>
        <v>0</v>
      </c>
      <c r="K443" s="2" t="str">
        <f t="shared" si="34"/>
        <v xml:space="preserve"> </v>
      </c>
      <c r="L443" s="2" t="str">
        <f t="shared" si="31"/>
        <v xml:space="preserve"> </v>
      </c>
      <c r="M443" s="2" t="str">
        <f t="shared" si="32"/>
        <v xml:space="preserve"> </v>
      </c>
    </row>
    <row r="444" spans="1:13" x14ac:dyDescent="0.25">
      <c r="A444" s="43" t="str">
        <f t="shared" si="30"/>
        <v xml:space="preserve"> </v>
      </c>
      <c r="D444" s="42"/>
      <c r="E444" s="42"/>
      <c r="J444" s="17">
        <f t="shared" si="33"/>
        <v>0</v>
      </c>
      <c r="K444" s="2" t="str">
        <f t="shared" si="34"/>
        <v xml:space="preserve"> </v>
      </c>
      <c r="L444" s="2" t="str">
        <f t="shared" si="31"/>
        <v xml:space="preserve"> </v>
      </c>
      <c r="M444" s="2" t="str">
        <f t="shared" si="32"/>
        <v xml:space="preserve"> </v>
      </c>
    </row>
    <row r="445" spans="1:13" x14ac:dyDescent="0.25">
      <c r="A445" s="43" t="str">
        <f t="shared" si="30"/>
        <v xml:space="preserve"> </v>
      </c>
      <c r="D445" s="42"/>
      <c r="E445" s="42"/>
      <c r="J445" s="17">
        <f t="shared" si="33"/>
        <v>0</v>
      </c>
      <c r="K445" s="2" t="str">
        <f t="shared" si="34"/>
        <v xml:space="preserve"> </v>
      </c>
      <c r="L445" s="2" t="str">
        <f t="shared" si="31"/>
        <v xml:space="preserve"> </v>
      </c>
      <c r="M445" s="2" t="str">
        <f t="shared" si="32"/>
        <v xml:space="preserve"> </v>
      </c>
    </row>
    <row r="446" spans="1:13" x14ac:dyDescent="0.25">
      <c r="A446" s="43" t="str">
        <f t="shared" si="30"/>
        <v xml:space="preserve"> </v>
      </c>
      <c r="D446" s="42"/>
      <c r="E446" s="42"/>
      <c r="J446" s="17">
        <f t="shared" si="33"/>
        <v>0</v>
      </c>
      <c r="K446" s="2" t="str">
        <f t="shared" si="34"/>
        <v xml:space="preserve"> </v>
      </c>
      <c r="L446" s="2" t="str">
        <f t="shared" si="31"/>
        <v xml:space="preserve"> </v>
      </c>
      <c r="M446" s="2" t="str">
        <f t="shared" si="32"/>
        <v xml:space="preserve"> </v>
      </c>
    </row>
    <row r="447" spans="1:13" x14ac:dyDescent="0.25">
      <c r="A447" s="43" t="str">
        <f t="shared" si="30"/>
        <v xml:space="preserve"> </v>
      </c>
      <c r="D447" s="42"/>
      <c r="E447" s="42"/>
      <c r="J447" s="17">
        <f t="shared" si="33"/>
        <v>0</v>
      </c>
      <c r="K447" s="2" t="str">
        <f t="shared" si="34"/>
        <v xml:space="preserve"> </v>
      </c>
      <c r="L447" s="2" t="str">
        <f t="shared" si="31"/>
        <v xml:space="preserve"> </v>
      </c>
      <c r="M447" s="2" t="str">
        <f t="shared" si="32"/>
        <v xml:space="preserve"> </v>
      </c>
    </row>
    <row r="448" spans="1:13" x14ac:dyDescent="0.25">
      <c r="A448" s="43" t="str">
        <f t="shared" si="30"/>
        <v xml:space="preserve"> </v>
      </c>
      <c r="D448" s="42"/>
      <c r="E448" s="42"/>
      <c r="J448" s="17">
        <f t="shared" si="33"/>
        <v>0</v>
      </c>
      <c r="K448" s="2" t="str">
        <f t="shared" si="34"/>
        <v xml:space="preserve"> </v>
      </c>
      <c r="L448" s="2" t="str">
        <f t="shared" si="31"/>
        <v xml:space="preserve"> </v>
      </c>
      <c r="M448" s="2" t="str">
        <f t="shared" si="32"/>
        <v xml:space="preserve"> </v>
      </c>
    </row>
    <row r="449" spans="1:13" x14ac:dyDescent="0.25">
      <c r="A449" s="43" t="str">
        <f t="shared" si="30"/>
        <v xml:space="preserve"> </v>
      </c>
      <c r="D449" s="42"/>
      <c r="E449" s="42"/>
      <c r="J449" s="17">
        <f t="shared" si="33"/>
        <v>0</v>
      </c>
      <c r="K449" s="2" t="str">
        <f t="shared" si="34"/>
        <v xml:space="preserve"> </v>
      </c>
      <c r="L449" s="2" t="str">
        <f t="shared" si="31"/>
        <v xml:space="preserve"> </v>
      </c>
      <c r="M449" s="2" t="str">
        <f t="shared" si="32"/>
        <v xml:space="preserve"> </v>
      </c>
    </row>
    <row r="450" spans="1:13" x14ac:dyDescent="0.25">
      <c r="A450" s="43" t="str">
        <f t="shared" si="30"/>
        <v xml:space="preserve"> </v>
      </c>
      <c r="D450" s="42"/>
      <c r="E450" s="42"/>
      <c r="J450" s="17">
        <f t="shared" si="33"/>
        <v>0</v>
      </c>
      <c r="K450" s="2" t="str">
        <f t="shared" si="34"/>
        <v xml:space="preserve"> </v>
      </c>
      <c r="L450" s="2" t="str">
        <f t="shared" si="31"/>
        <v xml:space="preserve"> </v>
      </c>
      <c r="M450" s="2" t="str">
        <f t="shared" si="32"/>
        <v xml:space="preserve"> </v>
      </c>
    </row>
    <row r="451" spans="1:13" x14ac:dyDescent="0.25">
      <c r="A451" s="43" t="str">
        <f t="shared" si="30"/>
        <v xml:space="preserve"> </v>
      </c>
      <c r="D451" s="42"/>
      <c r="E451" s="42"/>
      <c r="J451" s="17">
        <f t="shared" si="33"/>
        <v>0</v>
      </c>
      <c r="K451" s="2" t="str">
        <f t="shared" si="34"/>
        <v xml:space="preserve"> </v>
      </c>
      <c r="L451" s="2" t="str">
        <f t="shared" si="31"/>
        <v xml:space="preserve"> </v>
      </c>
      <c r="M451" s="2" t="str">
        <f t="shared" si="32"/>
        <v xml:space="preserve"> </v>
      </c>
    </row>
    <row r="452" spans="1:13" x14ac:dyDescent="0.25">
      <c r="A452" s="43" t="str">
        <f t="shared" si="30"/>
        <v xml:space="preserve"> </v>
      </c>
      <c r="D452" s="42"/>
      <c r="E452" s="42"/>
      <c r="J452" s="17">
        <f t="shared" si="33"/>
        <v>0</v>
      </c>
      <c r="K452" s="2" t="str">
        <f t="shared" si="34"/>
        <v xml:space="preserve"> </v>
      </c>
      <c r="L452" s="2" t="str">
        <f t="shared" si="31"/>
        <v xml:space="preserve"> </v>
      </c>
      <c r="M452" s="2" t="str">
        <f t="shared" si="32"/>
        <v xml:space="preserve"> </v>
      </c>
    </row>
    <row r="453" spans="1:13" x14ac:dyDescent="0.25">
      <c r="A453" s="43" t="str">
        <f t="shared" si="30"/>
        <v xml:space="preserve"> </v>
      </c>
      <c r="D453" s="42"/>
      <c r="E453" s="42"/>
      <c r="J453" s="17">
        <f t="shared" si="33"/>
        <v>0</v>
      </c>
      <c r="K453" s="2" t="str">
        <f t="shared" si="34"/>
        <v xml:space="preserve"> </v>
      </c>
      <c r="L453" s="2" t="str">
        <f t="shared" si="31"/>
        <v xml:space="preserve"> </v>
      </c>
      <c r="M453" s="2" t="str">
        <f t="shared" si="32"/>
        <v xml:space="preserve"> </v>
      </c>
    </row>
    <row r="454" spans="1:13" x14ac:dyDescent="0.25">
      <c r="A454" s="43" t="str">
        <f t="shared" si="30"/>
        <v xml:space="preserve"> </v>
      </c>
      <c r="D454" s="42"/>
      <c r="E454" s="42"/>
      <c r="J454" s="17">
        <f t="shared" si="33"/>
        <v>0</v>
      </c>
      <c r="K454" s="2" t="str">
        <f t="shared" si="34"/>
        <v xml:space="preserve"> </v>
      </c>
      <c r="L454" s="2" t="str">
        <f t="shared" si="31"/>
        <v xml:space="preserve"> </v>
      </c>
      <c r="M454" s="2" t="str">
        <f t="shared" si="32"/>
        <v xml:space="preserve"> </v>
      </c>
    </row>
    <row r="455" spans="1:13" x14ac:dyDescent="0.25">
      <c r="A455" s="43" t="str">
        <f t="shared" si="30"/>
        <v xml:space="preserve"> </v>
      </c>
      <c r="D455" s="42"/>
      <c r="E455" s="42"/>
      <c r="J455" s="17">
        <f t="shared" si="33"/>
        <v>0</v>
      </c>
      <c r="K455" s="2" t="str">
        <f t="shared" si="34"/>
        <v xml:space="preserve"> </v>
      </c>
      <c r="L455" s="2" t="str">
        <f t="shared" si="31"/>
        <v xml:space="preserve"> </v>
      </c>
      <c r="M455" s="2" t="str">
        <f t="shared" si="32"/>
        <v xml:space="preserve"> </v>
      </c>
    </row>
    <row r="456" spans="1:13" x14ac:dyDescent="0.25">
      <c r="A456" s="43" t="str">
        <f t="shared" si="30"/>
        <v xml:space="preserve"> </v>
      </c>
      <c r="D456" s="42"/>
      <c r="E456" s="42"/>
      <c r="J456" s="17">
        <f t="shared" si="33"/>
        <v>0</v>
      </c>
      <c r="K456" s="2" t="str">
        <f t="shared" si="34"/>
        <v xml:space="preserve"> </v>
      </c>
      <c r="L456" s="2" t="str">
        <f t="shared" si="31"/>
        <v xml:space="preserve"> </v>
      </c>
      <c r="M456" s="2" t="str">
        <f t="shared" si="32"/>
        <v xml:space="preserve"> </v>
      </c>
    </row>
    <row r="457" spans="1:13" x14ac:dyDescent="0.25">
      <c r="A457" s="43" t="str">
        <f t="shared" si="30"/>
        <v xml:space="preserve"> </v>
      </c>
      <c r="D457" s="42"/>
      <c r="E457" s="42"/>
      <c r="J457" s="17">
        <f t="shared" si="33"/>
        <v>0</v>
      </c>
      <c r="K457" s="2" t="str">
        <f t="shared" si="34"/>
        <v xml:space="preserve"> </v>
      </c>
      <c r="L457" s="2" t="str">
        <f t="shared" si="31"/>
        <v xml:space="preserve"> </v>
      </c>
      <c r="M457" s="2" t="str">
        <f t="shared" si="32"/>
        <v xml:space="preserve"> </v>
      </c>
    </row>
    <row r="458" spans="1:13" x14ac:dyDescent="0.25">
      <c r="A458" s="43" t="str">
        <f t="shared" si="30"/>
        <v xml:space="preserve"> </v>
      </c>
      <c r="D458" s="42"/>
      <c r="E458" s="42"/>
      <c r="J458" s="17">
        <f t="shared" si="33"/>
        <v>0</v>
      </c>
      <c r="K458" s="2" t="str">
        <f t="shared" si="34"/>
        <v xml:space="preserve"> </v>
      </c>
      <c r="L458" s="2" t="str">
        <f t="shared" si="31"/>
        <v xml:space="preserve"> </v>
      </c>
      <c r="M458" s="2" t="str">
        <f t="shared" si="32"/>
        <v xml:space="preserve"> </v>
      </c>
    </row>
    <row r="459" spans="1:13" x14ac:dyDescent="0.25">
      <c r="A459" s="43" t="str">
        <f t="shared" si="30"/>
        <v xml:space="preserve"> </v>
      </c>
      <c r="D459" s="42"/>
      <c r="E459" s="42"/>
      <c r="J459" s="17">
        <f t="shared" si="33"/>
        <v>0</v>
      </c>
      <c r="K459" s="2" t="str">
        <f t="shared" si="34"/>
        <v xml:space="preserve"> </v>
      </c>
      <c r="L459" s="2" t="str">
        <f t="shared" si="31"/>
        <v xml:space="preserve"> </v>
      </c>
      <c r="M459" s="2" t="str">
        <f t="shared" si="32"/>
        <v xml:space="preserve"> </v>
      </c>
    </row>
    <row r="460" spans="1:13" x14ac:dyDescent="0.25">
      <c r="A460" s="43" t="str">
        <f t="shared" si="30"/>
        <v xml:space="preserve"> </v>
      </c>
      <c r="D460" s="42"/>
      <c r="E460" s="42"/>
      <c r="J460" s="17">
        <f t="shared" si="33"/>
        <v>0</v>
      </c>
      <c r="K460" s="2" t="str">
        <f t="shared" si="34"/>
        <v xml:space="preserve"> </v>
      </c>
      <c r="L460" s="2" t="str">
        <f t="shared" si="31"/>
        <v xml:space="preserve"> </v>
      </c>
      <c r="M460" s="2" t="str">
        <f t="shared" si="32"/>
        <v xml:space="preserve"> </v>
      </c>
    </row>
    <row r="461" spans="1:13" x14ac:dyDescent="0.25">
      <c r="A461" s="43" t="str">
        <f t="shared" si="30"/>
        <v xml:space="preserve"> </v>
      </c>
      <c r="D461" s="42"/>
      <c r="E461" s="42"/>
      <c r="J461" s="17">
        <f t="shared" si="33"/>
        <v>0</v>
      </c>
      <c r="K461" s="2" t="str">
        <f t="shared" si="34"/>
        <v xml:space="preserve"> </v>
      </c>
      <c r="L461" s="2" t="str">
        <f t="shared" si="31"/>
        <v xml:space="preserve"> </v>
      </c>
      <c r="M461" s="2" t="str">
        <f t="shared" si="32"/>
        <v xml:space="preserve"> </v>
      </c>
    </row>
    <row r="462" spans="1:13" x14ac:dyDescent="0.25">
      <c r="A462" s="43" t="str">
        <f t="shared" si="30"/>
        <v xml:space="preserve"> </v>
      </c>
      <c r="D462" s="42"/>
      <c r="E462" s="42"/>
      <c r="J462" s="17">
        <f t="shared" si="33"/>
        <v>0</v>
      </c>
      <c r="K462" s="2" t="str">
        <f t="shared" si="34"/>
        <v xml:space="preserve"> </v>
      </c>
      <c r="L462" s="2" t="str">
        <f t="shared" si="31"/>
        <v xml:space="preserve"> </v>
      </c>
      <c r="M462" s="2" t="str">
        <f t="shared" si="32"/>
        <v xml:space="preserve"> </v>
      </c>
    </row>
    <row r="463" spans="1:13" x14ac:dyDescent="0.25">
      <c r="A463" s="43" t="str">
        <f t="shared" ref="A463:A482" si="35">IF(COUNTIF(K463:M463,"ERROR")&gt;0,"ERROR"," ")</f>
        <v xml:space="preserve"> </v>
      </c>
      <c r="D463" s="42"/>
      <c r="E463" s="42"/>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43" t="str">
        <f t="shared" si="35"/>
        <v xml:space="preserve"> </v>
      </c>
      <c r="D464" s="42"/>
      <c r="E464" s="42"/>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43" t="str">
        <f t="shared" si="35"/>
        <v xml:space="preserve"> </v>
      </c>
      <c r="D465" s="42"/>
      <c r="E465" s="42"/>
      <c r="J465" s="17">
        <f t="shared" si="38"/>
        <v>0</v>
      </c>
      <c r="K465" s="2" t="str">
        <f t="shared" si="39"/>
        <v xml:space="preserve"> </v>
      </c>
      <c r="L465" s="2" t="str">
        <f t="shared" si="36"/>
        <v xml:space="preserve"> </v>
      </c>
      <c r="M465" s="2" t="str">
        <f t="shared" si="37"/>
        <v xml:space="preserve"> </v>
      </c>
    </row>
    <row r="466" spans="1:13" x14ac:dyDescent="0.25">
      <c r="A466" s="43" t="str">
        <f t="shared" si="35"/>
        <v xml:space="preserve"> </v>
      </c>
      <c r="D466" s="42"/>
      <c r="E466" s="42"/>
      <c r="J466" s="17">
        <f t="shared" si="38"/>
        <v>0</v>
      </c>
      <c r="K466" s="2" t="str">
        <f t="shared" si="39"/>
        <v xml:space="preserve"> </v>
      </c>
      <c r="L466" s="2" t="str">
        <f t="shared" si="36"/>
        <v xml:space="preserve"> </v>
      </c>
      <c r="M466" s="2" t="str">
        <f t="shared" si="37"/>
        <v xml:space="preserve"> </v>
      </c>
    </row>
    <row r="467" spans="1:13" x14ac:dyDescent="0.25">
      <c r="A467" s="43" t="str">
        <f t="shared" si="35"/>
        <v xml:space="preserve"> </v>
      </c>
      <c r="D467" s="42"/>
      <c r="E467" s="42"/>
      <c r="J467" s="17">
        <f t="shared" si="38"/>
        <v>0</v>
      </c>
      <c r="K467" s="2" t="str">
        <f t="shared" si="39"/>
        <v xml:space="preserve"> </v>
      </c>
      <c r="L467" s="2" t="str">
        <f t="shared" si="36"/>
        <v xml:space="preserve"> </v>
      </c>
      <c r="M467" s="2" t="str">
        <f t="shared" si="37"/>
        <v xml:space="preserve"> </v>
      </c>
    </row>
    <row r="468" spans="1:13" x14ac:dyDescent="0.25">
      <c r="A468" s="43" t="str">
        <f t="shared" si="35"/>
        <v xml:space="preserve"> </v>
      </c>
      <c r="D468" s="42"/>
      <c r="E468" s="42"/>
      <c r="J468" s="17">
        <f t="shared" si="38"/>
        <v>0</v>
      </c>
      <c r="K468" s="2" t="str">
        <f t="shared" si="39"/>
        <v xml:space="preserve"> </v>
      </c>
      <c r="L468" s="2" t="str">
        <f t="shared" si="36"/>
        <v xml:space="preserve"> </v>
      </c>
      <c r="M468" s="2" t="str">
        <f t="shared" si="37"/>
        <v xml:space="preserve"> </v>
      </c>
    </row>
    <row r="469" spans="1:13" x14ac:dyDescent="0.25">
      <c r="A469" s="43" t="str">
        <f t="shared" si="35"/>
        <v xml:space="preserve"> </v>
      </c>
      <c r="D469" s="42"/>
      <c r="E469" s="42"/>
      <c r="J469" s="17">
        <f t="shared" si="38"/>
        <v>0</v>
      </c>
      <c r="K469" s="2" t="str">
        <f t="shared" si="39"/>
        <v xml:space="preserve"> </v>
      </c>
      <c r="L469" s="2" t="str">
        <f t="shared" si="36"/>
        <v xml:space="preserve"> </v>
      </c>
      <c r="M469" s="2" t="str">
        <f t="shared" si="37"/>
        <v xml:space="preserve"> </v>
      </c>
    </row>
    <row r="470" spans="1:13" x14ac:dyDescent="0.25">
      <c r="A470" s="43" t="str">
        <f t="shared" si="35"/>
        <v xml:space="preserve"> </v>
      </c>
      <c r="D470" s="42"/>
      <c r="E470" s="42"/>
      <c r="J470" s="17">
        <f t="shared" si="38"/>
        <v>0</v>
      </c>
      <c r="K470" s="2" t="str">
        <f t="shared" si="39"/>
        <v xml:space="preserve"> </v>
      </c>
      <c r="L470" s="2" t="str">
        <f t="shared" si="36"/>
        <v xml:space="preserve"> </v>
      </c>
      <c r="M470" s="2" t="str">
        <f t="shared" si="37"/>
        <v xml:space="preserve"> </v>
      </c>
    </row>
    <row r="471" spans="1:13" x14ac:dyDescent="0.25">
      <c r="A471" s="43" t="str">
        <f t="shared" si="35"/>
        <v xml:space="preserve"> </v>
      </c>
      <c r="D471" s="42"/>
      <c r="E471" s="42"/>
      <c r="J471" s="17">
        <f t="shared" si="38"/>
        <v>0</v>
      </c>
      <c r="K471" s="2" t="str">
        <f t="shared" si="39"/>
        <v xml:space="preserve"> </v>
      </c>
      <c r="L471" s="2" t="str">
        <f t="shared" si="36"/>
        <v xml:space="preserve"> </v>
      </c>
      <c r="M471" s="2" t="str">
        <f t="shared" si="37"/>
        <v xml:space="preserve"> </v>
      </c>
    </row>
    <row r="472" spans="1:13" x14ac:dyDescent="0.25">
      <c r="A472" s="43" t="str">
        <f t="shared" si="35"/>
        <v xml:space="preserve"> </v>
      </c>
      <c r="D472" s="42"/>
      <c r="E472" s="42"/>
      <c r="J472" s="17">
        <f t="shared" si="38"/>
        <v>0</v>
      </c>
      <c r="K472" s="2" t="str">
        <f t="shared" si="39"/>
        <v xml:space="preserve"> </v>
      </c>
      <c r="L472" s="2" t="str">
        <f t="shared" si="36"/>
        <v xml:space="preserve"> </v>
      </c>
      <c r="M472" s="2" t="str">
        <f t="shared" si="37"/>
        <v xml:space="preserve"> </v>
      </c>
    </row>
    <row r="473" spans="1:13" x14ac:dyDescent="0.25">
      <c r="A473" s="43" t="str">
        <f t="shared" si="35"/>
        <v xml:space="preserve"> </v>
      </c>
      <c r="D473" s="42"/>
      <c r="E473" s="42"/>
      <c r="J473" s="17">
        <f t="shared" si="38"/>
        <v>0</v>
      </c>
      <c r="K473" s="2" t="str">
        <f t="shared" si="39"/>
        <v xml:space="preserve"> </v>
      </c>
      <c r="L473" s="2" t="str">
        <f t="shared" si="36"/>
        <v xml:space="preserve"> </v>
      </c>
      <c r="M473" s="2" t="str">
        <f t="shared" si="37"/>
        <v xml:space="preserve"> </v>
      </c>
    </row>
    <row r="474" spans="1:13" x14ac:dyDescent="0.25">
      <c r="A474" s="43" t="str">
        <f t="shared" si="35"/>
        <v xml:space="preserve"> </v>
      </c>
      <c r="D474" s="42"/>
      <c r="E474" s="42"/>
      <c r="J474" s="17">
        <f t="shared" si="38"/>
        <v>0</v>
      </c>
      <c r="K474" s="2" t="str">
        <f t="shared" si="39"/>
        <v xml:space="preserve"> </v>
      </c>
      <c r="L474" s="2" t="str">
        <f t="shared" si="36"/>
        <v xml:space="preserve"> </v>
      </c>
      <c r="M474" s="2" t="str">
        <f t="shared" si="37"/>
        <v xml:space="preserve"> </v>
      </c>
    </row>
    <row r="475" spans="1:13" x14ac:dyDescent="0.25">
      <c r="A475" s="43" t="str">
        <f t="shared" si="35"/>
        <v xml:space="preserve"> </v>
      </c>
      <c r="D475" s="42"/>
      <c r="E475" s="42"/>
      <c r="J475" s="17">
        <f t="shared" si="38"/>
        <v>0</v>
      </c>
      <c r="K475" s="2" t="str">
        <f t="shared" si="39"/>
        <v xml:space="preserve"> </v>
      </c>
      <c r="L475" s="2" t="str">
        <f t="shared" si="36"/>
        <v xml:space="preserve"> </v>
      </c>
      <c r="M475" s="2" t="str">
        <f t="shared" si="37"/>
        <v xml:space="preserve"> </v>
      </c>
    </row>
    <row r="476" spans="1:13" x14ac:dyDescent="0.25">
      <c r="A476" s="43" t="str">
        <f t="shared" si="35"/>
        <v xml:space="preserve"> </v>
      </c>
      <c r="D476" s="42"/>
      <c r="E476" s="42"/>
      <c r="J476" s="17">
        <f t="shared" si="38"/>
        <v>0</v>
      </c>
      <c r="K476" s="2" t="str">
        <f t="shared" si="39"/>
        <v xml:space="preserve"> </v>
      </c>
      <c r="L476" s="2" t="str">
        <f t="shared" si="36"/>
        <v xml:space="preserve"> </v>
      </c>
      <c r="M476" s="2" t="str">
        <f t="shared" si="37"/>
        <v xml:space="preserve"> </v>
      </c>
    </row>
    <row r="477" spans="1:13" x14ac:dyDescent="0.25">
      <c r="A477" s="43" t="str">
        <f t="shared" si="35"/>
        <v xml:space="preserve"> </v>
      </c>
      <c r="D477" s="42"/>
      <c r="E477" s="42"/>
      <c r="J477" s="17">
        <f t="shared" si="38"/>
        <v>0</v>
      </c>
      <c r="K477" s="2" t="str">
        <f t="shared" si="39"/>
        <v xml:space="preserve"> </v>
      </c>
      <c r="L477" s="2" t="str">
        <f t="shared" si="36"/>
        <v xml:space="preserve"> </v>
      </c>
      <c r="M477" s="2" t="str">
        <f t="shared" si="37"/>
        <v xml:space="preserve"> </v>
      </c>
    </row>
    <row r="478" spans="1:13" x14ac:dyDescent="0.25">
      <c r="A478" s="43" t="str">
        <f t="shared" si="35"/>
        <v xml:space="preserve"> </v>
      </c>
      <c r="D478" s="42"/>
      <c r="E478" s="42"/>
      <c r="J478" s="17">
        <f t="shared" si="38"/>
        <v>0</v>
      </c>
      <c r="K478" s="2" t="str">
        <f t="shared" si="39"/>
        <v xml:space="preserve"> </v>
      </c>
      <c r="L478" s="2" t="str">
        <f t="shared" si="36"/>
        <v xml:space="preserve"> </v>
      </c>
      <c r="M478" s="2" t="str">
        <f t="shared" si="37"/>
        <v xml:space="preserve"> </v>
      </c>
    </row>
    <row r="479" spans="1:13" x14ac:dyDescent="0.25">
      <c r="A479" s="43" t="str">
        <f t="shared" si="35"/>
        <v xml:space="preserve"> </v>
      </c>
      <c r="D479" s="42"/>
      <c r="E479" s="42"/>
      <c r="J479" s="17">
        <f t="shared" si="38"/>
        <v>0</v>
      </c>
      <c r="K479" s="2" t="str">
        <f t="shared" si="39"/>
        <v xml:space="preserve"> </v>
      </c>
      <c r="L479" s="2" t="str">
        <f t="shared" si="36"/>
        <v xml:space="preserve"> </v>
      </c>
      <c r="M479" s="2" t="str">
        <f t="shared" si="37"/>
        <v xml:space="preserve"> </v>
      </c>
    </row>
    <row r="480" spans="1:13" x14ac:dyDescent="0.25">
      <c r="A480" s="43" t="str">
        <f t="shared" si="35"/>
        <v xml:space="preserve"> </v>
      </c>
      <c r="D480" s="42"/>
      <c r="E480" s="42"/>
      <c r="J480" s="17">
        <f t="shared" si="38"/>
        <v>0</v>
      </c>
      <c r="K480" s="2" t="str">
        <f t="shared" si="39"/>
        <v xml:space="preserve"> </v>
      </c>
      <c r="L480" s="2" t="str">
        <f t="shared" si="36"/>
        <v xml:space="preserve"> </v>
      </c>
      <c r="M480" s="2" t="str">
        <f t="shared" si="37"/>
        <v xml:space="preserve"> </v>
      </c>
    </row>
    <row r="481" spans="1:13" x14ac:dyDescent="0.25">
      <c r="A481" s="43" t="str">
        <f t="shared" si="35"/>
        <v xml:space="preserve"> </v>
      </c>
      <c r="D481" s="42"/>
      <c r="E481" s="42"/>
      <c r="J481" s="17">
        <f t="shared" si="38"/>
        <v>0</v>
      </c>
      <c r="K481" s="2" t="str">
        <f t="shared" si="39"/>
        <v xml:space="preserve"> </v>
      </c>
      <c r="L481" s="2" t="str">
        <f t="shared" si="36"/>
        <v xml:space="preserve"> </v>
      </c>
      <c r="M481" s="2" t="str">
        <f t="shared" si="37"/>
        <v xml:space="preserve"> </v>
      </c>
    </row>
    <row r="482" spans="1:13" x14ac:dyDescent="0.25">
      <c r="A482" s="43" t="str">
        <f t="shared" si="35"/>
        <v xml:space="preserve"> </v>
      </c>
      <c r="D482" s="42"/>
      <c r="E482" s="42"/>
      <c r="J482" s="17">
        <f t="shared" si="38"/>
        <v>0</v>
      </c>
      <c r="K482" s="2" t="str">
        <f t="shared" si="39"/>
        <v xml:space="preserve"> </v>
      </c>
      <c r="L482" s="2" t="str">
        <f t="shared" si="36"/>
        <v xml:space="preserve"> </v>
      </c>
      <c r="M482" s="2" t="str">
        <f t="shared" si="37"/>
        <v xml:space="preserve"> </v>
      </c>
    </row>
    <row r="483" spans="1:13" x14ac:dyDescent="0.25">
      <c r="A483" s="43"/>
    </row>
    <row r="484" spans="1:13" ht="16.5" thickBot="1" x14ac:dyDescent="0.3">
      <c r="A484" s="43"/>
      <c r="F484" s="19">
        <f>SUM(F14:F483)</f>
        <v>0</v>
      </c>
      <c r="G484" s="19">
        <f>SUM(G14:G483)</f>
        <v>0</v>
      </c>
      <c r="H484" s="19">
        <f>SUM(H14:H483)</f>
        <v>0</v>
      </c>
      <c r="I484" s="19">
        <f>SUM(I14:I483)</f>
        <v>0</v>
      </c>
    </row>
    <row r="485" spans="1:13" ht="16.5" thickTop="1" x14ac:dyDescent="0.25">
      <c r="A485" s="43"/>
    </row>
    <row r="486" spans="1:13" x14ac:dyDescent="0.25">
      <c r="A486" s="43"/>
      <c r="C486" s="2" t="s">
        <v>354</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1639-7EF2-467F-BF9C-1335239CDAFC}">
  <dimension ref="B2:I123"/>
  <sheetViews>
    <sheetView workbookViewId="0">
      <selection activeCell="B3" sqref="B3"/>
    </sheetView>
  </sheetViews>
  <sheetFormatPr defaultRowHeight="15.75" x14ac:dyDescent="0.2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 style="2" bestFit="1" customWidth="1"/>
    <col min="8" max="8" width="23.28515625" style="2" bestFit="1" customWidth="1"/>
    <col min="9" max="9" width="12.7109375" style="2" bestFit="1" customWidth="1"/>
    <col min="10" max="16384" width="9.140625" style="2"/>
  </cols>
  <sheetData>
    <row r="2" spans="2:5" x14ac:dyDescent="0.25">
      <c r="B2" s="2" t="s">
        <v>1261</v>
      </c>
    </row>
    <row r="3" spans="2:5" x14ac:dyDescent="0.25">
      <c r="B3" s="2" t="s">
        <v>1262</v>
      </c>
    </row>
    <row r="4" spans="2:5" ht="16.5" thickBot="1" x14ac:dyDescent="0.3">
      <c r="C4" s="716" t="s">
        <v>1228</v>
      </c>
      <c r="D4" s="716"/>
      <c r="E4" s="716"/>
    </row>
    <row r="5" spans="2:5" ht="16.5" thickBot="1" x14ac:dyDescent="0.3">
      <c r="C5" s="349">
        <f>Criteria!E22</f>
        <v>2024</v>
      </c>
      <c r="D5" s="28"/>
      <c r="E5" s="349">
        <f>Criteria!E27</f>
        <v>2023</v>
      </c>
    </row>
    <row r="6" spans="2:5" x14ac:dyDescent="0.25">
      <c r="C6" s="28"/>
      <c r="D6" s="28"/>
      <c r="E6" s="28"/>
    </row>
    <row r="7" spans="2:5" x14ac:dyDescent="0.25">
      <c r="B7" s="355" t="s">
        <v>1212</v>
      </c>
    </row>
    <row r="8" spans="2:5" x14ac:dyDescent="0.25">
      <c r="B8" s="350"/>
    </row>
    <row r="9" spans="2:5" x14ac:dyDescent="0.25">
      <c r="B9" s="358" t="s">
        <v>1699</v>
      </c>
      <c r="C9" s="319">
        <f>FS!M525-FS!O525</f>
        <v>0</v>
      </c>
      <c r="E9" s="686"/>
    </row>
    <row r="10" spans="2:5" x14ac:dyDescent="0.25">
      <c r="B10" s="358" t="s">
        <v>1700</v>
      </c>
      <c r="C10" s="361" t="e">
        <f>C9/FS!O525</f>
        <v>#DIV/0!</v>
      </c>
      <c r="E10" s="686"/>
    </row>
    <row r="11" spans="2:5" x14ac:dyDescent="0.25">
      <c r="B11" s="350"/>
    </row>
    <row r="12" spans="2:5" x14ac:dyDescent="0.25">
      <c r="B12" s="358" t="s">
        <v>1701</v>
      </c>
      <c r="C12" s="319">
        <f>-FS!M527+FS!O527</f>
        <v>0</v>
      </c>
      <c r="E12" s="686"/>
    </row>
    <row r="13" spans="2:5" x14ac:dyDescent="0.25">
      <c r="B13" s="358" t="s">
        <v>1702</v>
      </c>
      <c r="C13" s="361" t="e">
        <f>C12/-FS!O527</f>
        <v>#DIV/0!</v>
      </c>
      <c r="E13" s="686"/>
    </row>
    <row r="14" spans="2:5" x14ac:dyDescent="0.25">
      <c r="B14" s="358"/>
      <c r="C14" s="351"/>
    </row>
    <row r="15" spans="2:5" x14ac:dyDescent="0.25">
      <c r="B15" s="358" t="s">
        <v>1703</v>
      </c>
      <c r="C15" s="319">
        <f>FS!M530-FS!O530</f>
        <v>0</v>
      </c>
      <c r="E15" s="686"/>
    </row>
    <row r="16" spans="2:5" x14ac:dyDescent="0.25">
      <c r="B16" s="358" t="s">
        <v>1704</v>
      </c>
      <c r="C16" s="361" t="e">
        <f>C15/FS!O530</f>
        <v>#DIV/0!</v>
      </c>
      <c r="E16" s="686"/>
    </row>
    <row r="17" spans="2:8" x14ac:dyDescent="0.25">
      <c r="B17" s="359"/>
      <c r="C17" s="360"/>
      <c r="D17" s="7"/>
      <c r="E17" s="144"/>
    </row>
    <row r="19" spans="2:8" x14ac:dyDescent="0.25">
      <c r="B19" s="2" t="s">
        <v>1710</v>
      </c>
      <c r="C19" s="687">
        <v>150</v>
      </c>
      <c r="D19" s="2" t="s">
        <v>855</v>
      </c>
      <c r="E19" s="687">
        <v>150</v>
      </c>
      <c r="F19" s="2" t="s">
        <v>855</v>
      </c>
    </row>
    <row r="21" spans="2:8" x14ac:dyDescent="0.25">
      <c r="B21" s="2" t="s">
        <v>1223</v>
      </c>
      <c r="C21" s="351" t="e">
        <f>FS!M530/-FS!M527</f>
        <v>#DIV/0!</v>
      </c>
      <c r="E21" s="351" t="e">
        <f>FS!O530/-FS!O527</f>
        <v>#DIV/0!</v>
      </c>
    </row>
    <row r="23" spans="2:8" x14ac:dyDescent="0.25">
      <c r="B23" s="2" t="s">
        <v>1711</v>
      </c>
      <c r="C23" s="21">
        <f>SUM(TrialBalance!L13:L17)-(-TrialBalance!L5)*100/(100+C19)</f>
        <v>0</v>
      </c>
      <c r="E23" s="356">
        <f>SUM(TrialBalance!N13:N17)-(-TrialBalance!N5*100/(100+E19))</f>
        <v>0</v>
      </c>
    </row>
    <row r="24" spans="2:8" x14ac:dyDescent="0.25">
      <c r="B24" s="2" t="s">
        <v>1705</v>
      </c>
      <c r="C24" s="21"/>
      <c r="E24" s="356"/>
    </row>
    <row r="25" spans="2:8" x14ac:dyDescent="0.25">
      <c r="C25" s="21"/>
      <c r="E25" s="356"/>
    </row>
    <row r="26" spans="2:8" x14ac:dyDescent="0.25">
      <c r="B26" s="2" t="s">
        <v>1227</v>
      </c>
      <c r="C26" s="357" t="e">
        <f>FS!M530/FS!M525</f>
        <v>#DIV/0!</v>
      </c>
      <c r="E26" s="357" t="e">
        <f>FS!O530/FS!O525</f>
        <v>#DIV/0!</v>
      </c>
    </row>
    <row r="28" spans="2:8" x14ac:dyDescent="0.25">
      <c r="G28" s="5" t="s">
        <v>981</v>
      </c>
    </row>
    <row r="29" spans="2:8" x14ac:dyDescent="0.25">
      <c r="B29" s="352"/>
      <c r="G29" s="5" t="s">
        <v>1221</v>
      </c>
    </row>
    <row r="30" spans="2:8" x14ac:dyDescent="0.25">
      <c r="E30" s="2"/>
      <c r="G30" s="5" t="s">
        <v>1222</v>
      </c>
    </row>
    <row r="31" spans="2:8" x14ac:dyDescent="0.25">
      <c r="G31" s="354" t="s">
        <v>1213</v>
      </c>
    </row>
    <row r="32" spans="2:8" hidden="1" x14ac:dyDescent="0.25">
      <c r="G32" s="2" t="s">
        <v>1213</v>
      </c>
      <c r="H32" s="2" t="s">
        <v>1214</v>
      </c>
    </row>
    <row r="33" spans="2:9" x14ac:dyDescent="0.25">
      <c r="B33" s="353" t="s">
        <v>1215</v>
      </c>
      <c r="E33" s="5" t="s">
        <v>1225</v>
      </c>
    </row>
    <row r="34" spans="2:9" x14ac:dyDescent="0.25">
      <c r="E34" s="5" t="s">
        <v>1216</v>
      </c>
      <c r="G34" s="5" t="s">
        <v>1217</v>
      </c>
    </row>
    <row r="35" spans="2:9" x14ac:dyDescent="0.25">
      <c r="B35" s="2" t="s">
        <v>1218</v>
      </c>
      <c r="C35" s="351" t="e">
        <f>IF(G31="YEAR",(-TrialBalance!L5+TrialBalance!N5)/-TrialBalance!N5,(-TrialBalance!L5-E35)/E35)</f>
        <v>#DIV/0!</v>
      </c>
      <c r="E35" s="189">
        <f>IF(G35=0,-TrialBalance!N5,-TrialBalance!N5*365/G35)</f>
        <v>0</v>
      </c>
      <c r="G35" s="686"/>
      <c r="I35" s="17"/>
    </row>
    <row r="37" spans="2:9" x14ac:dyDescent="0.25">
      <c r="B37" s="2" t="s">
        <v>1224</v>
      </c>
      <c r="C37" s="351" t="e">
        <f>(TrialBalance!L157-TrialBalance!N157)/TrialBalance!N157</f>
        <v>#DIV/0!</v>
      </c>
      <c r="E37" s="686"/>
    </row>
    <row r="38" spans="2:9" x14ac:dyDescent="0.25">
      <c r="C38" s="351"/>
    </row>
    <row r="39" spans="2:9" ht="16.5" thickBot="1" x14ac:dyDescent="0.3"/>
    <row r="40" spans="2:9" ht="16.5" thickBot="1" x14ac:dyDescent="0.3">
      <c r="C40" s="349">
        <f>C5</f>
        <v>2024</v>
      </c>
      <c r="D40" s="28"/>
      <c r="E40" s="349">
        <f>C5</f>
        <v>2024</v>
      </c>
      <c r="G40" s="349">
        <f>E5</f>
        <v>2023</v>
      </c>
    </row>
    <row r="41" spans="2:9" x14ac:dyDescent="0.25">
      <c r="C41" s="28" t="s">
        <v>855</v>
      </c>
      <c r="D41" s="28"/>
      <c r="E41" s="5" t="s">
        <v>1706</v>
      </c>
      <c r="G41" s="28" t="s">
        <v>855</v>
      </c>
    </row>
    <row r="42" spans="2:9" x14ac:dyDescent="0.25">
      <c r="B42" s="353" t="s">
        <v>1219</v>
      </c>
      <c r="C42" s="5" t="s">
        <v>1707</v>
      </c>
      <c r="E42" s="5" t="s">
        <v>1707</v>
      </c>
      <c r="G42" s="5" t="s">
        <v>1707</v>
      </c>
      <c r="H42" s="5" t="s">
        <v>981</v>
      </c>
    </row>
    <row r="43" spans="2:9" x14ac:dyDescent="0.25">
      <c r="H43" s="5" t="s">
        <v>1220</v>
      </c>
    </row>
    <row r="44" spans="2:9" x14ac:dyDescent="0.25">
      <c r="B44" s="2" t="str">
        <f>TrialBalance!C17</f>
        <v>Purchases</v>
      </c>
      <c r="C44" s="351" t="str">
        <f>IF(H44=0,IF(TrialBalance!L17=0,"0%","100%"),E44/H44)</f>
        <v>0%</v>
      </c>
      <c r="E44" s="189">
        <f>TrialBalance!L17-Analytical!H44</f>
        <v>0</v>
      </c>
      <c r="G44" s="169"/>
      <c r="H44" s="189">
        <f>IF(G$35=0,TrialBalance!N17,TrialBalance!N17*365/G$35)</f>
        <v>0</v>
      </c>
    </row>
    <row r="45" spans="2:9" x14ac:dyDescent="0.25">
      <c r="B45" s="2">
        <f>TrialBalance!C18</f>
        <v>0</v>
      </c>
      <c r="C45" s="351" t="str">
        <f>IF(H45=0,IF(TrialBalance!L18=0,"0%","100%"),E45/H45)</f>
        <v>0%</v>
      </c>
      <c r="E45" s="189">
        <f>TrialBalance!L18-Analytical!H45</f>
        <v>0</v>
      </c>
      <c r="G45" s="169"/>
      <c r="H45" s="189">
        <f>IF(G$35=0,TrialBalance!N18,TrialBalance!N18*365/G$35)</f>
        <v>0</v>
      </c>
    </row>
    <row r="46" spans="2:9" x14ac:dyDescent="0.25">
      <c r="B46" s="2">
        <f>TrialBalance!C19</f>
        <v>0</v>
      </c>
      <c r="C46" s="351" t="str">
        <f>IF(H46=0,IF(TrialBalance!L19=0,"0%","100%"),E46/H46)</f>
        <v>0%</v>
      </c>
      <c r="E46" s="189">
        <f>TrialBalance!L19-Analytical!H46</f>
        <v>0</v>
      </c>
      <c r="G46" s="169"/>
      <c r="H46" s="189">
        <f>IF(G$35=0,TrialBalance!N19,TrialBalance!N19*365/G$35)</f>
        <v>0</v>
      </c>
    </row>
    <row r="47" spans="2:9" x14ac:dyDescent="0.25">
      <c r="B47" s="2">
        <f>TrialBalance!C20</f>
        <v>0</v>
      </c>
      <c r="C47" s="351" t="str">
        <f>IF(H47=0,IF(TrialBalance!L20=0,"0%","100%"),E47/H47)</f>
        <v>0%</v>
      </c>
      <c r="E47" s="189">
        <f>TrialBalance!L20-Analytical!H47</f>
        <v>0</v>
      </c>
      <c r="G47" s="169"/>
      <c r="H47" s="189">
        <f>IF(G$35=0,TrialBalance!N20,TrialBalance!N20*365/G$35)</f>
        <v>0</v>
      </c>
    </row>
    <row r="48" spans="2:9" x14ac:dyDescent="0.25">
      <c r="B48" s="2">
        <f>TrialBalance!C21</f>
        <v>0</v>
      </c>
      <c r="C48" s="351" t="str">
        <f>IF(H48=0,IF(TrialBalance!L21=0,"0%","100%"),E48/H48)</f>
        <v>0%</v>
      </c>
      <c r="E48" s="189">
        <f>TrialBalance!L21-Analytical!H48</f>
        <v>0</v>
      </c>
      <c r="G48" s="169"/>
      <c r="H48" s="189">
        <f>IF(G$35=0,TrialBalance!N21,TrialBalance!N21*365/G$35)</f>
        <v>0</v>
      </c>
    </row>
    <row r="49" spans="2:8" x14ac:dyDescent="0.25">
      <c r="B49" s="2">
        <f>TrialBalance!C22</f>
        <v>0</v>
      </c>
      <c r="C49" s="351" t="str">
        <f>IF(H49=0,IF(TrialBalance!L22=0,"0%","100%"),E49/H49)</f>
        <v>0%</v>
      </c>
      <c r="E49" s="189">
        <f>TrialBalance!L22-Analytical!H49</f>
        <v>0</v>
      </c>
      <c r="G49" s="169"/>
      <c r="H49" s="189">
        <f>IF(G$35=0,TrialBalance!N22,TrialBalance!N22*365/G$35)</f>
        <v>0</v>
      </c>
    </row>
    <row r="50" spans="2:8" x14ac:dyDescent="0.25">
      <c r="B50" s="2" t="str">
        <f>TrialBalance!C39</f>
        <v>OPERATING EXPENSES</v>
      </c>
      <c r="C50" s="351"/>
      <c r="E50" s="189"/>
      <c r="G50" s="169"/>
      <c r="H50" s="189"/>
    </row>
    <row r="51" spans="2:8" x14ac:dyDescent="0.25">
      <c r="B51" s="2" t="str">
        <f>TrialBalance!C40</f>
        <v>Advertising</v>
      </c>
      <c r="C51" s="351" t="str">
        <f>IF(H51=0,IF(TrialBalance!L40=0,"0%","100%"),E51/H51)</f>
        <v>0%</v>
      </c>
      <c r="E51" s="189">
        <f>TrialBalance!L40-Analytical!H51</f>
        <v>0</v>
      </c>
      <c r="G51" s="169"/>
      <c r="H51" s="189">
        <f>IF(G$35=0,TrialBalance!N40,TrialBalance!N40*365/G$35)</f>
        <v>0</v>
      </c>
    </row>
    <row r="52" spans="2:8" x14ac:dyDescent="0.25">
      <c r="B52" s="2" t="str">
        <f>TrialBalance!C41</f>
        <v>Assets less than R7,000</v>
      </c>
      <c r="C52" s="351" t="str">
        <f>IF(H52=0,IF(TrialBalance!L41=0,"0%","100%"),E52/H52)</f>
        <v>0%</v>
      </c>
      <c r="E52" s="189">
        <f>TrialBalance!L41-Analytical!H52</f>
        <v>0</v>
      </c>
      <c r="G52" s="169"/>
      <c r="H52" s="189">
        <f>IF(G$35=0,TrialBalance!N41,TrialBalance!N41*365/G$35)</f>
        <v>0</v>
      </c>
    </row>
    <row r="53" spans="2:8" x14ac:dyDescent="0.25">
      <c r="B53" s="2" t="str">
        <f>TrialBalance!C42</f>
        <v>Consumables</v>
      </c>
      <c r="C53" s="351" t="str">
        <f>IF(H53=0,IF(TrialBalance!L42=0,"0%","100%"),E53/H53)</f>
        <v>0%</v>
      </c>
      <c r="E53" s="189">
        <f>TrialBalance!L42-Analytical!H53</f>
        <v>0</v>
      </c>
      <c r="G53" s="169"/>
      <c r="H53" s="189">
        <f>IF(G$35=0,TrialBalance!N42,TrialBalance!N42*365/G$35)</f>
        <v>0</v>
      </c>
    </row>
    <row r="54" spans="2:8" x14ac:dyDescent="0.25">
      <c r="B54" s="2" t="str">
        <f>TrialBalance!C47</f>
        <v>Discounts allowed</v>
      </c>
      <c r="C54" s="351" t="str">
        <f>IF(H54=0,IF(TrialBalance!L47=0,"0%","100%"),E54/H54)</f>
        <v>0%</v>
      </c>
      <c r="E54" s="189">
        <f>TrialBalance!L47-Analytical!H54</f>
        <v>0</v>
      </c>
      <c r="G54" s="169"/>
      <c r="H54" s="189">
        <f>IF(G$35=0,TrialBalance!N47,TrialBalance!N47*365/G$35)</f>
        <v>0</v>
      </c>
    </row>
    <row r="55" spans="2:8" x14ac:dyDescent="0.25">
      <c r="B55" s="2" t="str">
        <f>TrialBalance!C48</f>
        <v>Electricity and water</v>
      </c>
      <c r="C55" s="351" t="str">
        <f>IF(H55=0,IF(TrialBalance!L48=0,"0%","100%"),E55/H55)</f>
        <v>0%</v>
      </c>
      <c r="E55" s="189">
        <f>TrialBalance!L48-Analytical!H55</f>
        <v>0</v>
      </c>
      <c r="G55" s="169"/>
      <c r="H55" s="189">
        <f>IF(G$35=0,TrialBalance!N48,TrialBalance!N48*365/G$35)</f>
        <v>0</v>
      </c>
    </row>
    <row r="56" spans="2:8" x14ac:dyDescent="0.25">
      <c r="B56" s="2" t="str">
        <f>TrialBalance!C49</f>
        <v>Equipment lease</v>
      </c>
      <c r="C56" s="351" t="str">
        <f>IF(H56=0,IF(TrialBalance!L49=0,"0%","100%"),E56/H56)</f>
        <v>0%</v>
      </c>
      <c r="E56" s="189">
        <f>TrialBalance!L49-Analytical!H56</f>
        <v>0</v>
      </c>
      <c r="G56" s="169"/>
      <c r="H56" s="189">
        <f>IF(G$35=0,TrialBalance!N49,TrialBalance!N49*365/G$35)</f>
        <v>0</v>
      </c>
    </row>
    <row r="57" spans="2:8" x14ac:dyDescent="0.25">
      <c r="B57" s="2" t="str">
        <f>TrialBalance!C50</f>
        <v>Insurance</v>
      </c>
      <c r="C57" s="351" t="str">
        <f>IF(H57=0,IF(TrialBalance!L50=0,"0%","100%"),E57/H57)</f>
        <v>0%</v>
      </c>
      <c r="E57" s="189">
        <f>TrialBalance!L50-Analytical!H57</f>
        <v>0</v>
      </c>
      <c r="G57" s="169"/>
      <c r="H57" s="189">
        <f>IF(G$35=0,TrialBalance!N50,TrialBalance!N50*365/G$35)</f>
        <v>0</v>
      </c>
    </row>
    <row r="58" spans="2:8" x14ac:dyDescent="0.25">
      <c r="B58" s="2" t="str">
        <f>TrialBalance!C51</f>
        <v>Levies - SDL</v>
      </c>
      <c r="C58" s="351" t="str">
        <f>IF(H58=0,IF(TrialBalance!L51=0,"0%","100%"),E58/H58)</f>
        <v>0%</v>
      </c>
      <c r="E58" s="189">
        <f>TrialBalance!L51-Analytical!H58</f>
        <v>0</v>
      </c>
      <c r="G58" s="169"/>
      <c r="H58" s="189">
        <f>IF(G$35=0,TrialBalance!N51,TrialBalance!N51*365/G$35)</f>
        <v>0</v>
      </c>
    </row>
    <row r="59" spans="2:8" x14ac:dyDescent="0.25">
      <c r="B59" s="2" t="str">
        <f>TrialBalance!C52</f>
        <v>Levies - other</v>
      </c>
      <c r="C59" s="351" t="str">
        <f>IF(H59=0,IF(TrialBalance!L52=0,"0%","100%"),E59/H59)</f>
        <v>0%</v>
      </c>
      <c r="E59" s="189">
        <f>TrialBalance!L52-Analytical!H59</f>
        <v>0</v>
      </c>
      <c r="G59" s="169"/>
      <c r="H59" s="189">
        <f>IF(G$35=0,TrialBalance!N52,TrialBalance!N52*365/G$35)</f>
        <v>0</v>
      </c>
    </row>
    <row r="60" spans="2:8" x14ac:dyDescent="0.25">
      <c r="B60" s="2" t="str">
        <f>TrialBalance!C53</f>
        <v>Trade licenses</v>
      </c>
      <c r="C60" s="351" t="str">
        <f>IF(H60=0,IF(TrialBalance!L53=0,"0%","100%"),E60/H60)</f>
        <v>0%</v>
      </c>
      <c r="E60" s="189">
        <f>TrialBalance!L53-Analytical!H60</f>
        <v>0</v>
      </c>
      <c r="G60" s="169"/>
      <c r="H60" s="189">
        <f>IF(G$35=0,TrialBalance!N53,TrialBalance!N53*365/G$35)</f>
        <v>0</v>
      </c>
    </row>
    <row r="61" spans="2:8" x14ac:dyDescent="0.25">
      <c r="B61" s="2" t="str">
        <f>TrialBalance!C55</f>
        <v>Motor vehicle expenses - Petrol and oil</v>
      </c>
      <c r="C61" s="351" t="str">
        <f>IF(H61=0,IF(TrialBalance!L55=0,"0%","100%"),E61/H61)</f>
        <v>0%</v>
      </c>
      <c r="E61" s="189">
        <f>TrialBalance!L55-Analytical!H61</f>
        <v>0</v>
      </c>
      <c r="G61" s="169"/>
      <c r="H61" s="189">
        <f>IF(G$35=0,TrialBalance!N55,TrialBalance!N55*365/G$35)</f>
        <v>0</v>
      </c>
    </row>
    <row r="62" spans="2:8" x14ac:dyDescent="0.25">
      <c r="B62" s="2" t="str">
        <f>TrialBalance!C56</f>
        <v>Motor vehicle expenses - R&amp;M</v>
      </c>
      <c r="C62" s="351" t="str">
        <f>IF(H62=0,IF(TrialBalance!L56=0,"0%","100%"),E62/H62)</f>
        <v>0%</v>
      </c>
      <c r="E62" s="189">
        <f>TrialBalance!L56-Analytical!H62</f>
        <v>0</v>
      </c>
      <c r="G62" s="169"/>
      <c r="H62" s="189">
        <f>IF(G$35=0,TrialBalance!N56,TrialBalance!N56*365/G$35)</f>
        <v>0</v>
      </c>
    </row>
    <row r="63" spans="2:8" x14ac:dyDescent="0.25">
      <c r="B63" s="2" t="str">
        <f>TrialBalance!C57</f>
        <v>Motor vehicle expenses - Insurance</v>
      </c>
      <c r="C63" s="351" t="str">
        <f>IF(H63=0,IF(TrialBalance!L57=0,"0%","100%"),E63/H63)</f>
        <v>0%</v>
      </c>
      <c r="E63" s="189">
        <f>TrialBalance!L57-Analytical!H63</f>
        <v>0</v>
      </c>
      <c r="G63" s="169"/>
      <c r="H63" s="189">
        <f>IF(G$35=0,TrialBalance!N57,TrialBalance!N57*365/G$35)</f>
        <v>0</v>
      </c>
    </row>
    <row r="64" spans="2:8" x14ac:dyDescent="0.25">
      <c r="B64" s="2" t="str">
        <f>TrialBalance!C58</f>
        <v>Motor vehicle expenses - Licenses</v>
      </c>
      <c r="C64" s="351" t="str">
        <f>IF(H64=0,IF(TrialBalance!L58=0,"0%","100%"),E64/H64)</f>
        <v>0%</v>
      </c>
      <c r="E64" s="189">
        <f>TrialBalance!L58-Analytical!H64</f>
        <v>0</v>
      </c>
      <c r="G64" s="169"/>
      <c r="H64" s="189">
        <f>IF(G$35=0,TrialBalance!N58,TrialBalance!N58*365/G$35)</f>
        <v>0</v>
      </c>
    </row>
    <row r="65" spans="2:8" x14ac:dyDescent="0.25">
      <c r="B65" s="2" t="str">
        <f>TrialBalance!C59</f>
        <v>Motor vehicle expenses - General</v>
      </c>
      <c r="C65" s="351" t="str">
        <f>IF(H65=0,IF(TrialBalance!L59=0,"0%","100%"),E65/H65)</f>
        <v>0%</v>
      </c>
      <c r="E65" s="189">
        <f>TrialBalance!L59-Analytical!H65</f>
        <v>0</v>
      </c>
      <c r="G65" s="169"/>
      <c r="H65" s="189">
        <f>IF(G$35=0,TrialBalance!N59,TrialBalance!N59*365/G$35)</f>
        <v>0</v>
      </c>
    </row>
    <row r="66" spans="2:8" x14ac:dyDescent="0.25">
      <c r="B66" s="2" t="str">
        <f>TrialBalance!C60</f>
        <v>Rent paid-------------------------------------</v>
      </c>
      <c r="C66" s="351"/>
      <c r="E66" s="189"/>
      <c r="G66" s="169"/>
      <c r="H66" s="189"/>
    </row>
    <row r="67" spans="2:8" x14ac:dyDescent="0.25">
      <c r="B67" s="2" t="str">
        <f>TrialBalance!C61</f>
        <v>Premises</v>
      </c>
      <c r="C67" s="351" t="str">
        <f>IF(H67=0,IF(TrialBalance!L61=0,"0%","100%"),E67/H67)</f>
        <v>0%</v>
      </c>
      <c r="E67" s="189">
        <f>TrialBalance!L61-Analytical!H67</f>
        <v>0</v>
      </c>
      <c r="G67" s="169"/>
      <c r="H67" s="189">
        <f>IF(G$35=0,TrialBalance!N61,TrialBalance!N61*365/G$35)</f>
        <v>0</v>
      </c>
    </row>
    <row r="68" spans="2:8" x14ac:dyDescent="0.25">
      <c r="B68" s="2">
        <f>TrialBalance!C62</f>
        <v>0</v>
      </c>
      <c r="C68" s="351" t="str">
        <f>IF(H68=0,IF(TrialBalance!L62=0,"0%","100%"),E68/H68)</f>
        <v>0%</v>
      </c>
      <c r="E68" s="189">
        <f>TrialBalance!L62-Analytical!H68</f>
        <v>0</v>
      </c>
      <c r="G68" s="169"/>
      <c r="H68" s="189">
        <f>IF(G$35=0,TrialBalance!N62,TrialBalance!N62*365/G$35)</f>
        <v>0</v>
      </c>
    </row>
    <row r="69" spans="2:8" x14ac:dyDescent="0.25">
      <c r="B69" s="2">
        <f>TrialBalance!C63</f>
        <v>0</v>
      </c>
      <c r="C69" s="351" t="str">
        <f>IF(H69=0,IF(TrialBalance!L63=0,"0%","100%"),E69/H69)</f>
        <v>0%</v>
      </c>
      <c r="E69" s="189">
        <f>TrialBalance!L63-Analytical!H69</f>
        <v>0</v>
      </c>
      <c r="G69" s="169"/>
      <c r="H69" s="189">
        <f>IF(G$35=0,TrialBalance!N63,TrialBalance!N63*365/G$35)</f>
        <v>0</v>
      </c>
    </row>
    <row r="70" spans="2:8" x14ac:dyDescent="0.25">
      <c r="B70" s="2" t="str">
        <f>TrialBalance!C64</f>
        <v>Repairs and maintenance</v>
      </c>
      <c r="C70" s="351" t="str">
        <f>IF(H70=0,IF(TrialBalance!L64=0,"0%","100%"),E70/H70)</f>
        <v>0%</v>
      </c>
      <c r="E70" s="189">
        <f>TrialBalance!L64-Analytical!H70</f>
        <v>0</v>
      </c>
      <c r="G70" s="169"/>
      <c r="H70" s="189">
        <f>IF(G$35=0,TrialBalance!N64,TrialBalance!N64*365/G$35)</f>
        <v>0</v>
      </c>
    </row>
    <row r="71" spans="2:8" x14ac:dyDescent="0.25">
      <c r="B71" s="2" t="str">
        <f>TrialBalance!C65</f>
        <v>Salaries</v>
      </c>
      <c r="C71" s="351" t="str">
        <f>IF(H71=0,IF(TrialBalance!L65=0,"0%","100%"),E71/H71)</f>
        <v>0%</v>
      </c>
      <c r="E71" s="189">
        <f>TrialBalance!L65-Analytical!H71</f>
        <v>0</v>
      </c>
      <c r="G71" s="169"/>
      <c r="H71" s="189">
        <f>IF(G$35=0,TrialBalance!N65,TrialBalance!N65*365/G$35)</f>
        <v>0</v>
      </c>
    </row>
    <row r="72" spans="2:8" x14ac:dyDescent="0.25">
      <c r="B72" s="2" t="str">
        <f>TrialBalance!C66</f>
        <v>UIF - Employer</v>
      </c>
      <c r="C72" s="351" t="str">
        <f>IF(H72=0,IF(TrialBalance!L66=0,"0%","100%"),E72/H72)</f>
        <v>0%</v>
      </c>
      <c r="E72" s="189">
        <f>TrialBalance!L66-Analytical!H72</f>
        <v>0</v>
      </c>
      <c r="G72" s="169"/>
      <c r="H72" s="189">
        <f>IF(G$35=0,TrialBalance!N66,TrialBalance!N66*365/G$35)</f>
        <v>0</v>
      </c>
    </row>
    <row r="73" spans="2:8" x14ac:dyDescent="0.25">
      <c r="B73" s="2" t="str">
        <f>TrialBalance!C67</f>
        <v>Casual wages</v>
      </c>
      <c r="C73" s="351" t="str">
        <f>IF(H73=0,IF(TrialBalance!L67=0,"0%","100%"),E73/H73)</f>
        <v>0%</v>
      </c>
      <c r="E73" s="189">
        <f>TrialBalance!L67-Analytical!H73</f>
        <v>0</v>
      </c>
      <c r="G73" s="169"/>
      <c r="H73" s="189">
        <f>IF(G$35=0,TrialBalance!N67,TrialBalance!N67*365/G$35)</f>
        <v>0</v>
      </c>
    </row>
    <row r="74" spans="2:8" x14ac:dyDescent="0.25">
      <c r="B74" s="2" t="str">
        <f>TrialBalance!C68</f>
        <v>Telephone</v>
      </c>
      <c r="C74" s="351" t="str">
        <f>IF(H74=0,IF(TrialBalance!L68=0,"0%","100%"),E74/H74)</f>
        <v>0%</v>
      </c>
      <c r="E74" s="189">
        <f>TrialBalance!L68-Analytical!H74</f>
        <v>0</v>
      </c>
      <c r="G74" s="169"/>
      <c r="H74" s="189">
        <f>IF(G$35=0,TrialBalance!N68,TrialBalance!N68*365/G$35)</f>
        <v>0</v>
      </c>
    </row>
    <row r="75" spans="2:8" x14ac:dyDescent="0.25">
      <c r="B75" s="2" t="str">
        <f>TrialBalance!C69</f>
        <v>Postage and courier</v>
      </c>
      <c r="C75" s="351" t="str">
        <f>IF(H75=0,IF(TrialBalance!L69=0,"0%","100%"),E75/H75)</f>
        <v>0%</v>
      </c>
      <c r="E75" s="189">
        <f>TrialBalance!L69-Analytical!H75</f>
        <v>0</v>
      </c>
      <c r="G75" s="169"/>
      <c r="H75" s="189">
        <f>IF(G$35=0,TrialBalance!N69,TrialBalance!N69*365/G$35)</f>
        <v>0</v>
      </c>
    </row>
    <row r="76" spans="2:8" x14ac:dyDescent="0.25">
      <c r="B76" s="2" t="str">
        <f>TrialBalance!C70</f>
        <v>Training</v>
      </c>
      <c r="C76" s="351" t="str">
        <f>IF(H76=0,IF(TrialBalance!L70=0,"0%","100%"),E76/H76)</f>
        <v>0%</v>
      </c>
      <c r="E76" s="189">
        <f>TrialBalance!L70-Analytical!H76</f>
        <v>0</v>
      </c>
      <c r="G76" s="169"/>
      <c r="H76" s="189">
        <f>IF(G$35=0,TrialBalance!N70,TrialBalance!N70*365/G$35)</f>
        <v>0</v>
      </c>
    </row>
    <row r="77" spans="2:8" x14ac:dyDescent="0.25">
      <c r="B77" s="2" t="str">
        <f>TrialBalance!C71</f>
        <v>Traveling and accommodation</v>
      </c>
      <c r="C77" s="351" t="str">
        <f>IF(H77=0,IF(TrialBalance!L71=0,"0%","100%"),E77/H77)</f>
        <v>0%</v>
      </c>
      <c r="E77" s="189">
        <f>TrialBalance!L71-Analytical!H77</f>
        <v>0</v>
      </c>
      <c r="G77" s="169"/>
      <c r="H77" s="189">
        <f>IF(G$35=0,TrialBalance!N71,TrialBalance!N71*365/G$35)</f>
        <v>0</v>
      </c>
    </row>
    <row r="78" spans="2:8" x14ac:dyDescent="0.25">
      <c r="B78" s="2">
        <f>TrialBalance!C72</f>
        <v>0</v>
      </c>
      <c r="C78" s="351" t="str">
        <f>IF(H78=0,IF(TrialBalance!L72=0,"0%","100%"),E78/H78)</f>
        <v>0%</v>
      </c>
      <c r="E78" s="189">
        <f>TrialBalance!L72-Analytical!H78</f>
        <v>0</v>
      </c>
      <c r="G78" s="169"/>
      <c r="H78" s="189">
        <f>IF(G$35=0,TrialBalance!N72,TrialBalance!N72*365/G$35)</f>
        <v>0</v>
      </c>
    </row>
    <row r="79" spans="2:8" x14ac:dyDescent="0.25">
      <c r="B79" s="2">
        <f>TrialBalance!C73</f>
        <v>0</v>
      </c>
      <c r="C79" s="351" t="str">
        <f>IF(H79=0,IF(TrialBalance!L73=0,"0%","100%"),E79/H79)</f>
        <v>0%</v>
      </c>
      <c r="E79" s="189">
        <f>TrialBalance!L73-Analytical!H79</f>
        <v>0</v>
      </c>
      <c r="G79" s="169"/>
      <c r="H79" s="189">
        <f>IF(G$35=0,TrialBalance!N73,TrialBalance!N73*365/G$35)</f>
        <v>0</v>
      </c>
    </row>
    <row r="80" spans="2:8" x14ac:dyDescent="0.25">
      <c r="B80" s="2">
        <f>TrialBalance!C74</f>
        <v>0</v>
      </c>
      <c r="C80" s="351" t="str">
        <f>IF(H80=0,IF(TrialBalance!L74=0,"0%","100%"),E80/H80)</f>
        <v>0%</v>
      </c>
      <c r="E80" s="189">
        <f>TrialBalance!L74-Analytical!H80</f>
        <v>0</v>
      </c>
      <c r="G80" s="169"/>
      <c r="H80" s="189">
        <f>IF(G$35=0,TrialBalance!N74,TrialBalance!N74*365/G$35)</f>
        <v>0</v>
      </c>
    </row>
    <row r="81" spans="2:8" x14ac:dyDescent="0.25">
      <c r="B81" s="2">
        <f>TrialBalance!C75</f>
        <v>0</v>
      </c>
      <c r="C81" s="351" t="str">
        <f>IF(H81=0,IF(TrialBalance!L75=0,"0%","100%"),E81/H81)</f>
        <v>0%</v>
      </c>
      <c r="E81" s="189">
        <f>TrialBalance!L75-Analytical!H81</f>
        <v>0</v>
      </c>
      <c r="G81" s="169"/>
      <c r="H81" s="189">
        <f>IF(G$35=0,TrialBalance!N75,TrialBalance!N75*365/G$35)</f>
        <v>0</v>
      </c>
    </row>
    <row r="82" spans="2:8" x14ac:dyDescent="0.25">
      <c r="B82" s="2">
        <f>TrialBalance!C76</f>
        <v>0</v>
      </c>
      <c r="C82" s="351" t="str">
        <f>IF(H82=0,IF(TrialBalance!L76=0,"0%","100%"),E82/H82)</f>
        <v>0%</v>
      </c>
      <c r="E82" s="189">
        <f>TrialBalance!L76-Analytical!H82</f>
        <v>0</v>
      </c>
      <c r="G82" s="169"/>
      <c r="H82" s="189">
        <f>IF(G$35=0,TrialBalance!N76,TrialBalance!N76*365/G$35)</f>
        <v>0</v>
      </c>
    </row>
    <row r="83" spans="2:8" x14ac:dyDescent="0.25">
      <c r="B83" s="2">
        <f>TrialBalance!C77</f>
        <v>0</v>
      </c>
      <c r="C83" s="351" t="str">
        <f>IF(H83=0,IF(TrialBalance!L77=0,"0%","100%"),E83/H83)</f>
        <v>0%</v>
      </c>
      <c r="E83" s="189">
        <f>TrialBalance!L77-Analytical!H83</f>
        <v>0</v>
      </c>
      <c r="G83" s="169"/>
      <c r="H83" s="189">
        <f>IF(G$35=0,TrialBalance!N77,TrialBalance!N77*365/G$35)</f>
        <v>0</v>
      </c>
    </row>
    <row r="84" spans="2:8" x14ac:dyDescent="0.25">
      <c r="B84" s="2">
        <f>TrialBalance!C78</f>
        <v>0</v>
      </c>
      <c r="C84" s="351" t="str">
        <f>IF(H84=0,IF(TrialBalance!L78=0,"0%","100%"),E84/H84)</f>
        <v>0%</v>
      </c>
      <c r="E84" s="189">
        <f>TrialBalance!L78-Analytical!H84</f>
        <v>0</v>
      </c>
      <c r="G84" s="169"/>
      <c r="H84" s="189">
        <f>IF(G$35=0,TrialBalance!N78,TrialBalance!N78*365/G$35)</f>
        <v>0</v>
      </c>
    </row>
    <row r="85" spans="2:8" x14ac:dyDescent="0.25">
      <c r="B85" s="2">
        <f>TrialBalance!C79</f>
        <v>0</v>
      </c>
      <c r="C85" s="351" t="str">
        <f>IF(H85=0,IF(TrialBalance!L79=0,"0%","100%"),E85/H85)</f>
        <v>0%</v>
      </c>
      <c r="E85" s="189">
        <f>TrialBalance!L79-Analytical!H85</f>
        <v>0</v>
      </c>
      <c r="G85" s="169"/>
      <c r="H85" s="189">
        <f>IF(G$35=0,TrialBalance!N79,TrialBalance!N79*365/G$35)</f>
        <v>0</v>
      </c>
    </row>
    <row r="86" spans="2:8" x14ac:dyDescent="0.25">
      <c r="B86" s="2">
        <f>TrialBalance!C80</f>
        <v>0</v>
      </c>
      <c r="C86" s="351" t="str">
        <f>IF(H86=0,IF(TrialBalance!L80=0,"0%","100%"),E86/H86)</f>
        <v>0%</v>
      </c>
      <c r="E86" s="189">
        <f>TrialBalance!L80-Analytical!H86</f>
        <v>0</v>
      </c>
      <c r="G86" s="169"/>
      <c r="H86" s="189">
        <f>IF(G$35=0,TrialBalance!N80,TrialBalance!N80*365/G$35)</f>
        <v>0</v>
      </c>
    </row>
    <row r="87" spans="2:8" x14ac:dyDescent="0.25">
      <c r="B87" s="2">
        <f>TrialBalance!C81</f>
        <v>0</v>
      </c>
      <c r="C87" s="351" t="str">
        <f>IF(H87=0,IF(TrialBalance!L81=0,"0%","100%"),E87/H87)</f>
        <v>0%</v>
      </c>
      <c r="E87" s="189">
        <f>TrialBalance!L81-Analytical!H87</f>
        <v>0</v>
      </c>
      <c r="G87" s="169"/>
      <c r="H87" s="189">
        <f>IF(G$35=0,TrialBalance!N81,TrialBalance!N81*365/G$35)</f>
        <v>0</v>
      </c>
    </row>
    <row r="88" spans="2:8" x14ac:dyDescent="0.25">
      <c r="B88" s="2" t="str">
        <f>TrialBalance!C97</f>
        <v>ADMINISTRATIVE EXPENSES</v>
      </c>
      <c r="C88" s="351"/>
      <c r="E88" s="189"/>
      <c r="G88" s="169"/>
      <c r="H88" s="189"/>
    </row>
    <row r="89" spans="2:8" x14ac:dyDescent="0.25">
      <c r="B89" s="2" t="str">
        <f>TrialBalance!C98</f>
        <v>Audit fees for current year</v>
      </c>
      <c r="C89" s="351" t="str">
        <f>IF(H89=0,IF(TrialBalance!L98=0,"0%","100%"),E89/H89)</f>
        <v>0%</v>
      </c>
      <c r="E89" s="189">
        <f>TrialBalance!L98-Analytical!H89</f>
        <v>0</v>
      </c>
      <c r="G89" s="169"/>
      <c r="H89" s="189">
        <f>IF(G$35=0,TrialBalance!N98,TrialBalance!N98*365/G$35)</f>
        <v>0</v>
      </c>
    </row>
    <row r="90" spans="2:8" x14ac:dyDescent="0.25">
      <c r="B90" s="2" t="str">
        <f>TrialBalance!C101</f>
        <v>Accounting fees</v>
      </c>
      <c r="C90" s="351" t="str">
        <f>IF(H90=0,IF(TrialBalance!L101=0,"0%","100%"),E90/H90)</f>
        <v>0%</v>
      </c>
      <c r="E90" s="189">
        <f>TrialBalance!L101-Analytical!H90</f>
        <v>0</v>
      </c>
      <c r="G90" s="169"/>
      <c r="H90" s="189">
        <f>IF(G$35=0,TrialBalance!N101,TrialBalance!N101*365/G$35)</f>
        <v>0</v>
      </c>
    </row>
    <row r="91" spans="2:8" x14ac:dyDescent="0.25">
      <c r="B91" s="2" t="str">
        <f>TrialBalance!C102</f>
        <v>Bank charges</v>
      </c>
      <c r="C91" s="351" t="str">
        <f>IF(H91=0,IF(TrialBalance!L102=0,"0%","100%"),E91/H91)</f>
        <v>0%</v>
      </c>
      <c r="E91" s="189">
        <f>TrialBalance!L102-Analytical!H91</f>
        <v>0</v>
      </c>
      <c r="G91" s="169"/>
      <c r="H91" s="189">
        <f>IF(G$35=0,TrialBalance!N102,TrialBalance!N102*365/G$35)</f>
        <v>0</v>
      </c>
    </row>
    <row r="92" spans="2:8" x14ac:dyDescent="0.25">
      <c r="B92" s="2" t="str">
        <f>TrialBalance!C103</f>
        <v>Bad debts</v>
      </c>
      <c r="C92" s="351" t="str">
        <f>IF(H92=0,IF(TrialBalance!L103=0,"0%","100%"),E92/H92)</f>
        <v>0%</v>
      </c>
      <c r="E92" s="189">
        <f>TrialBalance!L103-Analytical!H92</f>
        <v>0</v>
      </c>
      <c r="G92" s="169"/>
      <c r="H92" s="189">
        <f>IF(G$35=0,TrialBalance!N103,TrialBalance!N103*365/G$35)</f>
        <v>0</v>
      </c>
    </row>
    <row r="93" spans="2:8" x14ac:dyDescent="0.25">
      <c r="B93" s="2" t="str">
        <f>TrialBalance!C104</f>
        <v>Cleaning</v>
      </c>
      <c r="C93" s="351" t="str">
        <f>IF(H93=0,IF(TrialBalance!L104=0,"0%","100%"),E93/H93)</f>
        <v>0%</v>
      </c>
      <c r="E93" s="189">
        <f>TrialBalance!L104-Analytical!H93</f>
        <v>0</v>
      </c>
      <c r="G93" s="169"/>
      <c r="H93" s="189">
        <f>IF(G$35=0,TrialBalance!N104,TrialBalance!N104*365/G$35)</f>
        <v>0</v>
      </c>
    </row>
    <row r="94" spans="2:8" x14ac:dyDescent="0.25">
      <c r="B94" s="2" t="str">
        <f>TrialBalance!C105</f>
        <v>Computer expenses</v>
      </c>
      <c r="C94" s="351" t="str">
        <f>IF(H94=0,IF(TrialBalance!L105=0,"0%","100%"),E94/H94)</f>
        <v>0%</v>
      </c>
      <c r="E94" s="189">
        <f>TrialBalance!L105-Analytical!H94</f>
        <v>0</v>
      </c>
      <c r="G94" s="169"/>
      <c r="H94" s="189">
        <f>IF(G$35=0,TrialBalance!N105,TrialBalance!N105*365/G$35)</f>
        <v>0</v>
      </c>
    </row>
    <row r="95" spans="2:8" x14ac:dyDescent="0.25">
      <c r="B95" s="2" t="str">
        <f>TrialBalance!C106</f>
        <v>Consulting and professional fees</v>
      </c>
      <c r="C95" s="351" t="str">
        <f>IF(H95=0,IF(TrialBalance!L106=0,"0%","100%"),E95/H95)</f>
        <v>0%</v>
      </c>
      <c r="E95" s="189">
        <f>TrialBalance!L106-Analytical!H95</f>
        <v>0</v>
      </c>
      <c r="G95" s="169"/>
      <c r="H95" s="189">
        <f>IF(G$35=0,TrialBalance!N106,TrialBalance!N106*365/G$35)</f>
        <v>0</v>
      </c>
    </row>
    <row r="96" spans="2:8" x14ac:dyDescent="0.25">
      <c r="B96" s="2" t="str">
        <f>TrialBalance!C110</f>
        <v>Directors' remuneration-----------------</v>
      </c>
      <c r="C96" s="351"/>
      <c r="E96" s="189"/>
      <c r="G96" s="169"/>
      <c r="H96" s="189"/>
    </row>
    <row r="97" spans="2:8" x14ac:dyDescent="0.25">
      <c r="B97" s="2" t="str">
        <f>TrialBalance!C111</f>
        <v>A Director</v>
      </c>
      <c r="C97" s="351" t="str">
        <f>IF(H97=0,IF(TrialBalance!L111=0,"0%","100%"),E97/H97)</f>
        <v>0%</v>
      </c>
      <c r="E97" s="189">
        <f>TrialBalance!L111-Analytical!H97</f>
        <v>0</v>
      </c>
      <c r="G97" s="169"/>
      <c r="H97" s="189">
        <f>IF(G$35=0,TrialBalance!N111,TrialBalance!N111*365/G$35)</f>
        <v>0</v>
      </c>
    </row>
    <row r="98" spans="2:8" x14ac:dyDescent="0.25">
      <c r="B98" s="2" t="str">
        <f>TrialBalance!C112</f>
        <v>C Director</v>
      </c>
      <c r="C98" s="351" t="str">
        <f>IF(H98=0,IF(TrialBalance!L112=0,"0%","100%"),E98/H98)</f>
        <v>0%</v>
      </c>
      <c r="E98" s="189">
        <f>TrialBalance!L112-Analytical!H98</f>
        <v>0</v>
      </c>
      <c r="G98" s="169"/>
      <c r="H98" s="189">
        <f>IF(G$35=0,TrialBalance!N112,TrialBalance!N112*365/G$35)</f>
        <v>0</v>
      </c>
    </row>
    <row r="99" spans="2:8" x14ac:dyDescent="0.25">
      <c r="B99" s="2">
        <f>TrialBalance!C113</f>
        <v>0</v>
      </c>
      <c r="C99" s="351" t="str">
        <f>IF(H99=0,IF(TrialBalance!L113=0,"0%","100%"),E99/H99)</f>
        <v>0%</v>
      </c>
      <c r="E99" s="189">
        <f>TrialBalance!L113-Analytical!H99</f>
        <v>0</v>
      </c>
      <c r="G99" s="169"/>
      <c r="H99" s="189">
        <f>IF(G$35=0,TrialBalance!N113,TrialBalance!N113*365/G$35)</f>
        <v>0</v>
      </c>
    </row>
    <row r="100" spans="2:8" x14ac:dyDescent="0.25">
      <c r="B100" s="2">
        <f>TrialBalance!C114</f>
        <v>0</v>
      </c>
      <c r="C100" s="351" t="str">
        <f>IF(H100=0,IF(TrialBalance!L114=0,"0%","100%"),E100/H100)</f>
        <v>0%</v>
      </c>
      <c r="E100" s="189">
        <f>TrialBalance!L114-Analytical!H100</f>
        <v>0</v>
      </c>
      <c r="G100" s="169"/>
      <c r="H100" s="189">
        <f>IF(G$35=0,TrialBalance!N114,TrialBalance!N114*365/G$35)</f>
        <v>0</v>
      </c>
    </row>
    <row r="101" spans="2:8" x14ac:dyDescent="0.25">
      <c r="B101" s="2">
        <f>TrialBalance!C115</f>
        <v>0</v>
      </c>
      <c r="C101" s="351" t="str">
        <f>IF(H101=0,IF(TrialBalance!L115=0,"0%","100%"),E101/H101)</f>
        <v>0%</v>
      </c>
      <c r="E101" s="189">
        <f>TrialBalance!L115-Analytical!H101</f>
        <v>0</v>
      </c>
      <c r="G101" s="169"/>
      <c r="H101" s="189">
        <f>IF(G$35=0,TrialBalance!N115,TrialBalance!N115*365/G$35)</f>
        <v>0</v>
      </c>
    </row>
    <row r="102" spans="2:8" x14ac:dyDescent="0.25">
      <c r="B102" s="2" t="str">
        <f>TrialBalance!C116</f>
        <v>Donations</v>
      </c>
      <c r="C102" s="351" t="str">
        <f>IF(H102=0,IF(TrialBalance!L116=0,"0%","100%"),E102/H102)</f>
        <v>0%</v>
      </c>
      <c r="E102" s="189">
        <f>TrialBalance!L116-Analytical!H102</f>
        <v>0</v>
      </c>
      <c r="G102" s="169"/>
      <c r="H102" s="189">
        <f>IF(G$35=0,TrialBalance!N116,TrialBalance!N116*365/G$35)</f>
        <v>0</v>
      </c>
    </row>
    <row r="103" spans="2:8" x14ac:dyDescent="0.25">
      <c r="B103" s="2" t="str">
        <f>TrialBalance!C117</f>
        <v>Entertainment expenses</v>
      </c>
      <c r="C103" s="351" t="str">
        <f>IF(H103=0,IF(TrialBalance!L117=0,"0%","100%"),E103/H103)</f>
        <v>0%</v>
      </c>
      <c r="E103" s="189">
        <f>TrialBalance!L117-Analytical!H103</f>
        <v>0</v>
      </c>
      <c r="G103" s="169"/>
      <c r="H103" s="189">
        <f>IF(G$35=0,TrialBalance!N117,TrialBalance!N117*365/G$35)</f>
        <v>0</v>
      </c>
    </row>
    <row r="104" spans="2:8" x14ac:dyDescent="0.25">
      <c r="B104" s="2" t="str">
        <f>TrialBalance!C118</f>
        <v>Fines</v>
      </c>
      <c r="C104" s="351" t="str">
        <f>IF(H104=0,IF(TrialBalance!L118=0,"0%","100%"),E104/H104)</f>
        <v>0%</v>
      </c>
      <c r="E104" s="189">
        <f>TrialBalance!L118-Analytical!H104</f>
        <v>0</v>
      </c>
      <c r="G104" s="169"/>
      <c r="H104" s="189">
        <f>IF(G$35=0,TrialBalance!N118,TrialBalance!N118*365/G$35)</f>
        <v>0</v>
      </c>
    </row>
    <row r="105" spans="2:8" x14ac:dyDescent="0.25">
      <c r="B105" s="2" t="str">
        <f>TrialBalance!C119</f>
        <v>General expenses</v>
      </c>
      <c r="C105" s="351" t="str">
        <f>IF(H105=0,IF(TrialBalance!L119=0,"0%","100%"),E105/H105)</f>
        <v>0%</v>
      </c>
      <c r="E105" s="189">
        <f>TrialBalance!L119-Analytical!H105</f>
        <v>0</v>
      </c>
      <c r="G105" s="169"/>
      <c r="H105" s="189">
        <f>IF(G$35=0,TrialBalance!N119,TrialBalance!N119*365/G$35)</f>
        <v>0</v>
      </c>
    </row>
    <row r="106" spans="2:8" x14ac:dyDescent="0.25">
      <c r="B106" s="2" t="str">
        <f>TrialBalance!C120</f>
        <v>Legal expenses - tax deductible</v>
      </c>
      <c r="C106" s="351" t="str">
        <f>IF(H106=0,IF(TrialBalance!L120=0,"0%","100%"),E106/H106)</f>
        <v>0%</v>
      </c>
      <c r="E106" s="189">
        <f>TrialBalance!L120-Analytical!H106</f>
        <v>0</v>
      </c>
      <c r="G106" s="169"/>
      <c r="H106" s="189">
        <f>IF(G$35=0,TrialBalance!N120,TrialBalance!N120*365/G$35)</f>
        <v>0</v>
      </c>
    </row>
    <row r="107" spans="2:8" x14ac:dyDescent="0.25">
      <c r="B107" s="2" t="str">
        <f>TrialBalance!C121</f>
        <v>Legal expenses - non deductible</v>
      </c>
      <c r="C107" s="351" t="str">
        <f>IF(H107=0,IF(TrialBalance!L121=0,"0%","100%"),E107/H107)</f>
        <v>0%</v>
      </c>
      <c r="E107" s="189">
        <f>TrialBalance!L121-Analytical!H107</f>
        <v>0</v>
      </c>
      <c r="G107" s="169"/>
      <c r="H107" s="189">
        <f>IF(G$35=0,TrialBalance!N121,TrialBalance!N121*365/G$35)</f>
        <v>0</v>
      </c>
    </row>
    <row r="108" spans="2:8" x14ac:dyDescent="0.25">
      <c r="B108" s="2" t="str">
        <f>TrialBalance!C122</f>
        <v>Printing and stationary</v>
      </c>
      <c r="C108" s="351" t="str">
        <f>IF(H108=0,IF(TrialBalance!L122=0,"0%","100%"),E108/H108)</f>
        <v>0%</v>
      </c>
      <c r="E108" s="189">
        <f>TrialBalance!L122-Analytical!H108</f>
        <v>0</v>
      </c>
      <c r="G108" s="169"/>
      <c r="H108" s="189">
        <f>IF(G$35=0,TrialBalance!N122,TrialBalance!N122*365/G$35)</f>
        <v>0</v>
      </c>
    </row>
    <row r="109" spans="2:8" x14ac:dyDescent="0.25">
      <c r="B109" s="2" t="str">
        <f>TrialBalance!C123</f>
        <v>Refreshments</v>
      </c>
      <c r="C109" s="351" t="str">
        <f>IF(H109=0,IF(TrialBalance!L123=0,"0%","100%"),E109/H109)</f>
        <v>0%</v>
      </c>
      <c r="E109" s="189">
        <f>TrialBalance!L123-Analytical!H109</f>
        <v>0</v>
      </c>
      <c r="G109" s="169"/>
      <c r="H109" s="189">
        <f>IF(G$35=0,TrialBalance!N123,TrialBalance!N123*365/G$35)</f>
        <v>0</v>
      </c>
    </row>
    <row r="110" spans="2:8" x14ac:dyDescent="0.25">
      <c r="B110" s="2" t="str">
        <f>TrialBalance!C124</f>
        <v>Salaries</v>
      </c>
      <c r="C110" s="351" t="str">
        <f>IF(H110=0,IF(TrialBalance!L124=0,"0%","100%"),E110/H110)</f>
        <v>0%</v>
      </c>
      <c r="E110" s="189">
        <f>TrialBalance!L124-Analytical!H110</f>
        <v>0</v>
      </c>
      <c r="G110" s="169"/>
      <c r="H110" s="189">
        <f>IF(G$35=0,TrialBalance!N124,TrialBalance!N124*365/G$35)</f>
        <v>0</v>
      </c>
    </row>
    <row r="111" spans="2:8" x14ac:dyDescent="0.25">
      <c r="B111" s="2" t="str">
        <f>TrialBalance!C125</f>
        <v>Casual wages</v>
      </c>
      <c r="C111" s="351" t="str">
        <f>IF(H111=0,IF(TrialBalance!L125=0,"0%","100%"),E111/H111)</f>
        <v>0%</v>
      </c>
      <c r="E111" s="189">
        <f>TrialBalance!L125-Analytical!H111</f>
        <v>0</v>
      </c>
      <c r="G111" s="169"/>
      <c r="H111" s="189">
        <f>IF(G$35=0,TrialBalance!N125,TrialBalance!N125*365/G$35)</f>
        <v>0</v>
      </c>
    </row>
    <row r="112" spans="2:8" x14ac:dyDescent="0.25">
      <c r="B112" s="2" t="str">
        <f>TrialBalance!C126</f>
        <v>Security</v>
      </c>
      <c r="C112" s="351" t="str">
        <f>IF(H112=0,IF(TrialBalance!L126=0,"0%","100%"),E112/H112)</f>
        <v>0%</v>
      </c>
      <c r="E112" s="189">
        <f>TrialBalance!L126-Analytical!H112</f>
        <v>0</v>
      </c>
      <c r="G112" s="169"/>
      <c r="H112" s="189">
        <f>IF(G$35=0,TrialBalance!N126,TrialBalance!N126*365/G$35)</f>
        <v>0</v>
      </c>
    </row>
    <row r="113" spans="2:8" x14ac:dyDescent="0.25">
      <c r="B113" s="2" t="str">
        <f>TrialBalance!C127</f>
        <v>Subscriptions and membership fees</v>
      </c>
      <c r="C113" s="351" t="str">
        <f>IF(H113=0,IF(TrialBalance!L127=0,"0%","100%"),E113/H113)</f>
        <v>0%</v>
      </c>
      <c r="E113" s="189">
        <f>TrialBalance!L127-Analytical!H113</f>
        <v>0</v>
      </c>
      <c r="G113" s="169"/>
      <c r="H113" s="189">
        <f>IF(G$35=0,TrialBalance!N127,TrialBalance!N127*365/G$35)</f>
        <v>0</v>
      </c>
    </row>
    <row r="114" spans="2:8" x14ac:dyDescent="0.25">
      <c r="B114" s="2" t="str">
        <f>TrialBalance!C128</f>
        <v>Penalties and interest - SARS</v>
      </c>
      <c r="C114" s="351" t="str">
        <f>IF(H114=0,IF(TrialBalance!L128=0,"0%","100%"),E114/H114)</f>
        <v>0%</v>
      </c>
      <c r="E114" s="189">
        <f>TrialBalance!L128-Analytical!H114</f>
        <v>0</v>
      </c>
      <c r="G114" s="169"/>
      <c r="H114" s="189">
        <f>IF(G$35=0,TrialBalance!N128,TrialBalance!N128*365/G$35)</f>
        <v>0</v>
      </c>
    </row>
    <row r="115" spans="2:8" x14ac:dyDescent="0.25">
      <c r="B115" s="2">
        <f>TrialBalance!C129</f>
        <v>0</v>
      </c>
      <c r="C115" s="351" t="str">
        <f>IF(H115=0,IF(TrialBalance!L129=0,"0%","100%"),E115/H115)</f>
        <v>0%</v>
      </c>
      <c r="E115" s="189">
        <f>TrialBalance!L129-Analytical!H115</f>
        <v>0</v>
      </c>
      <c r="G115" s="169"/>
      <c r="H115" s="189">
        <f>IF(G$35=0,TrialBalance!N129,TrialBalance!N129*365/G$35)</f>
        <v>0</v>
      </c>
    </row>
    <row r="116" spans="2:8" x14ac:dyDescent="0.25">
      <c r="B116" s="2">
        <f>TrialBalance!C130</f>
        <v>0</v>
      </c>
      <c r="C116" s="351" t="str">
        <f>IF(H116=0,IF(TrialBalance!L130=0,"0%","100%"),E116/H116)</f>
        <v>0%</v>
      </c>
      <c r="E116" s="189">
        <f>TrialBalance!L130-Analytical!H116</f>
        <v>0</v>
      </c>
      <c r="G116" s="169"/>
      <c r="H116" s="189">
        <f>IF(G$35=0,TrialBalance!N130,TrialBalance!N130*365/G$35)</f>
        <v>0</v>
      </c>
    </row>
    <row r="117" spans="2:8" x14ac:dyDescent="0.25">
      <c r="B117" s="2">
        <f>TrialBalance!C131</f>
        <v>0</v>
      </c>
      <c r="C117" s="351" t="str">
        <f>IF(H117=0,IF(TrialBalance!L131=0,"0%","100%"),E117/H117)</f>
        <v>0%</v>
      </c>
      <c r="E117" s="189">
        <f>TrialBalance!L131-Analytical!H117</f>
        <v>0</v>
      </c>
      <c r="G117" s="169"/>
      <c r="H117" s="189">
        <f>IF(G$35=0,TrialBalance!N131,TrialBalance!N131*365/G$35)</f>
        <v>0</v>
      </c>
    </row>
    <row r="118" spans="2:8" x14ac:dyDescent="0.25">
      <c r="B118" s="2">
        <f>TrialBalance!C132</f>
        <v>0</v>
      </c>
      <c r="C118" s="351" t="str">
        <f>IF(H118=0,IF(TrialBalance!L132=0,"0%","100%"),E118/H118)</f>
        <v>0%</v>
      </c>
      <c r="E118" s="189">
        <f>TrialBalance!L132-Analytical!H118</f>
        <v>0</v>
      </c>
      <c r="G118" s="169"/>
      <c r="H118" s="189">
        <f>IF(G$35=0,TrialBalance!N132,TrialBalance!N132*365/G$35)</f>
        <v>0</v>
      </c>
    </row>
    <row r="119" spans="2:8" x14ac:dyDescent="0.25">
      <c r="B119" s="2">
        <f>TrialBalance!C133</f>
        <v>0</v>
      </c>
      <c r="C119" s="351" t="str">
        <f>IF(H119=0,IF(TrialBalance!L133=0,"0%","100%"),E119/H119)</f>
        <v>0%</v>
      </c>
      <c r="E119" s="189">
        <f>TrialBalance!L133-Analytical!H119</f>
        <v>0</v>
      </c>
      <c r="G119" s="169"/>
      <c r="H119" s="189">
        <f>IF(G$35=0,TrialBalance!N133,TrialBalance!N133*365/G$35)</f>
        <v>0</v>
      </c>
    </row>
    <row r="120" spans="2:8" x14ac:dyDescent="0.25">
      <c r="B120" s="2">
        <f>TrialBalance!C134</f>
        <v>0</v>
      </c>
      <c r="C120" s="351" t="str">
        <f>IF(H120=0,IF(TrialBalance!L134=0,"0%","100%"),E120/H120)</f>
        <v>0%</v>
      </c>
      <c r="E120" s="189">
        <f>TrialBalance!L134-Analytical!H120</f>
        <v>0</v>
      </c>
      <c r="G120" s="169"/>
      <c r="H120" s="189">
        <f>IF(G$35=0,TrialBalance!N134,TrialBalance!N134*365/G$35)</f>
        <v>0</v>
      </c>
    </row>
    <row r="121" spans="2:8" x14ac:dyDescent="0.25">
      <c r="B121" s="2">
        <f>TrialBalance!C135</f>
        <v>0</v>
      </c>
      <c r="C121" s="351" t="str">
        <f>IF(H121=0,IF(TrialBalance!L135=0,"0%","100%"),E121/H121)</f>
        <v>0%</v>
      </c>
      <c r="E121" s="189">
        <f>TrialBalance!L135-Analytical!H121</f>
        <v>0</v>
      </c>
      <c r="G121" s="169"/>
      <c r="H121" s="189">
        <f>IF(G$35=0,TrialBalance!N135,TrialBalance!N135*365/G$35)</f>
        <v>0</v>
      </c>
    </row>
    <row r="122" spans="2:8" x14ac:dyDescent="0.25">
      <c r="B122" s="2">
        <f>TrialBalance!C136</f>
        <v>0</v>
      </c>
      <c r="C122" s="351" t="str">
        <f>IF(H122=0,IF(TrialBalance!L136=0,"0%","100%"),E122/H122)</f>
        <v>0%</v>
      </c>
      <c r="E122" s="189">
        <f>TrialBalance!L136-Analytical!H122</f>
        <v>0</v>
      </c>
      <c r="G122" s="169"/>
      <c r="H122" s="189">
        <f>IF(G$35=0,TrialBalance!N136,TrialBalance!N136*365/G$35)</f>
        <v>0</v>
      </c>
    </row>
    <row r="123" spans="2:8" x14ac:dyDescent="0.25">
      <c r="B123" s="2">
        <f>TrialBalance!C137</f>
        <v>0</v>
      </c>
      <c r="C123" s="351" t="str">
        <f>IF(H123=0,IF(TrialBalance!L137=0,"0%","100%"),E123/H123)</f>
        <v>0%</v>
      </c>
      <c r="E123" s="189">
        <f>TrialBalance!L137-Analytical!H123</f>
        <v>0</v>
      </c>
      <c r="G123" s="169"/>
      <c r="H123" s="189">
        <f>IF(G$35=0,TrialBalance!N137,TrialBalance!N137*365/G$35)</f>
        <v>0</v>
      </c>
    </row>
  </sheetData>
  <mergeCells count="1">
    <mergeCell ref="C4:E4"/>
  </mergeCells>
  <dataValidations count="1">
    <dataValidation type="list" allowBlank="1" showInputMessage="1" showErrorMessage="1" sqref="G31" xr:uid="{613947F6-E949-4790-BE38-D25087FC8F97}">
      <formula1>$G$32:$H$32</formula1>
    </dataValidation>
  </dataValidations>
  <hyperlinks>
    <hyperlink ref="B7" location="TrialBalance!A1" display="CLIENT" xr:uid="{D027181A-FA14-43DB-A9DF-47B54A0E01B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Y3316"/>
  <sheetViews>
    <sheetView view="pageBreakPreview" zoomScale="60" zoomScaleNormal="100" workbookViewId="0">
      <selection activeCell="D7" sqref="D7"/>
    </sheetView>
  </sheetViews>
  <sheetFormatPr defaultRowHeight="31.5" x14ac:dyDescent="0.45"/>
  <cols>
    <col min="1" max="1" width="4.28515625" style="449" customWidth="1"/>
    <col min="2" max="2" width="6.140625" style="449" customWidth="1"/>
    <col min="3" max="3" width="9.7109375" style="449" customWidth="1"/>
    <col min="4" max="4" width="10.28515625" style="449" customWidth="1"/>
    <col min="5" max="5" width="9.7109375" style="449" customWidth="1"/>
    <col min="6" max="6" width="5.140625" style="449" customWidth="1"/>
    <col min="7" max="7" width="17.5703125" style="449" customWidth="1"/>
    <col min="8" max="8" width="21.85546875" style="449" customWidth="1"/>
    <col min="9" max="9" width="4.85546875" style="449" customWidth="1"/>
    <col min="10" max="11" width="22" style="449" customWidth="1"/>
    <col min="12" max="12" width="3.28515625" style="449" customWidth="1"/>
    <col min="13" max="13" width="26.5703125" style="619" customWidth="1"/>
    <col min="14" max="14" width="3.7109375" style="620" customWidth="1"/>
    <col min="15" max="15" width="26.5703125" style="619" customWidth="1"/>
    <col min="16" max="16" width="3.42578125" style="620" customWidth="1"/>
    <col min="17" max="17" width="6.5703125" style="449" customWidth="1"/>
    <col min="18" max="18" width="17.42578125" style="512" customWidth="1"/>
    <col min="19" max="19" width="20.85546875" style="513" bestFit="1" customWidth="1"/>
    <col min="20" max="20" width="4.85546875" style="513" customWidth="1"/>
    <col min="21" max="21" width="27.140625" style="513" customWidth="1"/>
    <col min="22" max="22" width="6.28515625" style="513" customWidth="1"/>
    <col min="23" max="23" width="12" style="513" bestFit="1" customWidth="1"/>
    <col min="24" max="24" width="21.85546875" style="513" bestFit="1" customWidth="1"/>
    <col min="25" max="26" width="8.85546875" style="521" customWidth="1"/>
    <col min="27" max="51" width="9.140625" style="514"/>
    <col min="52" max="16384" width="9.140625" style="452"/>
  </cols>
  <sheetData>
    <row r="1" spans="4:22" ht="31.5" customHeight="1" x14ac:dyDescent="0.45">
      <c r="U1" s="690" t="s">
        <v>841</v>
      </c>
      <c r="V1" s="690"/>
    </row>
    <row r="2" spans="4:22" ht="31.5" customHeight="1" x14ac:dyDescent="0.45">
      <c r="U2" s="523" t="str">
        <f>IF(COUNTIF(U3:U3316,"FALSE")&gt;0,"NO","YES")</f>
        <v>YES</v>
      </c>
      <c r="V2" s="336"/>
    </row>
    <row r="3" spans="4:22" ht="31.5" customHeight="1" x14ac:dyDescent="0.45"/>
    <row r="4" spans="4:22" ht="31.5" customHeight="1" x14ac:dyDescent="0.45"/>
    <row r="5" spans="4:22" ht="31.5" customHeight="1" x14ac:dyDescent="0.45"/>
    <row r="6" spans="4:22" ht="31.5" customHeight="1" x14ac:dyDescent="0.45"/>
    <row r="7" spans="4:22" ht="31.5" customHeight="1" x14ac:dyDescent="0.45"/>
    <row r="8" spans="4:22" ht="31.5" customHeight="1" x14ac:dyDescent="0.45"/>
    <row r="9" spans="4:22" ht="31.5" customHeight="1" x14ac:dyDescent="0.45"/>
    <row r="10" spans="4:22" ht="31.5" customHeight="1" x14ac:dyDescent="0.45"/>
    <row r="11" spans="4:22" ht="31.5" customHeight="1" x14ac:dyDescent="0.45"/>
    <row r="12" spans="4:22" ht="31.5" customHeight="1" x14ac:dyDescent="0.45"/>
    <row r="13" spans="4:22" ht="31.5" customHeight="1" x14ac:dyDescent="0.45"/>
    <row r="14" spans="4:22" ht="31.5" customHeight="1" thickBot="1" x14ac:dyDescent="0.5"/>
    <row r="15" spans="4:22" ht="31.5" customHeight="1" x14ac:dyDescent="0.45">
      <c r="D15" s="453"/>
      <c r="E15" s="454"/>
      <c r="F15" s="454"/>
      <c r="G15" s="454"/>
      <c r="H15" s="454"/>
      <c r="I15" s="454"/>
      <c r="J15" s="454"/>
      <c r="K15" s="454"/>
      <c r="L15" s="454"/>
      <c r="M15" s="622"/>
      <c r="N15" s="623"/>
    </row>
    <row r="16" spans="4:22" ht="31.5" customHeight="1" x14ac:dyDescent="0.45">
      <c r="D16" s="692" t="str">
        <f>Criteria!E9</f>
        <v>ABC COMPANY (PROPRIETARY) LIMITED</v>
      </c>
      <c r="E16" s="691"/>
      <c r="F16" s="691"/>
      <c r="G16" s="691"/>
      <c r="H16" s="691"/>
      <c r="I16" s="691"/>
      <c r="J16" s="691"/>
      <c r="K16" s="691"/>
      <c r="L16" s="691"/>
      <c r="M16" s="691"/>
      <c r="N16" s="693"/>
    </row>
    <row r="17" spans="4:14" ht="31.5" customHeight="1" x14ac:dyDescent="0.45">
      <c r="D17" s="618"/>
      <c r="F17" s="616"/>
      <c r="G17" s="616"/>
      <c r="H17" s="616"/>
      <c r="I17" s="616"/>
      <c r="J17" s="616"/>
      <c r="K17" s="616"/>
      <c r="L17" s="616"/>
      <c r="M17" s="617"/>
      <c r="N17" s="624"/>
    </row>
    <row r="18" spans="4:14" ht="31.5" customHeight="1" x14ac:dyDescent="0.45">
      <c r="D18" s="692" t="s">
        <v>197</v>
      </c>
      <c r="E18" s="691"/>
      <c r="F18" s="691"/>
      <c r="G18" s="691"/>
      <c r="H18" s="691"/>
      <c r="I18" s="691"/>
      <c r="J18" s="691"/>
      <c r="K18" s="691"/>
      <c r="L18" s="691"/>
      <c r="M18" s="691"/>
      <c r="N18" s="693"/>
    </row>
    <row r="19" spans="4:14" ht="31.5" customHeight="1" x14ac:dyDescent="0.45">
      <c r="D19" s="618"/>
      <c r="F19" s="616"/>
      <c r="G19" s="616"/>
      <c r="H19" s="616"/>
      <c r="I19" s="616"/>
      <c r="J19" s="616"/>
      <c r="K19" s="616"/>
      <c r="L19" s="616"/>
      <c r="M19" s="617"/>
      <c r="N19" s="615"/>
    </row>
    <row r="20" spans="4:14" ht="31.5" customHeight="1" x14ac:dyDescent="0.45">
      <c r="D20" s="692" t="str">
        <f>Criteria!E20</f>
        <v>29 FEBRUARY 2024</v>
      </c>
      <c r="E20" s="691"/>
      <c r="F20" s="691"/>
      <c r="G20" s="691"/>
      <c r="H20" s="691"/>
      <c r="I20" s="691"/>
      <c r="J20" s="691"/>
      <c r="K20" s="691"/>
      <c r="L20" s="691"/>
      <c r="M20" s="691"/>
      <c r="N20" s="693"/>
    </row>
    <row r="21" spans="4:14" ht="31.5" customHeight="1" thickBot="1" x14ac:dyDescent="0.5">
      <c r="D21" s="455"/>
      <c r="E21" s="456"/>
      <c r="F21" s="456"/>
      <c r="G21" s="456"/>
      <c r="H21" s="456"/>
      <c r="I21" s="456"/>
      <c r="J21" s="456"/>
      <c r="K21" s="456"/>
      <c r="L21" s="456"/>
      <c r="M21" s="625"/>
      <c r="N21" s="626"/>
    </row>
    <row r="22" spans="4:14" ht="31.5" customHeight="1" x14ac:dyDescent="0.45"/>
    <row r="23" spans="4:14" ht="31.5" customHeight="1" x14ac:dyDescent="0.45"/>
    <row r="24" spans="4:14" ht="31.5" customHeight="1" x14ac:dyDescent="0.45"/>
    <row r="25" spans="4:14" ht="31.5" customHeight="1" x14ac:dyDescent="0.45"/>
    <row r="26" spans="4:14" ht="31.5" customHeight="1" x14ac:dyDescent="0.45"/>
    <row r="27" spans="4:14" ht="31.5" customHeight="1" x14ac:dyDescent="0.45"/>
    <row r="28" spans="4:14" ht="31.5" customHeight="1" x14ac:dyDescent="0.45"/>
    <row r="29" spans="4:14" ht="31.5" customHeight="1" x14ac:dyDescent="0.45"/>
    <row r="30" spans="4:14" ht="31.5" customHeight="1" x14ac:dyDescent="0.45"/>
    <row r="31" spans="4:14" ht="31.5" customHeight="1" x14ac:dyDescent="0.45"/>
    <row r="32" spans="4:14"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1.5" customHeight="1" x14ac:dyDescent="0.45"/>
    <row r="57" spans="4:18" ht="31.5" customHeight="1" x14ac:dyDescent="0.45"/>
    <row r="58" spans="4:18" ht="31.5" customHeight="1" x14ac:dyDescent="0.45">
      <c r="D58" s="450" t="str">
        <f>Criteria!E9</f>
        <v>ABC COMPANY (PROPRIETARY) LIMITED</v>
      </c>
    </row>
    <row r="59" spans="4:18" ht="31.5" customHeight="1" x14ac:dyDescent="0.45">
      <c r="D59" s="450" t="str">
        <f>Criteria!E10</f>
        <v>T/A SEAFRONT HOTEL, SEAFRONT RESTAURANT AND RENTAL PROPERTIES</v>
      </c>
      <c r="R59" s="512" t="str">
        <f>IF(D59=0,"DELETE"," ")</f>
        <v xml:space="preserve"> </v>
      </c>
    </row>
    <row r="60" spans="4:18" ht="31.5" customHeight="1" x14ac:dyDescent="0.45">
      <c r="D60" s="450" t="str">
        <f>Criteria!E18</f>
        <v>2000/123456/07</v>
      </c>
    </row>
    <row r="61" spans="4:18" ht="31.5" customHeight="1" x14ac:dyDescent="0.45">
      <c r="D61" s="450"/>
    </row>
    <row r="62" spans="4:18" ht="31.5" customHeight="1" x14ac:dyDescent="0.45">
      <c r="D62" s="450" t="s">
        <v>198</v>
      </c>
    </row>
    <row r="63" spans="4:18" ht="31.5" customHeight="1" x14ac:dyDescent="0.45">
      <c r="D63" s="450" t="str">
        <f>Criteria!E20</f>
        <v>29 FEBRUARY 2024</v>
      </c>
    </row>
    <row r="64" spans="4:18" ht="31.5" customHeight="1" x14ac:dyDescent="0.45"/>
    <row r="65" spans="4:15" ht="31.5" customHeight="1" x14ac:dyDescent="0.45"/>
    <row r="66" spans="4:15" ht="31.5" customHeight="1" x14ac:dyDescent="0.5">
      <c r="D66" s="590" t="s">
        <v>1303</v>
      </c>
    </row>
    <row r="67" spans="4:15" ht="31.5" customHeight="1" x14ac:dyDescent="0.5">
      <c r="D67" s="590" t="str">
        <f>IF(MAX(Criteria!H53:H57)=1,"presented to the Shareholder:","presented to the Shareholders:")</f>
        <v>presented to the Shareholders:</v>
      </c>
    </row>
    <row r="68" spans="4:15" ht="31.5" customHeight="1" x14ac:dyDescent="0.45"/>
    <row r="69" spans="4:15" ht="31.5" customHeight="1" x14ac:dyDescent="0.45">
      <c r="D69" s="450" t="s">
        <v>199</v>
      </c>
      <c r="N69" s="457"/>
      <c r="O69" s="524" t="s">
        <v>200</v>
      </c>
    </row>
    <row r="70" spans="4:15" ht="31.5" customHeight="1" x14ac:dyDescent="0.45"/>
    <row r="71" spans="4:15" ht="31.5" customHeight="1" x14ac:dyDescent="0.45">
      <c r="D71" s="449" t="s">
        <v>201</v>
      </c>
      <c r="N71" s="458"/>
      <c r="O71" s="525">
        <f>Q114</f>
        <v>1</v>
      </c>
    </row>
    <row r="72" spans="4:15" ht="31.5" customHeight="1" x14ac:dyDescent="0.45">
      <c r="N72" s="458"/>
      <c r="O72" s="525"/>
    </row>
    <row r="73" spans="4:15" ht="31.5" customHeight="1" x14ac:dyDescent="0.45">
      <c r="D73" s="449" t="str">
        <f>IF(MAX(Criteria!I41:I45)&gt;1,"DIRECTORS' RESPONSIBILITY STATEMENT","DIRECTOR'S RESPONSIBILITY STATEMENT")</f>
        <v>DIRECTORS' RESPONSIBILITY STATEMENT</v>
      </c>
      <c r="N73" s="458"/>
      <c r="O73" s="525">
        <f>Q170</f>
        <v>2</v>
      </c>
    </row>
    <row r="74" spans="4:15" ht="31.5" customHeight="1" x14ac:dyDescent="0.45">
      <c r="N74" s="458"/>
      <c r="O74" s="525"/>
    </row>
    <row r="75" spans="4:15" ht="31.5" customHeight="1" x14ac:dyDescent="0.45">
      <c r="D75" s="449" t="str">
        <f>IF(Criteria!E29="Compilation","ACCOUNTING OFFICER'S COMPILATION REPORT",IF(Criteria!E29="Review","INDEPENDENT REVIEWER'S REPORT","AUDITOR'S REPORT"))</f>
        <v>ACCOUNTING OFFICER'S COMPILATION REPORT</v>
      </c>
      <c r="N75" s="458"/>
      <c r="O75" s="525">
        <f>MAX($Q$114:Q393)</f>
        <v>5</v>
      </c>
    </row>
    <row r="76" spans="4:15" ht="31.5" customHeight="1" x14ac:dyDescent="0.45">
      <c r="N76" s="458"/>
      <c r="O76" s="525"/>
    </row>
    <row r="77" spans="4:15" ht="31.5" customHeight="1" x14ac:dyDescent="0.45">
      <c r="D77" s="449" t="str">
        <f>IF(MAX(Criteria!I41:I45)&gt;1,"DIRECTORS' REPORT","DIRECTOR'S REPORT")</f>
        <v>DIRECTORS' REPORT</v>
      </c>
      <c r="N77" s="458"/>
      <c r="O77" s="525" t="str">
        <f>CONCATENATE(Q394," -  ",MAX(Q394:Q516))</f>
        <v>6 -  7</v>
      </c>
    </row>
    <row r="78" spans="4:15" ht="31.5" customHeight="1" x14ac:dyDescent="0.45">
      <c r="N78" s="458"/>
      <c r="O78" s="525"/>
    </row>
    <row r="79" spans="4:15" ht="31.5" customHeight="1" x14ac:dyDescent="0.45">
      <c r="D79" s="449" t="s">
        <v>793</v>
      </c>
      <c r="N79" s="458"/>
      <c r="O79" s="525">
        <f>Q517</f>
        <v>8</v>
      </c>
    </row>
    <row r="80" spans="4:15" ht="31.5" customHeight="1" x14ac:dyDescent="0.45">
      <c r="N80" s="458"/>
      <c r="O80" s="525"/>
    </row>
    <row r="81" spans="4:18" ht="31.5" customHeight="1" x14ac:dyDescent="0.45">
      <c r="D81" s="449" t="s">
        <v>792</v>
      </c>
      <c r="N81" s="458"/>
      <c r="O81" s="525">
        <f>Q579</f>
        <v>9</v>
      </c>
    </row>
    <row r="82" spans="4:18" ht="31.5" customHeight="1" x14ac:dyDescent="0.45">
      <c r="N82" s="458"/>
      <c r="O82" s="525"/>
    </row>
    <row r="83" spans="4:18" ht="31.5" customHeight="1" x14ac:dyDescent="0.45">
      <c r="D83" s="449" t="s">
        <v>569</v>
      </c>
      <c r="N83" s="458"/>
      <c r="O83" s="525">
        <f>Q662</f>
        <v>10</v>
      </c>
    </row>
    <row r="84" spans="4:18" ht="31.5" customHeight="1" x14ac:dyDescent="0.45">
      <c r="N84" s="458"/>
      <c r="O84" s="525"/>
    </row>
    <row r="85" spans="4:18" ht="31.5" customHeight="1" x14ac:dyDescent="0.45">
      <c r="D85" s="449" t="s">
        <v>117</v>
      </c>
      <c r="N85" s="458"/>
      <c r="O85" s="525">
        <f>Q721</f>
        <v>11</v>
      </c>
    </row>
    <row r="86" spans="4:18" ht="31.5" customHeight="1" x14ac:dyDescent="0.45">
      <c r="N86" s="458"/>
      <c r="O86" s="525"/>
    </row>
    <row r="87" spans="4:18" ht="31.5" customHeight="1" x14ac:dyDescent="0.45">
      <c r="D87" s="449" t="s">
        <v>118</v>
      </c>
      <c r="N87" s="458"/>
      <c r="O87" s="525" t="str">
        <f>CONCATENATE(Q797," -  ",MAX(Q797:Q2510))</f>
        <v>12 -  62</v>
      </c>
    </row>
    <row r="88" spans="4:18" ht="31.5" customHeight="1" x14ac:dyDescent="0.45">
      <c r="N88" s="458"/>
      <c r="O88" s="525"/>
    </row>
    <row r="89" spans="4:18" ht="31.5" customHeight="1" x14ac:dyDescent="0.45">
      <c r="D89" s="449" t="s">
        <v>593</v>
      </c>
      <c r="N89" s="458"/>
      <c r="O89" s="525" t="str">
        <f>IF(Q2511&lt;MAX(Q2511:Q2685),CONCATENATE(Q2511," - ",MAX(Q2511:Q2685)),Q2511)</f>
        <v>63 - 64</v>
      </c>
    </row>
    <row r="90" spans="4:18" ht="31.5" customHeight="1" x14ac:dyDescent="0.45">
      <c r="N90" s="458"/>
      <c r="O90" s="525"/>
    </row>
    <row r="91" spans="4:18" ht="31.5" customHeight="1" x14ac:dyDescent="0.45">
      <c r="D91" s="449" t="s">
        <v>119</v>
      </c>
      <c r="N91" s="458"/>
      <c r="O91" s="525">
        <f>Q2686</f>
        <v>65</v>
      </c>
    </row>
    <row r="92" spans="4:18" ht="31.5" customHeight="1" x14ac:dyDescent="0.45">
      <c r="N92" s="458"/>
      <c r="O92" s="525"/>
    </row>
    <row r="93" spans="4:18" ht="31.5" customHeight="1" x14ac:dyDescent="0.45">
      <c r="D93" s="449" t="s">
        <v>351</v>
      </c>
      <c r="N93" s="458"/>
      <c r="O93" s="525">
        <f>Q2762</f>
        <v>66</v>
      </c>
      <c r="R93" s="512" t="str">
        <f>R2761</f>
        <v>DELETE</v>
      </c>
    </row>
    <row r="94" spans="4:18" ht="31.5" customHeight="1" x14ac:dyDescent="0.45"/>
    <row r="95" spans="4:18" ht="31.5" customHeight="1" x14ac:dyDescent="0.45">
      <c r="D95" s="449" t="s">
        <v>594</v>
      </c>
      <c r="R95" s="512" t="str">
        <f>IF(Criteria!E14=0,"DELETE"," ")</f>
        <v xml:space="preserve"> </v>
      </c>
    </row>
    <row r="96" spans="4:18" ht="31.5" customHeight="1" x14ac:dyDescent="0.45">
      <c r="E96" s="449" t="s">
        <v>27</v>
      </c>
      <c r="F96" s="449" t="str">
        <f>CONCATENATE("DETAILED INCOME STATEMENT"," - ",Criteria!E14)</f>
        <v>DETAILED INCOME STATEMENT - SEAFRONT RESTAURANT</v>
      </c>
      <c r="R96" s="512" t="str">
        <f>IF(Criteria!E14=0,"DELETE"," ")</f>
        <v xml:space="preserve"> </v>
      </c>
    </row>
    <row r="97" spans="4:18" ht="31.5" customHeight="1" x14ac:dyDescent="0.45">
      <c r="E97" s="449" t="s">
        <v>752</v>
      </c>
      <c r="F97" s="449" t="str">
        <f>CONCATENATE("DETAILED INCOME STATEMENT"," - ",Criteria!E15)</f>
        <v>DETAILED INCOME STATEMENT - RENTAL PROPERTIES</v>
      </c>
      <c r="R97" s="512" t="str">
        <f>IF(Criteria!E15=0,"DELETE"," ")</f>
        <v xml:space="preserve"> </v>
      </c>
    </row>
    <row r="98" spans="4:18" ht="31.5" customHeight="1" x14ac:dyDescent="0.45">
      <c r="E98" s="449" t="s">
        <v>758</v>
      </c>
      <c r="F98" s="449" t="str">
        <f>CONCATENATE("DETAILED INCOME STATEMENT"," - ",Criteria!E16)</f>
        <v xml:space="preserve">DETAILED INCOME STATEMENT - </v>
      </c>
      <c r="R98" s="512" t="str">
        <f>IF(Criteria!E16=0,"DELETE"," ")</f>
        <v>DELETE</v>
      </c>
    </row>
    <row r="99" spans="4:18" ht="31.5" customHeight="1" x14ac:dyDescent="0.45"/>
    <row r="100" spans="4:18" ht="31.5" customHeight="1" x14ac:dyDescent="0.45">
      <c r="D100" s="450"/>
    </row>
    <row r="101" spans="4:18" ht="31.5" customHeight="1" x14ac:dyDescent="0.45"/>
    <row r="102" spans="4:18" ht="31.5" customHeight="1" x14ac:dyDescent="0.45"/>
    <row r="103" spans="4:18" ht="31.5" customHeight="1" x14ac:dyDescent="0.45"/>
    <row r="104" spans="4:18" ht="31.5" customHeight="1" x14ac:dyDescent="0.45"/>
    <row r="105" spans="4:18" ht="31.5" customHeight="1" x14ac:dyDescent="0.45"/>
    <row r="106" spans="4:18" ht="31.5" customHeight="1" x14ac:dyDescent="0.45"/>
    <row r="107" spans="4:18" ht="31.5" customHeight="1" x14ac:dyDescent="0.45"/>
    <row r="108" spans="4:18" ht="31.5" customHeight="1" x14ac:dyDescent="0.45"/>
    <row r="109" spans="4:18" ht="31.5" customHeight="1" x14ac:dyDescent="0.45"/>
    <row r="110" spans="4:18" ht="31.5" customHeight="1" x14ac:dyDescent="0.45"/>
    <row r="111" spans="4:18" ht="31.5" customHeight="1" x14ac:dyDescent="0.45"/>
    <row r="112" spans="4:18" ht="31.5" customHeight="1" x14ac:dyDescent="0.45"/>
    <row r="113" spans="4:18" ht="31.5" customHeight="1" x14ac:dyDescent="0.45"/>
    <row r="114" spans="4:18" ht="31.5" customHeight="1" x14ac:dyDescent="0.45">
      <c r="D114" s="450" t="str">
        <f>Criteria!E9</f>
        <v>ABC COMPANY (PROPRIETARY) LIMITED</v>
      </c>
      <c r="O114" s="529" t="s">
        <v>121</v>
      </c>
      <c r="P114" s="459"/>
      <c r="Q114" s="451">
        <v>1</v>
      </c>
    </row>
    <row r="115" spans="4:18" ht="31.5" customHeight="1" x14ac:dyDescent="0.45">
      <c r="D115" s="450" t="str">
        <f>Criteria!E10</f>
        <v>T/A SEAFRONT HOTEL, SEAFRONT RESTAURANT AND RENTAL PROPERTIES</v>
      </c>
      <c r="R115" s="512" t="str">
        <f>IF(D115=0,"DELETE"," ")</f>
        <v xml:space="preserve"> </v>
      </c>
    </row>
    <row r="116" spans="4:18" ht="31.5" customHeight="1" x14ac:dyDescent="0.45"/>
    <row r="117" spans="4:18" ht="31.5" customHeight="1" x14ac:dyDescent="0.45"/>
    <row r="118" spans="4:18" ht="31.5" customHeight="1" x14ac:dyDescent="0.45">
      <c r="D118" s="450" t="s">
        <v>201</v>
      </c>
    </row>
    <row r="119" spans="4:18" ht="31.5" customHeight="1" x14ac:dyDescent="0.45"/>
    <row r="120" spans="4:18" ht="31.5" customHeight="1" x14ac:dyDescent="0.45"/>
    <row r="121" spans="4:18" ht="31.5" customHeight="1" x14ac:dyDescent="0.45">
      <c r="D121" s="449" t="s">
        <v>1269</v>
      </c>
      <c r="J121" s="452"/>
    </row>
    <row r="122" spans="4:18" ht="31.5" customHeight="1" x14ac:dyDescent="0.45">
      <c r="D122" s="449" t="s">
        <v>1268</v>
      </c>
      <c r="J122" s="449" t="s">
        <v>759</v>
      </c>
    </row>
    <row r="123" spans="4:18" ht="31.5" customHeight="1" x14ac:dyDescent="0.45"/>
    <row r="124" spans="4:18" ht="31.5" customHeight="1" x14ac:dyDescent="0.45">
      <c r="D124" s="449" t="s">
        <v>925</v>
      </c>
      <c r="J124" s="449" t="s">
        <v>926</v>
      </c>
    </row>
    <row r="125" spans="4:18" ht="31.5" customHeight="1" x14ac:dyDescent="0.45"/>
    <row r="126" spans="4:18" ht="31.5" customHeight="1" x14ac:dyDescent="0.45">
      <c r="D126" s="449" t="s">
        <v>122</v>
      </c>
      <c r="J126" s="449" t="str">
        <f>Criteria!E36</f>
        <v>Hotel trade</v>
      </c>
    </row>
    <row r="127" spans="4:18" ht="31.5" customHeight="1" x14ac:dyDescent="0.45">
      <c r="J127" s="449" t="str">
        <f>Criteria!E37</f>
        <v>Restaurant industry</v>
      </c>
      <c r="R127" s="512" t="str">
        <f>IF(J127=0,"DELETE"," ")</f>
        <v xml:space="preserve"> </v>
      </c>
    </row>
    <row r="128" spans="4:18" ht="31.5" customHeight="1" x14ac:dyDescent="0.45">
      <c r="J128" s="449" t="str">
        <f>Criteria!E38</f>
        <v>Investment in immovable property</v>
      </c>
      <c r="R128" s="512" t="str">
        <f>IF(J128=0,"DELETE"," ")</f>
        <v xml:space="preserve"> </v>
      </c>
    </row>
    <row r="129" spans="4:18" ht="31.5" customHeight="1" x14ac:dyDescent="0.45">
      <c r="J129" s="449">
        <f>Criteria!E39</f>
        <v>0</v>
      </c>
      <c r="R129" s="512" t="str">
        <f>IF(J129=0,"DELETE"," ")</f>
        <v>DELETE</v>
      </c>
    </row>
    <row r="130" spans="4:18" ht="31.5" customHeight="1" x14ac:dyDescent="0.45"/>
    <row r="131" spans="4:18" ht="31.5" customHeight="1" x14ac:dyDescent="0.45">
      <c r="D131" s="449" t="str">
        <f>IF(MAX(Criteria!I41:I45)&gt;1,"Directors","Director")</f>
        <v>Directors</v>
      </c>
      <c r="J131" s="449" t="str">
        <f>Criteria!E41</f>
        <v>A Director</v>
      </c>
    </row>
    <row r="132" spans="4:18" ht="31.5" customHeight="1" x14ac:dyDescent="0.45">
      <c r="J132" s="449" t="str">
        <f>Criteria!E42</f>
        <v>C Director</v>
      </c>
      <c r="R132" s="512" t="str">
        <f>IF(J132=0,"DELETE"," ")</f>
        <v xml:space="preserve"> </v>
      </c>
    </row>
    <row r="133" spans="4:18" ht="31.5" customHeight="1" x14ac:dyDescent="0.45">
      <c r="J133" s="449">
        <f>Criteria!E43</f>
        <v>0</v>
      </c>
      <c r="R133" s="512" t="str">
        <f>IF(J133=0,"DELETE"," ")</f>
        <v>DELETE</v>
      </c>
    </row>
    <row r="134" spans="4:18" ht="31.5" customHeight="1" x14ac:dyDescent="0.45">
      <c r="J134" s="449">
        <f>Criteria!E44</f>
        <v>0</v>
      </c>
      <c r="R134" s="512" t="str">
        <f>IF(J134=0,"DELETE"," ")</f>
        <v>DELETE</v>
      </c>
    </row>
    <row r="135" spans="4:18" ht="31.5" customHeight="1" x14ac:dyDescent="0.45">
      <c r="J135" s="449">
        <f>Criteria!E45</f>
        <v>0</v>
      </c>
      <c r="R135" s="512" t="str">
        <f>IF(J135=0,"DELETE"," ")</f>
        <v>DELETE</v>
      </c>
    </row>
    <row r="136" spans="4:18" ht="31.5" customHeight="1" x14ac:dyDescent="0.45"/>
    <row r="137" spans="4:18" ht="31.5" customHeight="1" x14ac:dyDescent="0.45">
      <c r="D137" s="449" t="s">
        <v>123</v>
      </c>
      <c r="J137" s="449">
        <f>Criteria!E59</f>
        <v>0</v>
      </c>
    </row>
    <row r="138" spans="4:18" ht="31.5" customHeight="1" x14ac:dyDescent="0.45">
      <c r="J138" s="449">
        <f>Criteria!E60</f>
        <v>0</v>
      </c>
    </row>
    <row r="139" spans="4:18" ht="31.5" customHeight="1" x14ac:dyDescent="0.45">
      <c r="J139" s="460">
        <f>Criteria!E61</f>
        <v>0</v>
      </c>
      <c r="R139" s="512" t="str">
        <f>IF(J139=0,"DELETE"," ")</f>
        <v>DELETE</v>
      </c>
    </row>
    <row r="140" spans="4:18" ht="31.5" customHeight="1" x14ac:dyDescent="0.45">
      <c r="J140" s="460">
        <f>Criteria!E62</f>
        <v>0</v>
      </c>
      <c r="R140" s="512" t="str">
        <f>IF(J140=0,"DELETE"," ")</f>
        <v>DELETE</v>
      </c>
    </row>
    <row r="141" spans="4:18" ht="31.5" customHeight="1" x14ac:dyDescent="0.45">
      <c r="R141" s="512" t="str">
        <f>R142</f>
        <v>DELETE</v>
      </c>
    </row>
    <row r="142" spans="4:18" ht="31.5" customHeight="1" x14ac:dyDescent="0.45">
      <c r="D142" s="449" t="s">
        <v>1050</v>
      </c>
      <c r="J142" s="460">
        <f>Criteria!E64</f>
        <v>0</v>
      </c>
      <c r="R142" s="512" t="str">
        <f t="shared" ref="R142:R145" si="0">IF(J142=0,"DELETE"," ")</f>
        <v>DELETE</v>
      </c>
    </row>
    <row r="143" spans="4:18" ht="31.5" customHeight="1" x14ac:dyDescent="0.45">
      <c r="J143" s="460">
        <f>Criteria!E65</f>
        <v>0</v>
      </c>
      <c r="R143" s="512" t="str">
        <f t="shared" si="0"/>
        <v>DELETE</v>
      </c>
    </row>
    <row r="144" spans="4:18" ht="31.5" customHeight="1" x14ac:dyDescent="0.45">
      <c r="J144" s="460">
        <f>Criteria!E66</f>
        <v>0</v>
      </c>
      <c r="R144" s="512" t="str">
        <f t="shared" si="0"/>
        <v>DELETE</v>
      </c>
    </row>
    <row r="145" spans="4:18" ht="31.5" customHeight="1" x14ac:dyDescent="0.45">
      <c r="J145" s="460">
        <f>Criteria!E67</f>
        <v>0</v>
      </c>
      <c r="R145" s="512" t="str">
        <f t="shared" si="0"/>
        <v>DELETE</v>
      </c>
    </row>
    <row r="146" spans="4:18" ht="31.5" customHeight="1" x14ac:dyDescent="0.45"/>
    <row r="147" spans="4:18" ht="31.5" customHeight="1" x14ac:dyDescent="0.45">
      <c r="D147" s="449" t="s">
        <v>124</v>
      </c>
      <c r="J147" s="449">
        <f>Criteria!E69</f>
        <v>0</v>
      </c>
      <c r="R147" s="512" t="str">
        <f>IF(J147=0,"DELETE"," ")</f>
        <v>DELETE</v>
      </c>
    </row>
    <row r="148" spans="4:18" ht="31.5" customHeight="1" x14ac:dyDescent="0.45">
      <c r="J148" s="449">
        <f>Criteria!E70</f>
        <v>0</v>
      </c>
      <c r="R148" s="512" t="str">
        <f>IF(J148=0,"DELETE"," ")</f>
        <v>DELETE</v>
      </c>
    </row>
    <row r="149" spans="4:18" ht="31.5" customHeight="1" x14ac:dyDescent="0.45">
      <c r="J149" s="460">
        <f>Criteria!E71</f>
        <v>0</v>
      </c>
      <c r="R149" s="512" t="str">
        <f>IF(J149=0,"DELETE"," ")</f>
        <v>DELETE</v>
      </c>
    </row>
    <row r="150" spans="4:18" ht="31.5" customHeight="1" x14ac:dyDescent="0.45">
      <c r="J150" s="460">
        <f>Criteria!E72</f>
        <v>0</v>
      </c>
      <c r="R150" s="512" t="str">
        <f>IF(J150=0,"DELETE"," ")</f>
        <v>DELETE</v>
      </c>
    </row>
    <row r="151" spans="4:18" ht="31.5" customHeight="1" x14ac:dyDescent="0.45">
      <c r="J151" s="460"/>
    </row>
    <row r="152" spans="4:18" ht="31.5" customHeight="1" x14ac:dyDescent="0.45">
      <c r="D152" s="449" t="s">
        <v>922</v>
      </c>
      <c r="J152" s="460">
        <f>Criteria!E74</f>
        <v>0</v>
      </c>
      <c r="R152" s="512" t="str">
        <f t="shared" ref="R152:R154" si="1">IF(J152=0,"DELETE"," ")</f>
        <v>DELETE</v>
      </c>
    </row>
    <row r="153" spans="4:18" ht="31.5" customHeight="1" x14ac:dyDescent="0.45">
      <c r="J153" s="460">
        <f>Criteria!E75</f>
        <v>0</v>
      </c>
      <c r="R153" s="512" t="str">
        <f t="shared" si="1"/>
        <v>DELETE</v>
      </c>
    </row>
    <row r="154" spans="4:18" ht="31.5" customHeight="1" x14ac:dyDescent="0.45">
      <c r="J154" s="460">
        <f>Criteria!E76</f>
        <v>0</v>
      </c>
      <c r="R154" s="512" t="str">
        <f t="shared" si="1"/>
        <v>DELETE</v>
      </c>
    </row>
    <row r="155" spans="4:18" ht="31.5" customHeight="1" x14ac:dyDescent="0.45"/>
    <row r="156" spans="4:18" ht="31.5" customHeight="1" x14ac:dyDescent="0.45">
      <c r="D156" s="449" t="s">
        <v>950</v>
      </c>
      <c r="J156" s="449" t="str">
        <f>Criteria!E18</f>
        <v>2000/123456/07</v>
      </c>
    </row>
    <row r="157" spans="4:18" ht="31.5" customHeight="1" x14ac:dyDescent="0.45"/>
    <row r="158" spans="4:18" ht="31.5" customHeight="1" x14ac:dyDescent="0.45">
      <c r="D158" s="449" t="str">
        <f>FS!D158</f>
        <v>Auditor/Accounting Officer</v>
      </c>
      <c r="J158" s="449">
        <f>FS!J158</f>
        <v>0</v>
      </c>
    </row>
    <row r="159" spans="4:18" ht="31.5" customHeight="1" x14ac:dyDescent="0.45">
      <c r="J159" s="449">
        <f>FS!J159</f>
        <v>0</v>
      </c>
    </row>
    <row r="160" spans="4:18" ht="31.5" customHeight="1" x14ac:dyDescent="0.45">
      <c r="J160" s="449">
        <f>FS!J160</f>
        <v>0</v>
      </c>
    </row>
    <row r="161" spans="4:18" ht="31.5" customHeight="1" x14ac:dyDescent="0.45">
      <c r="J161" s="449">
        <f>FS!J161</f>
        <v>0</v>
      </c>
      <c r="R161" s="512" t="str">
        <f t="shared" ref="R161:R162" si="2">IF(J161=0,"DELETE"," ")</f>
        <v>DELETE</v>
      </c>
    </row>
    <row r="162" spans="4:18" ht="31.5" customHeight="1" x14ac:dyDescent="0.45">
      <c r="J162" s="449">
        <f>FS!J162</f>
        <v>0</v>
      </c>
      <c r="R162" s="512" t="str">
        <f t="shared" si="2"/>
        <v>DELETE</v>
      </c>
    </row>
    <row r="163" spans="4:18" ht="31.5" customHeight="1" x14ac:dyDescent="0.45"/>
    <row r="164" spans="4:18" ht="31.5" customHeight="1" x14ac:dyDescent="0.45"/>
    <row r="165" spans="4:18" ht="31.5" customHeight="1" x14ac:dyDescent="0.45"/>
    <row r="166" spans="4:18" ht="31.5" customHeight="1" x14ac:dyDescent="0.45"/>
    <row r="167" spans="4:18" ht="31.5" customHeight="1" x14ac:dyDescent="0.45"/>
    <row r="168" spans="4:18" ht="31.5" customHeight="1" x14ac:dyDescent="0.45"/>
    <row r="169" spans="4:18" ht="31.5" customHeight="1" x14ac:dyDescent="0.45"/>
    <row r="170" spans="4:18" ht="31.5" customHeight="1" x14ac:dyDescent="0.45">
      <c r="D170" s="450" t="str">
        <f>Criteria!E9</f>
        <v>ABC COMPANY (PROPRIETARY) LIMITED</v>
      </c>
      <c r="O170" s="529" t="s">
        <v>121</v>
      </c>
      <c r="P170" s="459"/>
      <c r="Q170" s="451">
        <f>MAX($Q$114:Q169)+1</f>
        <v>2</v>
      </c>
    </row>
    <row r="171" spans="4:18" ht="31.5" customHeight="1" x14ac:dyDescent="0.45">
      <c r="D171" s="450" t="str">
        <f>Criteria!E10</f>
        <v>T/A SEAFRONT HOTEL, SEAFRONT RESTAURANT AND RENTAL PROPERTIES</v>
      </c>
      <c r="R171" s="512" t="str">
        <f>IF(D171=0,"DELETE"," ")</f>
        <v xml:space="preserve"> </v>
      </c>
    </row>
    <row r="172" spans="4:18" ht="31.5" customHeight="1" x14ac:dyDescent="0.45"/>
    <row r="173" spans="4:18" ht="31.5" customHeight="1" x14ac:dyDescent="0.45">
      <c r="D173" s="450" t="str">
        <f>IF(MAX(Criteria!I41:I45)&gt;1,"DIRECTORS' RESPONSIBILITY STATEMENT AND APPROVAL","DIRECTOR'S RESPONSIBILITY STATEMENT AND APPROVAL")</f>
        <v>DIRECTORS' RESPONSIBILITY STATEMENT AND APPROVAL</v>
      </c>
    </row>
    <row r="174" spans="4:18" ht="31.5" customHeight="1" x14ac:dyDescent="0.45">
      <c r="D174" s="461"/>
      <c r="E174" s="461"/>
      <c r="F174" s="461"/>
      <c r="G174" s="461"/>
      <c r="H174" s="461"/>
      <c r="I174" s="461"/>
      <c r="J174" s="461"/>
      <c r="K174" s="461"/>
      <c r="L174" s="461"/>
      <c r="M174" s="628"/>
      <c r="N174" s="629"/>
      <c r="O174" s="630"/>
      <c r="P174" s="631"/>
      <c r="Q174" s="461"/>
    </row>
    <row r="175" spans="4:18" ht="31.5" customHeight="1" x14ac:dyDescent="0.45"/>
    <row r="176" spans="4:18" ht="31.5" customHeight="1" x14ac:dyDescent="0.45"/>
    <row r="177" spans="4:4" ht="31.5" customHeight="1" x14ac:dyDescent="0.45">
      <c r="D177" s="450" t="str">
        <f>IF(MAX(Criteria!I41:I45)&gt;1,"DIRECTORS' RESPONSIBILITY STATEMENT","DIRECTOR'S RESPONSIBILITY STATEMENT")</f>
        <v>DIRECTORS' RESPONSIBILITY STATEMENT</v>
      </c>
    </row>
    <row r="178" spans="4:4" ht="31.5" customHeight="1" x14ac:dyDescent="0.45"/>
    <row r="179" spans="4:4" ht="31.5" customHeight="1" x14ac:dyDescent="0.45">
      <c r="D179" s="449" t="str">
        <f>CONCATENATE("The ",IF(MAX(Criteria!I41:I45)&gt;1,"directors are ","director is "),"responsible for the preparation and fair presentation of the annual Financial")</f>
        <v>The directors are responsible for the preparation and fair presentation of the annual Financial</v>
      </c>
    </row>
    <row r="180" spans="4:4" ht="31.5" customHeight="1" x14ac:dyDescent="0.45">
      <c r="D180" s="449" t="str">
        <f>CONCATENATE("Statements of ",Criteria!E11,", comprising the statement of")</f>
        <v>Statements of ABC Company (Pty) Ltd, comprising the statement of</v>
      </c>
    </row>
    <row r="181" spans="4:4" ht="31.5" customHeight="1" x14ac:dyDescent="0.45">
      <c r="D181" s="449" t="str">
        <f>CONCATENATE("financial position as at ",Criteria!G24,", statements of comprehensive income, changes in equity")</f>
        <v>financial position as at 29 February 2024, statements of comprehensive income, changes in equity</v>
      </c>
    </row>
    <row r="182" spans="4:4" ht="31.5" customHeight="1" x14ac:dyDescent="0.45">
      <c r="D182" s="449" t="s">
        <v>1270</v>
      </c>
    </row>
    <row r="183" spans="4:4" ht="31.5" customHeight="1" x14ac:dyDescent="0.45">
      <c r="D183" s="449" t="s">
        <v>1275</v>
      </c>
    </row>
    <row r="184" spans="4:4" ht="31.5" customHeight="1" x14ac:dyDescent="0.45">
      <c r="D184" s="449" t="s">
        <v>1480</v>
      </c>
    </row>
    <row r="185" spans="4:4" ht="31.5" customHeight="1" x14ac:dyDescent="0.45">
      <c r="D185" s="449" t="s">
        <v>1277</v>
      </c>
    </row>
    <row r="186" spans="4:4" ht="31.5" customHeight="1" x14ac:dyDescent="0.45"/>
    <row r="187" spans="4:4" ht="31.5" customHeight="1" x14ac:dyDescent="0.45">
      <c r="D187" s="449" t="str">
        <f>CONCATENATE("The ",IF(MAX(Criteria!I41:I45)&gt;1,"directors are ","director is "),"also responsible for such internal control as ",IF(MAX(Criteria!I41:I45)&gt;1,"they determine is ","is determined "),"necessary to")</f>
        <v>The directors are also responsible for such internal control as they determine is necessary to</v>
      </c>
    </row>
    <row r="188" spans="4:4" ht="31.5" customHeight="1" x14ac:dyDescent="0.45">
      <c r="D188" s="449" t="s">
        <v>1276</v>
      </c>
    </row>
    <row r="189" spans="4:4" ht="31.5" customHeight="1" x14ac:dyDescent="0.45">
      <c r="D189" s="449" t="s">
        <v>1273</v>
      </c>
    </row>
    <row r="190" spans="4:4" ht="31.5" customHeight="1" x14ac:dyDescent="0.45">
      <c r="D190" s="449" t="str">
        <f>CONCATENATE("system of risk management. The ",IF(MAX(Criteria!I41:I45)&gt;1,"directors have ","director has "),"made an assessment of the company's ability to")</f>
        <v>system of risk management. The directors have made an assessment of the company's ability to</v>
      </c>
    </row>
    <row r="191" spans="4:4" ht="31.5" customHeight="1" x14ac:dyDescent="0.45">
      <c r="D191" s="449" t="str">
        <f>CONCATENATE("continue as a going concern and ",IF(MAX(Criteria!I42:I46)&gt;1,"have no","has no")," reason to believe that the business will not be a going ")</f>
        <v xml:space="preserve">continue as a going concern and have no reason to believe that the business will not be a going </v>
      </c>
    </row>
    <row r="192" spans="4:4" ht="31.5" customHeight="1" x14ac:dyDescent="0.45">
      <c r="D192" s="449" t="s">
        <v>1274</v>
      </c>
    </row>
    <row r="193" spans="4:13" ht="31.5" customHeight="1" x14ac:dyDescent="0.45"/>
    <row r="194" spans="4:13" ht="31.5" customHeight="1" x14ac:dyDescent="0.45">
      <c r="D194" s="450" t="s">
        <v>890</v>
      </c>
    </row>
    <row r="195" spans="4:13" ht="31.5" customHeight="1" x14ac:dyDescent="0.45"/>
    <row r="196" spans="4:13" ht="31.5" customHeight="1" x14ac:dyDescent="0.45">
      <c r="D196" s="449" t="str">
        <f>CONCATENATE("The annual Financial Statements of ",Criteria!E11,", as identified")</f>
        <v>The annual Financial Statements of ABC Company (Pty) Ltd, as identified</v>
      </c>
    </row>
    <row r="197" spans="4:13" ht="31.5" customHeight="1" x14ac:dyDescent="0.45">
      <c r="D197" s="449" t="str">
        <f>CONCATENATE("in the first paragraph, ",IF(MAX(Criteria!I41:I45)&gt;1,"were approved by the Board of directors and signed on their behalf by:","was approved by the director and signed accordingly:"))</f>
        <v>in the first paragraph, were approved by the Board of directors and signed on their behalf by:</v>
      </c>
    </row>
    <row r="198" spans="4:13" ht="31.5" customHeight="1" x14ac:dyDescent="0.45"/>
    <row r="199" spans="4:13" ht="31.5" customHeight="1" x14ac:dyDescent="0.45"/>
    <row r="200" spans="4:13" ht="31.5" customHeight="1" x14ac:dyDescent="0.45"/>
    <row r="201" spans="4:13" ht="31.5" customHeight="1" x14ac:dyDescent="0.45"/>
    <row r="202" spans="4:13" ht="31.5" customHeight="1" x14ac:dyDescent="0.45"/>
    <row r="203" spans="4:13" ht="31.5" customHeight="1" x14ac:dyDescent="0.45"/>
    <row r="204" spans="4:13" ht="31.5" customHeight="1" x14ac:dyDescent="0.45"/>
    <row r="205" spans="4:13" ht="31.5" customHeight="1" x14ac:dyDescent="0.45"/>
    <row r="206" spans="4:13" ht="31.5" customHeight="1" x14ac:dyDescent="0.45"/>
    <row r="207" spans="4:13" ht="31.5" customHeight="1" x14ac:dyDescent="0.45">
      <c r="D207" s="449" t="s">
        <v>182</v>
      </c>
      <c r="M207" s="619" t="str">
        <f>IF(Criteria!F42="Signature",D207," ")</f>
        <v>. . . . . . . . . . . . . . . . . . . . . . .</v>
      </c>
    </row>
    <row r="208" spans="4:13" ht="31.5" customHeight="1" x14ac:dyDescent="0.45">
      <c r="D208" s="449" t="str">
        <f>Criteria!E41</f>
        <v>A Director</v>
      </c>
      <c r="M208" s="619" t="str">
        <f>IF(Criteria!F42="Signature",Criteria!E42," ")</f>
        <v>C Director</v>
      </c>
    </row>
    <row r="209" spans="4:11" ht="31.5" customHeight="1" x14ac:dyDescent="0.45"/>
    <row r="210" spans="4:11" ht="31.5" customHeight="1" x14ac:dyDescent="0.45"/>
    <row r="211" spans="4:11" ht="31.5" customHeight="1" x14ac:dyDescent="0.45">
      <c r="D211" s="449" t="str">
        <f>Criteria!E32</f>
        <v>Johannesburg</v>
      </c>
      <c r="H211" s="449" t="s">
        <v>126</v>
      </c>
      <c r="J211" s="689"/>
      <c r="K211" s="689"/>
    </row>
    <row r="212" spans="4:11" ht="14.25" customHeight="1" x14ac:dyDescent="0.45">
      <c r="J212" s="449" t="s">
        <v>1048</v>
      </c>
    </row>
    <row r="213" spans="4:11" ht="31.5" customHeight="1" x14ac:dyDescent="0.45"/>
    <row r="214" spans="4:11" ht="31.5" customHeight="1" x14ac:dyDescent="0.45"/>
    <row r="215" spans="4:11" ht="31.5" customHeight="1" x14ac:dyDescent="0.45"/>
    <row r="216" spans="4:11" ht="31.5" customHeight="1" x14ac:dyDescent="0.45"/>
    <row r="217" spans="4:11" ht="31.5" customHeight="1" x14ac:dyDescent="0.45"/>
    <row r="218" spans="4:11" ht="31.5" customHeight="1" x14ac:dyDescent="0.45"/>
    <row r="219" spans="4:11" ht="31.5" customHeight="1" x14ac:dyDescent="0.45"/>
    <row r="220" spans="4:11" ht="31.5" customHeight="1" x14ac:dyDescent="0.45"/>
    <row r="221" spans="4:11" ht="31.5" customHeight="1" x14ac:dyDescent="0.45"/>
    <row r="222" spans="4:11" ht="31.5" customHeight="1" x14ac:dyDescent="0.45"/>
    <row r="223" spans="4:11" ht="31.5" customHeight="1" x14ac:dyDescent="0.45"/>
    <row r="224" spans="4:11" ht="31.5" customHeight="1" x14ac:dyDescent="0.45"/>
    <row r="225" spans="1:18" ht="31.5" customHeight="1" x14ac:dyDescent="0.45">
      <c r="R225" s="512" t="str">
        <f>IF(Criteria!E$29="Audit"," ","DELETE")</f>
        <v>DELETE</v>
      </c>
    </row>
    <row r="226" spans="1:18" ht="31.5" customHeight="1" x14ac:dyDescent="0.45">
      <c r="O226" s="529" t="s">
        <v>121</v>
      </c>
      <c r="P226" s="459"/>
      <c r="Q226" s="451">
        <f>MAX($Q$114:Q225)+1</f>
        <v>3</v>
      </c>
      <c r="R226" s="512" t="str">
        <f>R$225</f>
        <v>DELETE</v>
      </c>
    </row>
    <row r="227" spans="1:18" ht="31.5" customHeight="1" x14ac:dyDescent="0.45">
      <c r="R227" s="512" t="str">
        <f t="shared" ref="R227:R280" si="3">R$225</f>
        <v>DELETE</v>
      </c>
    </row>
    <row r="228" spans="1:18" ht="31.5" customHeight="1" x14ac:dyDescent="0.45">
      <c r="R228" s="512" t="str">
        <f t="shared" si="3"/>
        <v>DELETE</v>
      </c>
    </row>
    <row r="229" spans="1:18" ht="31.5" customHeight="1" x14ac:dyDescent="0.45">
      <c r="R229" s="512" t="str">
        <f t="shared" si="3"/>
        <v>DELETE</v>
      </c>
    </row>
    <row r="230" spans="1:18" ht="31.5" customHeight="1" x14ac:dyDescent="0.45">
      <c r="R230" s="512" t="str">
        <f t="shared" si="3"/>
        <v>DELETE</v>
      </c>
    </row>
    <row r="231" spans="1:18" ht="31.5" customHeight="1" x14ac:dyDescent="0.45">
      <c r="R231" s="512" t="str">
        <f t="shared" si="3"/>
        <v>DELETE</v>
      </c>
    </row>
    <row r="232" spans="1:18" ht="31.5" customHeight="1" x14ac:dyDescent="0.45">
      <c r="R232" s="512" t="str">
        <f t="shared" si="3"/>
        <v>DELETE</v>
      </c>
    </row>
    <row r="233" spans="1:18" ht="31.5" customHeight="1" x14ac:dyDescent="0.45">
      <c r="R233" s="512" t="str">
        <f t="shared" si="3"/>
        <v>DELETE</v>
      </c>
    </row>
    <row r="234" spans="1:18" ht="31.5" customHeight="1" x14ac:dyDescent="0.45">
      <c r="R234" s="512" t="str">
        <f t="shared" si="3"/>
        <v>DELETE</v>
      </c>
    </row>
    <row r="235" spans="1:18" ht="31.5" customHeight="1" x14ac:dyDescent="0.4">
      <c r="A235" s="691" t="s">
        <v>1439</v>
      </c>
      <c r="B235" s="691"/>
      <c r="C235" s="691"/>
      <c r="D235" s="691"/>
      <c r="E235" s="691"/>
      <c r="F235" s="691"/>
      <c r="G235" s="691"/>
      <c r="H235" s="691"/>
      <c r="I235" s="691"/>
      <c r="J235" s="691"/>
      <c r="K235" s="691"/>
      <c r="L235" s="691"/>
      <c r="M235" s="691"/>
      <c r="N235" s="691"/>
      <c r="O235" s="691"/>
      <c r="P235" s="691"/>
      <c r="Q235" s="691"/>
      <c r="R235" s="512" t="str">
        <f t="shared" si="3"/>
        <v>DELETE</v>
      </c>
    </row>
    <row r="236" spans="1:18" ht="31.5" customHeight="1" x14ac:dyDescent="0.45">
      <c r="R236" s="512" t="str">
        <f t="shared" si="3"/>
        <v>DELETE</v>
      </c>
    </row>
    <row r="237" spans="1:18" ht="31.5" customHeight="1" x14ac:dyDescent="0.45">
      <c r="R237" s="512" t="str">
        <f t="shared" si="3"/>
        <v>DELETE</v>
      </c>
    </row>
    <row r="238" spans="1:18" ht="31.5" customHeight="1" x14ac:dyDescent="0.45">
      <c r="D238" s="450" t="str">
        <f>CONCATENATE("TO THE ",IF(MAX(Criteria!H53:H57)=1,"SHAREHOLDER OF ","SHAREHOLDERS OF "))</f>
        <v xml:space="preserve">TO THE SHAREHOLDERS OF </v>
      </c>
      <c r="R238" s="512" t="str">
        <f t="shared" si="3"/>
        <v>DELETE</v>
      </c>
    </row>
    <row r="239" spans="1:18" ht="31.5" customHeight="1" x14ac:dyDescent="0.45">
      <c r="D239" s="450" t="str">
        <f>Criteria!E9</f>
        <v>ABC COMPANY (PROPRIETARY) LIMITED</v>
      </c>
      <c r="R239" s="512" t="str">
        <f t="shared" si="3"/>
        <v>DELETE</v>
      </c>
    </row>
    <row r="240" spans="1:18" ht="31.5" customHeight="1" x14ac:dyDescent="0.45">
      <c r="R240" s="512" t="str">
        <f t="shared" si="3"/>
        <v>DELETE</v>
      </c>
    </row>
    <row r="241" spans="4:18" ht="31.5" customHeight="1" x14ac:dyDescent="0.45">
      <c r="D241" s="449" t="s">
        <v>1440</v>
      </c>
      <c r="R241" s="512" t="str">
        <f t="shared" si="3"/>
        <v>DELETE</v>
      </c>
    </row>
    <row r="242" spans="4:18" ht="31.5" customHeight="1" x14ac:dyDescent="0.45">
      <c r="R242" s="512" t="str">
        <f t="shared" si="3"/>
        <v>DELETE</v>
      </c>
    </row>
    <row r="243" spans="4:18" ht="31.5" customHeight="1" x14ac:dyDescent="0.45">
      <c r="D243" s="462" t="s">
        <v>1441</v>
      </c>
      <c r="R243" s="512" t="str">
        <f t="shared" si="3"/>
        <v>DELETE</v>
      </c>
    </row>
    <row r="244" spans="4:18" ht="31.5" customHeight="1" x14ac:dyDescent="0.45">
      <c r="R244" s="512" t="str">
        <f t="shared" si="3"/>
        <v>DELETE</v>
      </c>
    </row>
    <row r="245" spans="4:18" ht="31.5" customHeight="1" x14ac:dyDescent="0.45">
      <c r="D245" s="449" t="str">
        <f>CONCATENATE("We have audited the Financial Statements of ",Criteria!E11,",")</f>
        <v>We have audited the Financial Statements of ABC Company (Pty) Ltd,</v>
      </c>
      <c r="R245" s="512" t="str">
        <f t="shared" si="3"/>
        <v>DELETE</v>
      </c>
    </row>
    <row r="246" spans="4:18" ht="31.5" customHeight="1" x14ac:dyDescent="0.45">
      <c r="D246" s="449" t="str">
        <f>CONCATENATE("as set out on pages ",Q517," to ",MAX(Q517:Q2510),", which comprise the statement of financial position as at")</f>
        <v>as set out on pages 8 to 62, which comprise the statement of financial position as at</v>
      </c>
      <c r="R246" s="512" t="str">
        <f t="shared" si="3"/>
        <v>DELETE</v>
      </c>
    </row>
    <row r="247" spans="4:18" ht="31.5" customHeight="1" x14ac:dyDescent="0.45">
      <c r="D247" s="449" t="str">
        <f>CONCATENATE(Criteria!G24," and the statement of comprehensive income, statement of changes in equity and")</f>
        <v>29 February 2024 and the statement of comprehensive income, statement of changes in equity and</v>
      </c>
      <c r="R247" s="512" t="str">
        <f t="shared" si="3"/>
        <v>DELETE</v>
      </c>
    </row>
    <row r="248" spans="4:18" ht="31.5" customHeight="1" x14ac:dyDescent="0.45">
      <c r="D248" s="449" t="s">
        <v>1444</v>
      </c>
      <c r="R248" s="512" t="str">
        <f t="shared" si="3"/>
        <v>DELETE</v>
      </c>
    </row>
    <row r="249" spans="4:18" ht="31.5" customHeight="1" x14ac:dyDescent="0.45">
      <c r="D249" s="449" t="s">
        <v>1443</v>
      </c>
      <c r="R249" s="512" t="str">
        <f t="shared" si="3"/>
        <v>DELETE</v>
      </c>
    </row>
    <row r="250" spans="4:18" ht="31.5" customHeight="1" x14ac:dyDescent="0.45">
      <c r="R250" s="512" t="str">
        <f t="shared" si="3"/>
        <v>DELETE</v>
      </c>
    </row>
    <row r="251" spans="4:18" ht="31.5" customHeight="1" x14ac:dyDescent="0.45">
      <c r="D251" s="449" t="s">
        <v>1445</v>
      </c>
      <c r="R251" s="512" t="str">
        <f t="shared" si="3"/>
        <v>DELETE</v>
      </c>
    </row>
    <row r="252" spans="4:18" ht="31.5" customHeight="1" x14ac:dyDescent="0.45">
      <c r="D252" s="449" t="str">
        <f>CONCATENATE("position of ",Criteria!E11," as at ",Criteria!G24," and its financial")</f>
        <v>position of ABC Company (Pty) Ltd as at 29 February 2024 and its financial</v>
      </c>
      <c r="R252" s="512" t="str">
        <f t="shared" si="3"/>
        <v>DELETE</v>
      </c>
    </row>
    <row r="253" spans="4:18" ht="31.5" customHeight="1" x14ac:dyDescent="0.45">
      <c r="D253" s="449" t="s">
        <v>1447</v>
      </c>
      <c r="R253" s="512" t="str">
        <f t="shared" si="3"/>
        <v>DELETE</v>
      </c>
    </row>
    <row r="254" spans="4:18" ht="31.5" customHeight="1" x14ac:dyDescent="0.45">
      <c r="D254" s="449" t="s">
        <v>1449</v>
      </c>
      <c r="R254" s="512" t="str">
        <f t="shared" si="3"/>
        <v>DELETE</v>
      </c>
    </row>
    <row r="255" spans="4:18" ht="31.5" customHeight="1" x14ac:dyDescent="0.45">
      <c r="D255" s="449" t="s">
        <v>1448</v>
      </c>
      <c r="R255" s="512" t="str">
        <f t="shared" si="3"/>
        <v>DELETE</v>
      </c>
    </row>
    <row r="256" spans="4:18" ht="31.5" customHeight="1" x14ac:dyDescent="0.45">
      <c r="R256" s="512" t="str">
        <f t="shared" si="3"/>
        <v>DELETE</v>
      </c>
    </row>
    <row r="257" spans="4:18" ht="31.5" customHeight="1" x14ac:dyDescent="0.45">
      <c r="R257" s="512" t="str">
        <f t="shared" si="3"/>
        <v>DELETE</v>
      </c>
    </row>
    <row r="258" spans="4:18" ht="31.5" customHeight="1" x14ac:dyDescent="0.45">
      <c r="R258" s="512" t="str">
        <f t="shared" si="3"/>
        <v>DELETE</v>
      </c>
    </row>
    <row r="259" spans="4:18" ht="31.5" customHeight="1" x14ac:dyDescent="0.45">
      <c r="R259" s="512" t="str">
        <f t="shared" si="3"/>
        <v>DELETE</v>
      </c>
    </row>
    <row r="260" spans="4:18" ht="31.5" customHeight="1" x14ac:dyDescent="0.45">
      <c r="R260" s="512" t="str">
        <f t="shared" si="3"/>
        <v>DELETE</v>
      </c>
    </row>
    <row r="261" spans="4:18" ht="31.5" customHeight="1" x14ac:dyDescent="0.45">
      <c r="R261" s="512" t="str">
        <f t="shared" si="3"/>
        <v>DELETE</v>
      </c>
    </row>
    <row r="262" spans="4:18" ht="31.5" customHeight="1" x14ac:dyDescent="0.45">
      <c r="R262" s="512" t="str">
        <f t="shared" si="3"/>
        <v>DELETE</v>
      </c>
    </row>
    <row r="263" spans="4:18" ht="31.5" customHeight="1" x14ac:dyDescent="0.45">
      <c r="R263" s="512" t="str">
        <f t="shared" si="3"/>
        <v>DELETE</v>
      </c>
    </row>
    <row r="264" spans="4:18" ht="31.5" customHeight="1" x14ac:dyDescent="0.45">
      <c r="D264" s="449" t="s">
        <v>156</v>
      </c>
      <c r="R264" s="512" t="str">
        <f t="shared" si="3"/>
        <v>DELETE</v>
      </c>
    </row>
    <row r="265" spans="4:18" ht="31.5" customHeight="1" x14ac:dyDescent="0.45">
      <c r="D265" s="449" t="s">
        <v>1442</v>
      </c>
      <c r="R265" s="512" t="str">
        <f t="shared" si="3"/>
        <v>DELETE</v>
      </c>
    </row>
    <row r="266" spans="4:18" ht="31.5" customHeight="1" x14ac:dyDescent="0.45">
      <c r="R266" s="512" t="str">
        <f t="shared" si="3"/>
        <v>DELETE</v>
      </c>
    </row>
    <row r="267" spans="4:18" ht="31.5" customHeight="1" x14ac:dyDescent="0.45">
      <c r="R267" s="512" t="str">
        <f t="shared" si="3"/>
        <v>DELETE</v>
      </c>
    </row>
    <row r="268" spans="4:18" ht="31.5" customHeight="1" x14ac:dyDescent="0.45">
      <c r="R268" s="512" t="str">
        <f t="shared" si="3"/>
        <v>DELETE</v>
      </c>
    </row>
    <row r="269" spans="4:18" ht="31.5" customHeight="1" x14ac:dyDescent="0.45">
      <c r="D269" s="449" t="s">
        <v>126</v>
      </c>
      <c r="R269" s="512" t="str">
        <f t="shared" si="3"/>
        <v>DELETE</v>
      </c>
    </row>
    <row r="270" spans="4:18" ht="14.25" customHeight="1" x14ac:dyDescent="0.45">
      <c r="E270" s="449" t="s">
        <v>157</v>
      </c>
      <c r="R270" s="512" t="str">
        <f t="shared" si="3"/>
        <v>DELETE</v>
      </c>
    </row>
    <row r="271" spans="4:18" ht="31.5" customHeight="1" x14ac:dyDescent="0.45">
      <c r="R271" s="512" t="str">
        <f t="shared" si="3"/>
        <v>DELETE</v>
      </c>
    </row>
    <row r="272" spans="4:18" ht="31.5" customHeight="1" x14ac:dyDescent="0.45">
      <c r="D272" s="449" t="str">
        <f>Criteria!E32</f>
        <v>Johannesburg</v>
      </c>
      <c r="R272" s="512" t="str">
        <f t="shared" si="3"/>
        <v>DELETE</v>
      </c>
    </row>
    <row r="273" spans="1:18" ht="31.5" customHeight="1" x14ac:dyDescent="0.45">
      <c r="R273" s="512" t="str">
        <f t="shared" si="3"/>
        <v>DELETE</v>
      </c>
    </row>
    <row r="274" spans="1:18" ht="31.5" customHeight="1" x14ac:dyDescent="0.45">
      <c r="R274" s="512" t="str">
        <f t="shared" si="3"/>
        <v>DELETE</v>
      </c>
    </row>
    <row r="275" spans="1:18" ht="31.5" customHeight="1" x14ac:dyDescent="0.45">
      <c r="R275" s="512" t="str">
        <f t="shared" si="3"/>
        <v>DELETE</v>
      </c>
    </row>
    <row r="276" spans="1:18" ht="31.5" customHeight="1" x14ac:dyDescent="0.45">
      <c r="R276" s="512" t="str">
        <f t="shared" si="3"/>
        <v>DELETE</v>
      </c>
    </row>
    <row r="277" spans="1:18" ht="31.5" customHeight="1" x14ac:dyDescent="0.45">
      <c r="R277" s="512" t="str">
        <f t="shared" si="3"/>
        <v>DELETE</v>
      </c>
    </row>
    <row r="278" spans="1:18" ht="31.5" customHeight="1" x14ac:dyDescent="0.45">
      <c r="R278" s="512" t="str">
        <f t="shared" si="3"/>
        <v>DELETE</v>
      </c>
    </row>
    <row r="279" spans="1:18" ht="31.5" customHeight="1" x14ac:dyDescent="0.45">
      <c r="R279" s="512" t="str">
        <f t="shared" si="3"/>
        <v>DELETE</v>
      </c>
    </row>
    <row r="280" spans="1:18" ht="31.5" customHeight="1" x14ac:dyDescent="0.45">
      <c r="R280" s="512" t="str">
        <f t="shared" si="3"/>
        <v>DELETE</v>
      </c>
    </row>
    <row r="281" spans="1:18" ht="31.5" customHeight="1" x14ac:dyDescent="0.45">
      <c r="R281" s="512" t="str">
        <f>IF(Criteria!E$29="Review"," ","DELETE")</f>
        <v>DELETE</v>
      </c>
    </row>
    <row r="282" spans="1:18" ht="31.5" customHeight="1" x14ac:dyDescent="0.45">
      <c r="O282" s="529" t="s">
        <v>121</v>
      </c>
      <c r="P282" s="459"/>
      <c r="Q282" s="451">
        <f>MAX($Q$114:Q281)+1</f>
        <v>4</v>
      </c>
      <c r="R282" s="512" t="str">
        <f>R$281</f>
        <v>DELETE</v>
      </c>
    </row>
    <row r="283" spans="1:18" ht="31.5" customHeight="1" x14ac:dyDescent="0.45">
      <c r="R283" s="512" t="str">
        <f t="shared" ref="R283:R336" si="4">R$281</f>
        <v>DELETE</v>
      </c>
    </row>
    <row r="284" spans="1:18" ht="31.5" customHeight="1" x14ac:dyDescent="0.45">
      <c r="R284" s="512" t="str">
        <f t="shared" si="4"/>
        <v>DELETE</v>
      </c>
    </row>
    <row r="285" spans="1:18" ht="31.5" customHeight="1" x14ac:dyDescent="0.45">
      <c r="R285" s="512" t="str">
        <f t="shared" si="4"/>
        <v>DELETE</v>
      </c>
    </row>
    <row r="286" spans="1:18" ht="31.5" customHeight="1" x14ac:dyDescent="0.45">
      <c r="R286" s="512" t="str">
        <f t="shared" si="4"/>
        <v>DELETE</v>
      </c>
    </row>
    <row r="287" spans="1:18" ht="31.5" customHeight="1" x14ac:dyDescent="0.45">
      <c r="R287" s="512" t="str">
        <f t="shared" si="4"/>
        <v>DELETE</v>
      </c>
    </row>
    <row r="288" spans="1:18" ht="31.5" customHeight="1" x14ac:dyDescent="0.45">
      <c r="A288" s="691" t="s">
        <v>1450</v>
      </c>
      <c r="B288" s="691"/>
      <c r="C288" s="691"/>
      <c r="D288" s="691"/>
      <c r="E288" s="691"/>
      <c r="F288" s="691"/>
      <c r="G288" s="691"/>
      <c r="H288" s="691"/>
      <c r="I288" s="691"/>
      <c r="J288" s="691"/>
      <c r="K288" s="691"/>
      <c r="L288" s="691"/>
      <c r="M288" s="691"/>
      <c r="N288" s="691"/>
      <c r="O288" s="691"/>
      <c r="P288" s="691"/>
      <c r="R288" s="512" t="str">
        <f t="shared" si="4"/>
        <v>DELETE</v>
      </c>
    </row>
    <row r="289" spans="4:18" ht="31.5" customHeight="1" x14ac:dyDescent="0.45">
      <c r="R289" s="512" t="str">
        <f t="shared" si="4"/>
        <v>DELETE</v>
      </c>
    </row>
    <row r="290" spans="4:18" ht="31.5" customHeight="1" x14ac:dyDescent="0.45">
      <c r="D290" s="450" t="str">
        <f>CONCATENATE("TO THE ",IF(MAX(Criteria!H53:H57)=1,"SHAREHOLDER OF ","SHAREHOLDERS OF "))</f>
        <v xml:space="preserve">TO THE SHAREHOLDERS OF </v>
      </c>
      <c r="R290" s="512" t="str">
        <f t="shared" si="4"/>
        <v>DELETE</v>
      </c>
    </row>
    <row r="291" spans="4:18" ht="31.5" customHeight="1" x14ac:dyDescent="0.45">
      <c r="D291" s="450" t="str">
        <f>Criteria!E9</f>
        <v>ABC COMPANY (PROPRIETARY) LIMITED</v>
      </c>
      <c r="R291" s="512" t="str">
        <f t="shared" si="4"/>
        <v>DELETE</v>
      </c>
    </row>
    <row r="292" spans="4:18" ht="31.5" customHeight="1" x14ac:dyDescent="0.45">
      <c r="R292" s="512" t="str">
        <f t="shared" si="4"/>
        <v>DELETE</v>
      </c>
    </row>
    <row r="293" spans="4:18" ht="31.5" customHeight="1" x14ac:dyDescent="0.45">
      <c r="D293" s="449" t="str">
        <f>CONCATENATE("We have reviewed the Financial Statements of ",Criteria!E11,",")</f>
        <v>We have reviewed the Financial Statements of ABC Company (Pty) Ltd,</v>
      </c>
      <c r="R293" s="512" t="str">
        <f t="shared" si="4"/>
        <v>DELETE</v>
      </c>
    </row>
    <row r="294" spans="4:18" ht="31.5" customHeight="1" x14ac:dyDescent="0.45">
      <c r="D294" s="449" t="str">
        <f>CONCATENATE("set out on pages ",Q517," to ",MAX(Q517:Q2510),", which comprise the statement of financial position as at")</f>
        <v>set out on pages 8 to 62, which comprise the statement of financial position as at</v>
      </c>
      <c r="R294" s="512" t="str">
        <f t="shared" si="4"/>
        <v>DELETE</v>
      </c>
    </row>
    <row r="295" spans="4:18" ht="31.5" customHeight="1" x14ac:dyDescent="0.45">
      <c r="D295" s="449" t="str">
        <f>CONCATENATE(Criteria!G24," and the statement of comprehensive income, statement of changes in equity")</f>
        <v>29 February 2024 and the statement of comprehensive income, statement of changes in equity</v>
      </c>
      <c r="R295" s="512" t="str">
        <f t="shared" si="4"/>
        <v>DELETE</v>
      </c>
    </row>
    <row r="296" spans="4:18" ht="31.5" customHeight="1" x14ac:dyDescent="0.45">
      <c r="D296" s="449" t="s">
        <v>1454</v>
      </c>
      <c r="R296" s="512" t="str">
        <f t="shared" si="4"/>
        <v>DELETE</v>
      </c>
    </row>
    <row r="297" spans="4:18" ht="31.5" customHeight="1" x14ac:dyDescent="0.45">
      <c r="D297" s="449" t="s">
        <v>1453</v>
      </c>
      <c r="R297" s="512" t="str">
        <f t="shared" si="4"/>
        <v>DELETE</v>
      </c>
    </row>
    <row r="298" spans="4:18" ht="31.5" customHeight="1" x14ac:dyDescent="0.45">
      <c r="R298" s="512" t="str">
        <f t="shared" si="4"/>
        <v>DELETE</v>
      </c>
    </row>
    <row r="299" spans="4:18" ht="31.5" customHeight="1" x14ac:dyDescent="0.45">
      <c r="D299" s="462" t="s">
        <v>1451</v>
      </c>
      <c r="R299" s="512" t="str">
        <f t="shared" si="4"/>
        <v>DELETE</v>
      </c>
    </row>
    <row r="300" spans="4:18" ht="31.5" customHeight="1" x14ac:dyDescent="0.45">
      <c r="R300" s="512" t="str">
        <f t="shared" si="4"/>
        <v>DELETE</v>
      </c>
    </row>
    <row r="301" spans="4:18" ht="31.5" customHeight="1" x14ac:dyDescent="0.45">
      <c r="D301" s="449" t="s">
        <v>1455</v>
      </c>
      <c r="R301" s="512" t="str">
        <f t="shared" si="4"/>
        <v>DELETE</v>
      </c>
    </row>
    <row r="302" spans="4:18" ht="31.5" customHeight="1" x14ac:dyDescent="0.45">
      <c r="D302" s="449" t="s">
        <v>1456</v>
      </c>
      <c r="R302" s="512" t="str">
        <f t="shared" si="4"/>
        <v>DELETE</v>
      </c>
    </row>
    <row r="303" spans="4:18" ht="31.5" customHeight="1" x14ac:dyDescent="0.45">
      <c r="D303" s="449" t="s">
        <v>1457</v>
      </c>
      <c r="R303" s="512" t="str">
        <f t="shared" si="4"/>
        <v>DELETE</v>
      </c>
    </row>
    <row r="304" spans="4:18" ht="31.5" customHeight="1" x14ac:dyDescent="0.45">
      <c r="D304" s="449" t="s">
        <v>1458</v>
      </c>
      <c r="R304" s="512" t="str">
        <f t="shared" si="4"/>
        <v>DELETE</v>
      </c>
    </row>
    <row r="305" spans="4:18" ht="31.5" customHeight="1" x14ac:dyDescent="0.45">
      <c r="D305" s="449" t="s">
        <v>1459</v>
      </c>
      <c r="R305" s="512" t="str">
        <f t="shared" si="4"/>
        <v>DELETE</v>
      </c>
    </row>
    <row r="306" spans="4:18" ht="31.5" customHeight="1" x14ac:dyDescent="0.45">
      <c r="D306" s="449" t="s">
        <v>1461</v>
      </c>
      <c r="R306" s="512" t="str">
        <f t="shared" si="4"/>
        <v>DELETE</v>
      </c>
    </row>
    <row r="307" spans="4:18" ht="31.5" customHeight="1" x14ac:dyDescent="0.45">
      <c r="D307" s="449" t="s">
        <v>1460</v>
      </c>
      <c r="R307" s="512" t="str">
        <f t="shared" si="4"/>
        <v>DELETE</v>
      </c>
    </row>
    <row r="308" spans="4:18" ht="31.5" customHeight="1" x14ac:dyDescent="0.45">
      <c r="R308" s="512" t="str">
        <f t="shared" si="4"/>
        <v>DELETE</v>
      </c>
    </row>
    <row r="309" spans="4:18" ht="31.5" customHeight="1" x14ac:dyDescent="0.45">
      <c r="D309" s="449" t="s">
        <v>1462</v>
      </c>
      <c r="R309" s="512" t="str">
        <f t="shared" si="4"/>
        <v>DELETE</v>
      </c>
    </row>
    <row r="310" spans="4:18" ht="31.5" customHeight="1" x14ac:dyDescent="0.45">
      <c r="D310" s="449" t="s">
        <v>1463</v>
      </c>
      <c r="R310" s="512" t="str">
        <f t="shared" si="4"/>
        <v>DELETE</v>
      </c>
    </row>
    <row r="311" spans="4:18" ht="31.5" customHeight="1" x14ac:dyDescent="0.45">
      <c r="D311" s="449" t="s">
        <v>1465</v>
      </c>
      <c r="R311" s="512" t="str">
        <f t="shared" si="4"/>
        <v>DELETE</v>
      </c>
    </row>
    <row r="312" spans="4:18" ht="31.5" customHeight="1" x14ac:dyDescent="0.45">
      <c r="D312" s="449" t="s">
        <v>1464</v>
      </c>
      <c r="R312" s="512" t="str">
        <f t="shared" si="4"/>
        <v>DELETE</v>
      </c>
    </row>
    <row r="313" spans="4:18" ht="31.5" customHeight="1" x14ac:dyDescent="0.45">
      <c r="R313" s="512" t="str">
        <f t="shared" si="4"/>
        <v>DELETE</v>
      </c>
    </row>
    <row r="314" spans="4:18" ht="31.5" customHeight="1" x14ac:dyDescent="0.45">
      <c r="D314" s="449" t="s">
        <v>1466</v>
      </c>
      <c r="R314" s="512" t="str">
        <f t="shared" si="4"/>
        <v>DELETE</v>
      </c>
    </row>
    <row r="315" spans="4:18" ht="31.5" customHeight="1" x14ac:dyDescent="0.45">
      <c r="D315" s="449" t="s">
        <v>1468</v>
      </c>
      <c r="R315" s="512" t="str">
        <f t="shared" si="4"/>
        <v>DELETE</v>
      </c>
    </row>
    <row r="316" spans="4:18" ht="31.5" customHeight="1" x14ac:dyDescent="0.45">
      <c r="D316" s="449" t="s">
        <v>1467</v>
      </c>
      <c r="R316" s="512" t="str">
        <f t="shared" si="4"/>
        <v>DELETE</v>
      </c>
    </row>
    <row r="317" spans="4:18" ht="31.5" customHeight="1" x14ac:dyDescent="0.45">
      <c r="R317" s="512" t="str">
        <f t="shared" si="4"/>
        <v>DELETE</v>
      </c>
    </row>
    <row r="318" spans="4:18" ht="31.5" customHeight="1" x14ac:dyDescent="0.45">
      <c r="D318" s="462" t="s">
        <v>1452</v>
      </c>
      <c r="R318" s="512" t="str">
        <f t="shared" si="4"/>
        <v>DELETE</v>
      </c>
    </row>
    <row r="319" spans="4:18" ht="31.5" customHeight="1" x14ac:dyDescent="0.45">
      <c r="D319" s="449" t="s">
        <v>1470</v>
      </c>
      <c r="R319" s="512" t="str">
        <f t="shared" si="4"/>
        <v>DELETE</v>
      </c>
    </row>
    <row r="320" spans="4:18" ht="31.5" customHeight="1" x14ac:dyDescent="0.45">
      <c r="D320" s="449" t="s">
        <v>1469</v>
      </c>
      <c r="R320" s="512" t="str">
        <f t="shared" si="4"/>
        <v>DELETE</v>
      </c>
    </row>
    <row r="321" spans="4:18" ht="31.5" customHeight="1" x14ac:dyDescent="0.45">
      <c r="D321" s="449" t="str">
        <f>CONCATENATE(Criteria!E11," as at ",Criteria!G24," and its financial performance")</f>
        <v>ABC Company (Pty) Ltd as at 29 February 2024 and its financial performance</v>
      </c>
      <c r="R321" s="512" t="str">
        <f t="shared" si="4"/>
        <v>DELETE</v>
      </c>
    </row>
    <row r="322" spans="4:18" ht="31.5" customHeight="1" x14ac:dyDescent="0.45">
      <c r="D322" s="449" t="s">
        <v>1471</v>
      </c>
      <c r="R322" s="512" t="str">
        <f t="shared" si="4"/>
        <v>DELETE</v>
      </c>
    </row>
    <row r="323" spans="4:18" ht="31.5" customHeight="1" x14ac:dyDescent="0.45">
      <c r="D323" s="449" t="s">
        <v>1472</v>
      </c>
      <c r="R323" s="512" t="str">
        <f t="shared" si="4"/>
        <v>DELETE</v>
      </c>
    </row>
    <row r="324" spans="4:18" ht="31.5" customHeight="1" x14ac:dyDescent="0.45">
      <c r="D324" s="449" t="s">
        <v>1446</v>
      </c>
      <c r="R324" s="512" t="str">
        <f t="shared" si="4"/>
        <v>DELETE</v>
      </c>
    </row>
    <row r="325" spans="4:18" ht="31.5" customHeight="1" x14ac:dyDescent="0.45">
      <c r="R325" s="512" t="str">
        <f t="shared" si="4"/>
        <v>DELETE</v>
      </c>
    </row>
    <row r="326" spans="4:18" ht="31.5" customHeight="1" x14ac:dyDescent="0.45">
      <c r="R326" s="512" t="str">
        <f t="shared" si="4"/>
        <v>DELETE</v>
      </c>
    </row>
    <row r="327" spans="4:18" ht="31.5" customHeight="1" x14ac:dyDescent="0.45">
      <c r="D327" s="449" t="s">
        <v>156</v>
      </c>
      <c r="R327" s="512" t="str">
        <f t="shared" si="4"/>
        <v>DELETE</v>
      </c>
    </row>
    <row r="328" spans="4:18" ht="31.5" customHeight="1" x14ac:dyDescent="0.45">
      <c r="D328" s="449" t="s">
        <v>804</v>
      </c>
      <c r="K328" s="449" t="s">
        <v>126</v>
      </c>
      <c r="R328" s="512" t="str">
        <f t="shared" si="4"/>
        <v>DELETE</v>
      </c>
    </row>
    <row r="329" spans="4:18" ht="14.25" customHeight="1" x14ac:dyDescent="0.45">
      <c r="L329" s="449" t="s">
        <v>157</v>
      </c>
      <c r="R329" s="512" t="str">
        <f t="shared" si="4"/>
        <v>DELETE</v>
      </c>
    </row>
    <row r="330" spans="4:18" ht="31.5" customHeight="1" x14ac:dyDescent="0.45">
      <c r="L330" s="449" t="str">
        <f>Criteria!E32</f>
        <v>Johannesburg</v>
      </c>
      <c r="R330" s="512" t="str">
        <f t="shared" si="4"/>
        <v>DELETE</v>
      </c>
    </row>
    <row r="331" spans="4:18" ht="31.5" customHeight="1" x14ac:dyDescent="0.45">
      <c r="R331" s="512" t="str">
        <f t="shared" si="4"/>
        <v>DELETE</v>
      </c>
    </row>
    <row r="332" spans="4:18" ht="31.5" customHeight="1" x14ac:dyDescent="0.45">
      <c r="R332" s="512" t="str">
        <f t="shared" si="4"/>
        <v>DELETE</v>
      </c>
    </row>
    <row r="333" spans="4:18" ht="31.5" customHeight="1" x14ac:dyDescent="0.45">
      <c r="R333" s="512" t="str">
        <f t="shared" si="4"/>
        <v>DELETE</v>
      </c>
    </row>
    <row r="334" spans="4:18" ht="31.5" customHeight="1" x14ac:dyDescent="0.45">
      <c r="R334" s="512" t="str">
        <f t="shared" si="4"/>
        <v>DELETE</v>
      </c>
    </row>
    <row r="335" spans="4:18" ht="31.5" customHeight="1" x14ac:dyDescent="0.45">
      <c r="R335" s="512" t="str">
        <f t="shared" si="4"/>
        <v>DELETE</v>
      </c>
    </row>
    <row r="336" spans="4:18" ht="31.5" customHeight="1" x14ac:dyDescent="0.45">
      <c r="R336" s="512" t="str">
        <f t="shared" si="4"/>
        <v>DELETE</v>
      </c>
    </row>
    <row r="337" spans="4:18" ht="31.5" customHeight="1" x14ac:dyDescent="0.45">
      <c r="R337" s="512" t="str">
        <f>IF(Criteria!E$29="Compilation"," ","DELETE")</f>
        <v xml:space="preserve"> </v>
      </c>
    </row>
    <row r="338" spans="4:18" ht="31.5" customHeight="1" x14ac:dyDescent="0.45">
      <c r="K338" s="452"/>
      <c r="L338" s="452"/>
      <c r="M338" s="527"/>
      <c r="N338" s="452"/>
      <c r="O338" s="529" t="s">
        <v>121</v>
      </c>
      <c r="Q338" s="451">
        <f>MAX($Q$114:Q337)+1</f>
        <v>5</v>
      </c>
      <c r="R338" s="512" t="str">
        <f>R$337</f>
        <v xml:space="preserve"> </v>
      </c>
    </row>
    <row r="339" spans="4:18" ht="31.5" customHeight="1" x14ac:dyDescent="0.45">
      <c r="M339" s="527"/>
      <c r="O339" s="527"/>
      <c r="R339" s="512" t="str">
        <f t="shared" ref="R339:R392" si="5">R$337</f>
        <v xml:space="preserve"> </v>
      </c>
    </row>
    <row r="340" spans="4:18" ht="31.5" customHeight="1" x14ac:dyDescent="0.45">
      <c r="L340" s="452"/>
      <c r="M340" s="527"/>
      <c r="O340" s="632"/>
      <c r="R340" s="512" t="str">
        <f t="shared" si="5"/>
        <v xml:space="preserve"> </v>
      </c>
    </row>
    <row r="341" spans="4:18" ht="31.5" customHeight="1" x14ac:dyDescent="0.45">
      <c r="L341" s="452"/>
      <c r="M341" s="527"/>
      <c r="O341" s="632"/>
      <c r="R341" s="512" t="str">
        <f t="shared" si="5"/>
        <v xml:space="preserve"> </v>
      </c>
    </row>
    <row r="342" spans="4:18" ht="31.5" customHeight="1" x14ac:dyDescent="0.45">
      <c r="L342" s="452"/>
      <c r="M342" s="528"/>
      <c r="R342" s="512" t="str">
        <f t="shared" si="5"/>
        <v xml:space="preserve"> </v>
      </c>
    </row>
    <row r="343" spans="4:18" ht="31.5" customHeight="1" x14ac:dyDescent="0.45">
      <c r="L343" s="452"/>
      <c r="R343" s="512" t="str">
        <f t="shared" si="5"/>
        <v xml:space="preserve"> </v>
      </c>
    </row>
    <row r="344" spans="4:18" ht="31.5" customHeight="1" x14ac:dyDescent="0.45">
      <c r="M344" s="633"/>
      <c r="N344" s="634"/>
      <c r="O344" s="633"/>
      <c r="P344" s="634"/>
      <c r="R344" s="512" t="str">
        <f t="shared" si="5"/>
        <v xml:space="preserve"> </v>
      </c>
    </row>
    <row r="345" spans="4:18" ht="31.5" customHeight="1" x14ac:dyDescent="0.45">
      <c r="R345" s="512" t="str">
        <f t="shared" si="5"/>
        <v xml:space="preserve"> </v>
      </c>
    </row>
    <row r="346" spans="4:18" ht="31.5" customHeight="1" x14ac:dyDescent="0.45">
      <c r="R346" s="512" t="str">
        <f t="shared" si="5"/>
        <v xml:space="preserve"> </v>
      </c>
    </row>
    <row r="347" spans="4:18" ht="31.5" customHeight="1" x14ac:dyDescent="0.45">
      <c r="D347" s="450" t="str">
        <f>IF(MAX(Criteria!I41:I45)&gt;1,"ACCOUNTING OFFICER'S COMPILATION REPORT TO THE DIRECTORS OF","ACCOUNTING OFFICER'S COMPILATION REPORT TO THE DIRECTOR OF")</f>
        <v>ACCOUNTING OFFICER'S COMPILATION REPORT TO THE DIRECTORS OF</v>
      </c>
      <c r="R347" s="512" t="str">
        <f t="shared" si="5"/>
        <v xml:space="preserve"> </v>
      </c>
    </row>
    <row r="348" spans="4:18" ht="31.5" customHeight="1" x14ac:dyDescent="0.45">
      <c r="D348" s="450" t="str">
        <f>Criteria!E9</f>
        <v>ABC COMPANY (PROPRIETARY) LIMITED</v>
      </c>
      <c r="R348" s="512" t="str">
        <f t="shared" si="5"/>
        <v xml:space="preserve"> </v>
      </c>
    </row>
    <row r="349" spans="4:18" ht="31.5" customHeight="1" x14ac:dyDescent="0.45">
      <c r="R349" s="512" t="str">
        <f t="shared" si="5"/>
        <v xml:space="preserve"> </v>
      </c>
    </row>
    <row r="350" spans="4:18" ht="31.5" customHeight="1" x14ac:dyDescent="0.45">
      <c r="D350" s="449" t="s">
        <v>1278</v>
      </c>
      <c r="R350" s="512" t="str">
        <f t="shared" si="5"/>
        <v xml:space="preserve"> </v>
      </c>
    </row>
    <row r="351" spans="4:18" ht="31.5" customHeight="1" x14ac:dyDescent="0.45">
      <c r="D351" s="449" t="str">
        <f>CONCATENATE(Criteria!E11,", as set out on pages ",Q517," to ",MAX(Q517:Q2510),", based on information")</f>
        <v>ABC Company (Pty) Ltd, as set out on pages 8 to 62, based on information</v>
      </c>
      <c r="R351" s="512" t="str">
        <f t="shared" si="5"/>
        <v xml:space="preserve"> </v>
      </c>
    </row>
    <row r="352" spans="4:18" ht="31.5" customHeight="1" x14ac:dyDescent="0.45">
      <c r="D352" s="449" t="s">
        <v>1671</v>
      </c>
      <c r="R352" s="512" t="str">
        <f t="shared" si="5"/>
        <v xml:space="preserve"> </v>
      </c>
    </row>
    <row r="353" spans="4:18" ht="31.5" customHeight="1" x14ac:dyDescent="0.45">
      <c r="D353" s="449" t="str">
        <f>CONCATENATE(Criteria!E11," as at ",Criteria!G24,", the statement of")</f>
        <v>ABC Company (Pty) Ltd as at 29 February 2024, the statement of</v>
      </c>
      <c r="R353" s="512" t="str">
        <f t="shared" si="5"/>
        <v xml:space="preserve"> </v>
      </c>
    </row>
    <row r="354" spans="4:18" ht="31.5" customHeight="1" x14ac:dyDescent="0.45">
      <c r="D354" s="449" t="s">
        <v>1279</v>
      </c>
      <c r="R354" s="512" t="str">
        <f t="shared" si="5"/>
        <v xml:space="preserve"> </v>
      </c>
    </row>
    <row r="355" spans="4:18" ht="33" customHeight="1" x14ac:dyDescent="0.45">
      <c r="D355" s="449" t="s">
        <v>1280</v>
      </c>
      <c r="R355" s="512" t="str">
        <f t="shared" si="5"/>
        <v xml:space="preserve"> </v>
      </c>
    </row>
    <row r="356" spans="4:18" ht="31.5" customHeight="1" x14ac:dyDescent="0.45">
      <c r="D356" s="449" t="s">
        <v>1175</v>
      </c>
      <c r="R356" s="512" t="str">
        <f t="shared" si="5"/>
        <v xml:space="preserve"> </v>
      </c>
    </row>
    <row r="357" spans="4:18" ht="31.5" customHeight="1" x14ac:dyDescent="0.45">
      <c r="R357" s="512" t="str">
        <f t="shared" si="5"/>
        <v xml:space="preserve"> </v>
      </c>
    </row>
    <row r="358" spans="4:18" ht="31.5" customHeight="1" x14ac:dyDescent="0.45">
      <c r="D358" s="449" t="s">
        <v>1282</v>
      </c>
      <c r="R358" s="512" t="str">
        <f t="shared" si="5"/>
        <v xml:space="preserve"> </v>
      </c>
    </row>
    <row r="359" spans="4:18" ht="31.5" customHeight="1" x14ac:dyDescent="0.45">
      <c r="D359" s="449" t="s">
        <v>1281</v>
      </c>
      <c r="R359" s="512" t="str">
        <f t="shared" si="5"/>
        <v xml:space="preserve"> </v>
      </c>
    </row>
    <row r="360" spans="4:18" ht="31.5" customHeight="1" x14ac:dyDescent="0.45">
      <c r="R360" s="512" t="str">
        <f t="shared" si="5"/>
        <v xml:space="preserve"> </v>
      </c>
    </row>
    <row r="361" spans="4:18" ht="31.5" customHeight="1" x14ac:dyDescent="0.45">
      <c r="D361" s="449" t="s">
        <v>1283</v>
      </c>
      <c r="R361" s="512" t="str">
        <f t="shared" si="5"/>
        <v xml:space="preserve"> </v>
      </c>
    </row>
    <row r="362" spans="4:18" ht="31.5" customHeight="1" x14ac:dyDescent="0.45">
      <c r="D362" s="449" t="s">
        <v>1473</v>
      </c>
      <c r="R362" s="512" t="str">
        <f t="shared" si="5"/>
        <v xml:space="preserve"> </v>
      </c>
    </row>
    <row r="363" spans="4:18" ht="31.5" customHeight="1" x14ac:dyDescent="0.45">
      <c r="D363" s="449" t="s">
        <v>1474</v>
      </c>
      <c r="R363" s="512" t="str">
        <f t="shared" si="5"/>
        <v xml:space="preserve"> </v>
      </c>
    </row>
    <row r="364" spans="4:18" ht="31.5" customHeight="1" x14ac:dyDescent="0.45">
      <c r="D364" s="449" t="s">
        <v>1479</v>
      </c>
      <c r="R364" s="512" t="str">
        <f t="shared" si="5"/>
        <v xml:space="preserve"> </v>
      </c>
    </row>
    <row r="365" spans="4:18" ht="31.5" customHeight="1" x14ac:dyDescent="0.45">
      <c r="D365" s="449" t="s">
        <v>1476</v>
      </c>
      <c r="R365" s="512" t="str">
        <f t="shared" si="5"/>
        <v xml:space="preserve"> </v>
      </c>
    </row>
    <row r="366" spans="4:18" ht="31.5" customHeight="1" x14ac:dyDescent="0.45">
      <c r="R366" s="512" t="str">
        <f t="shared" si="5"/>
        <v xml:space="preserve"> </v>
      </c>
    </row>
    <row r="367" spans="4:18" ht="31.5" customHeight="1" x14ac:dyDescent="0.45">
      <c r="D367" s="449" t="s">
        <v>1288</v>
      </c>
      <c r="R367" s="512" t="str">
        <f t="shared" si="5"/>
        <v xml:space="preserve"> </v>
      </c>
    </row>
    <row r="368" spans="4:18" ht="31.5" customHeight="1" x14ac:dyDescent="0.45">
      <c r="D368" s="449" t="s">
        <v>1284</v>
      </c>
      <c r="R368" s="512" t="str">
        <f t="shared" si="5"/>
        <v xml:space="preserve"> </v>
      </c>
    </row>
    <row r="369" spans="4:18" ht="31.5" customHeight="1" x14ac:dyDescent="0.45">
      <c r="R369" s="512" t="str">
        <f t="shared" si="5"/>
        <v xml:space="preserve"> </v>
      </c>
    </row>
    <row r="370" spans="4:18" ht="31.5" customHeight="1" x14ac:dyDescent="0.45">
      <c r="D370" s="449" t="s">
        <v>1285</v>
      </c>
      <c r="R370" s="512" t="str">
        <f t="shared" si="5"/>
        <v xml:space="preserve"> </v>
      </c>
    </row>
    <row r="371" spans="4:18" ht="31.5" customHeight="1" x14ac:dyDescent="0.45">
      <c r="D371" s="449" t="s">
        <v>1286</v>
      </c>
      <c r="R371" s="512" t="str">
        <f t="shared" si="5"/>
        <v xml:space="preserve"> </v>
      </c>
    </row>
    <row r="372" spans="4:18" ht="31.5" customHeight="1" x14ac:dyDescent="0.45">
      <c r="D372" s="449" t="s">
        <v>1287</v>
      </c>
      <c r="R372" s="512" t="str">
        <f t="shared" si="5"/>
        <v xml:space="preserve"> </v>
      </c>
    </row>
    <row r="373" spans="4:18" ht="31.5" customHeight="1" x14ac:dyDescent="0.45">
      <c r="D373" s="449" t="s">
        <v>1477</v>
      </c>
      <c r="R373" s="512" t="str">
        <f t="shared" si="5"/>
        <v xml:space="preserve"> </v>
      </c>
    </row>
    <row r="374" spans="4:18" ht="31.5" customHeight="1" x14ac:dyDescent="0.45">
      <c r="D374" s="449" t="s">
        <v>1478</v>
      </c>
      <c r="R374" s="512" t="str">
        <f t="shared" si="5"/>
        <v xml:space="preserve"> </v>
      </c>
    </row>
    <row r="375" spans="4:18" ht="31.5" customHeight="1" x14ac:dyDescent="0.45">
      <c r="R375" s="512" t="str">
        <f t="shared" si="5"/>
        <v xml:space="preserve"> </v>
      </c>
    </row>
    <row r="376" spans="4:18" ht="31.5" customHeight="1" x14ac:dyDescent="0.45">
      <c r="R376" s="512" t="str">
        <f t="shared" si="5"/>
        <v xml:space="preserve"> </v>
      </c>
    </row>
    <row r="377" spans="4:18" ht="31.5" customHeight="1" x14ac:dyDescent="0.45">
      <c r="R377" s="512" t="str">
        <f t="shared" si="5"/>
        <v xml:space="preserve"> </v>
      </c>
    </row>
    <row r="378" spans="4:18" ht="31.5" customHeight="1" x14ac:dyDescent="0.45">
      <c r="D378" s="449" t="s">
        <v>156</v>
      </c>
      <c r="R378" s="512" t="str">
        <f t="shared" si="5"/>
        <v xml:space="preserve"> </v>
      </c>
    </row>
    <row r="379" spans="4:18" ht="31.5" customHeight="1" x14ac:dyDescent="0.45">
      <c r="D379" s="689" t="s">
        <v>804</v>
      </c>
      <c r="E379" s="689"/>
      <c r="F379" s="689"/>
      <c r="G379" s="689"/>
      <c r="H379" s="689"/>
      <c r="R379" s="512" t="str">
        <f t="shared" si="5"/>
        <v xml:space="preserve"> </v>
      </c>
    </row>
    <row r="380" spans="4:18" ht="31.5" customHeight="1" x14ac:dyDescent="0.45">
      <c r="R380" s="512" t="str">
        <f t="shared" si="5"/>
        <v xml:space="preserve"> </v>
      </c>
    </row>
    <row r="381" spans="4:18" ht="31.5" customHeight="1" x14ac:dyDescent="0.45">
      <c r="R381" s="512" t="str">
        <f t="shared" si="5"/>
        <v xml:space="preserve"> </v>
      </c>
    </row>
    <row r="382" spans="4:18" ht="31.5" customHeight="1" x14ac:dyDescent="0.45">
      <c r="R382" s="512" t="str">
        <f t="shared" si="5"/>
        <v xml:space="preserve"> </v>
      </c>
    </row>
    <row r="383" spans="4:18" ht="31.5" customHeight="1" x14ac:dyDescent="0.45">
      <c r="D383" s="449" t="s">
        <v>126</v>
      </c>
      <c r="E383" s="689"/>
      <c r="F383" s="689"/>
      <c r="G383" s="689"/>
      <c r="H383" s="689"/>
      <c r="R383" s="512" t="str">
        <f t="shared" si="5"/>
        <v xml:space="preserve"> </v>
      </c>
    </row>
    <row r="384" spans="4:18" ht="14.25" customHeight="1" x14ac:dyDescent="0.45">
      <c r="E384" s="449" t="s">
        <v>157</v>
      </c>
      <c r="R384" s="512" t="str">
        <f t="shared" si="5"/>
        <v xml:space="preserve"> </v>
      </c>
    </row>
    <row r="385" spans="4:18" ht="31.5" customHeight="1" x14ac:dyDescent="0.45">
      <c r="D385" s="449" t="str">
        <f>Criteria!E32</f>
        <v>Johannesburg</v>
      </c>
      <c r="R385" s="512" t="str">
        <f t="shared" si="5"/>
        <v xml:space="preserve"> </v>
      </c>
    </row>
    <row r="386" spans="4:18" ht="31.5" customHeight="1" x14ac:dyDescent="0.45">
      <c r="D386" s="452"/>
      <c r="R386" s="512" t="str">
        <f t="shared" si="5"/>
        <v xml:space="preserve"> </v>
      </c>
    </row>
    <row r="387" spans="4:18" ht="31.5" customHeight="1" x14ac:dyDescent="0.45">
      <c r="M387" s="527"/>
      <c r="N387" s="449"/>
      <c r="O387" s="527"/>
      <c r="P387" s="449"/>
      <c r="R387" s="512" t="str">
        <f t="shared" si="5"/>
        <v xml:space="preserve"> </v>
      </c>
    </row>
    <row r="388" spans="4:18" ht="31.5" customHeight="1" x14ac:dyDescent="0.45">
      <c r="M388" s="527"/>
      <c r="N388" s="449"/>
      <c r="O388" s="527"/>
      <c r="P388" s="449"/>
      <c r="R388" s="512" t="str">
        <f t="shared" si="5"/>
        <v xml:space="preserve"> </v>
      </c>
    </row>
    <row r="389" spans="4:18" ht="31.5" customHeight="1" x14ac:dyDescent="0.45">
      <c r="M389" s="527"/>
      <c r="N389" s="449"/>
      <c r="O389" s="527"/>
      <c r="P389" s="449"/>
      <c r="R389" s="512" t="str">
        <f t="shared" si="5"/>
        <v xml:space="preserve"> </v>
      </c>
    </row>
    <row r="390" spans="4:18" ht="31.5" customHeight="1" x14ac:dyDescent="0.45">
      <c r="M390" s="527"/>
      <c r="N390" s="449"/>
      <c r="O390" s="527"/>
      <c r="P390" s="449"/>
      <c r="R390" s="512" t="str">
        <f t="shared" si="5"/>
        <v xml:space="preserve"> </v>
      </c>
    </row>
    <row r="391" spans="4:18" ht="31.5" customHeight="1" x14ac:dyDescent="0.45">
      <c r="M391" s="527"/>
      <c r="N391" s="449"/>
      <c r="O391" s="527"/>
      <c r="P391" s="449"/>
      <c r="R391" s="512" t="str">
        <f t="shared" si="5"/>
        <v xml:space="preserve"> </v>
      </c>
    </row>
    <row r="392" spans="4:18" ht="31.5" customHeight="1" x14ac:dyDescent="0.45">
      <c r="M392" s="527"/>
      <c r="N392" s="449"/>
      <c r="O392" s="527"/>
      <c r="P392" s="449"/>
      <c r="R392" s="512" t="str">
        <f t="shared" si="5"/>
        <v xml:space="preserve"> </v>
      </c>
    </row>
    <row r="393" spans="4:18" ht="31.5" customHeight="1" x14ac:dyDescent="0.45"/>
    <row r="394" spans="4:18" ht="31.5" customHeight="1" x14ac:dyDescent="0.45">
      <c r="D394" s="450" t="str">
        <f>Criteria!E9</f>
        <v>ABC COMPANY (PROPRIETARY) LIMITED</v>
      </c>
      <c r="O394" s="529" t="s">
        <v>121</v>
      </c>
      <c r="P394" s="459"/>
      <c r="Q394" s="451">
        <f>MAX($Q$114:Q393)+1</f>
        <v>6</v>
      </c>
    </row>
    <row r="395" spans="4:18" ht="31.5" customHeight="1" x14ac:dyDescent="0.45">
      <c r="D395" s="450" t="str">
        <f>Criteria!E10</f>
        <v>T/A SEAFRONT HOTEL, SEAFRONT RESTAURANT AND RENTAL PROPERTIES</v>
      </c>
      <c r="R395" s="512" t="str">
        <f>IF(D395=0,"DELETE"," ")</f>
        <v xml:space="preserve"> </v>
      </c>
    </row>
    <row r="396" spans="4:18" ht="31.5" customHeight="1" x14ac:dyDescent="0.45"/>
    <row r="397" spans="4:18" ht="31.5" customHeight="1" x14ac:dyDescent="0.45">
      <c r="D397" s="450" t="str">
        <f>IF(SUM(Criteria!I41:I45)&gt;1,"DIRECTORS' REPORT FOR THE YEAR ENDED","DIRECTOR'S REPORT FOR THE YEAR ENDED")</f>
        <v>DIRECTORS' REPORT FOR THE YEAR ENDED</v>
      </c>
      <c r="M397" s="636"/>
      <c r="N397" s="637"/>
    </row>
    <row r="398" spans="4:18" ht="31.5" customHeight="1" x14ac:dyDescent="0.45">
      <c r="D398" s="450" t="str">
        <f>Criteria!E20</f>
        <v>29 FEBRUARY 2024</v>
      </c>
      <c r="M398" s="636"/>
      <c r="N398" s="637"/>
    </row>
    <row r="399" spans="4:18" ht="31.5" customHeight="1" x14ac:dyDescent="0.45">
      <c r="D399" s="461"/>
      <c r="E399" s="461"/>
      <c r="F399" s="461"/>
      <c r="G399" s="461"/>
      <c r="H399" s="461"/>
      <c r="I399" s="461"/>
      <c r="J399" s="461"/>
      <c r="K399" s="461"/>
      <c r="L399" s="461"/>
      <c r="M399" s="628"/>
      <c r="N399" s="629"/>
      <c r="O399" s="630"/>
      <c r="P399" s="631"/>
      <c r="Q399" s="461"/>
    </row>
    <row r="400" spans="4:18" ht="31.5" customHeight="1" x14ac:dyDescent="0.45"/>
    <row r="401" spans="2:18" ht="31.5" customHeight="1" x14ac:dyDescent="0.45">
      <c r="B401" s="452"/>
      <c r="C401" s="451">
        <v>1</v>
      </c>
      <c r="D401" s="449" t="str">
        <f>IF(MAX(Criteria!I41:I45)&gt;1,"The directors have pleasure in presenting the annual Financial Statements and their annual report","The director has pleasure in presenting the annual Financial Statements and the Director's report")</f>
        <v>The directors have pleasure in presenting the annual Financial Statements and their annual report</v>
      </c>
    </row>
    <row r="402" spans="2:18" ht="31.5" customHeight="1" x14ac:dyDescent="0.45">
      <c r="B402" s="452"/>
      <c r="C402" s="451"/>
      <c r="D402" s="449" t="str">
        <f>CONCATENATE("which forms part of the Financial Statements of the company for the year ended ",Criteria!G24,".")</f>
        <v>which forms part of the Financial Statements of the company for the year ended 29 February 2024.</v>
      </c>
    </row>
    <row r="403" spans="2:18" ht="31.5" customHeight="1" x14ac:dyDescent="0.45">
      <c r="B403" s="452"/>
      <c r="C403" s="451"/>
    </row>
    <row r="404" spans="2:18" ht="31.5" customHeight="1" x14ac:dyDescent="0.45">
      <c r="B404" s="452"/>
      <c r="C404" s="451">
        <f>MAX(C$401:C403)+1</f>
        <v>2</v>
      </c>
      <c r="D404" s="450" t="s">
        <v>560</v>
      </c>
    </row>
    <row r="405" spans="2:18" ht="31.5" customHeight="1" x14ac:dyDescent="0.45">
      <c r="B405" s="452"/>
      <c r="C405" s="451"/>
      <c r="D405" s="449" t="str">
        <f>Criteria!C83</f>
        <v>The company's main objective is trading in the restaurant industry.</v>
      </c>
    </row>
    <row r="406" spans="2:18" ht="31.5" customHeight="1" x14ac:dyDescent="0.45">
      <c r="B406" s="452"/>
      <c r="C406" s="451"/>
      <c r="D406" s="449" t="str">
        <f>CONCATENATE(Criteria!E11," is registered, incorporated and operates in the")</f>
        <v>ABC Company (Pty) Ltd is registered, incorporated and operates in the</v>
      </c>
    </row>
    <row r="407" spans="2:18" ht="31.5" customHeight="1" x14ac:dyDescent="0.45">
      <c r="B407" s="452"/>
      <c r="C407" s="451"/>
      <c r="D407" s="449" t="str">
        <f>CONCATENATE("Republic of South Africa and the Company's registration number is ",Criteria!E18,".")</f>
        <v>Republic of South Africa and the Company's registration number is 2000/123456/07.</v>
      </c>
    </row>
    <row r="408" spans="2:18" ht="31.5" customHeight="1" x14ac:dyDescent="0.45">
      <c r="B408" s="452"/>
      <c r="C408" s="451"/>
      <c r="D408" s="449" t="str">
        <f>IF(Criteria!F89="No","There were no changes in the nature of the company's business during the period under review.","The company sold all it's assets in the current financial year and will be deregistered the")</f>
        <v>There were no changes in the nature of the company's business during the period under review.</v>
      </c>
      <c r="R408" s="512" t="str">
        <f>IF(D408=" ","DELETE"," ")</f>
        <v xml:space="preserve"> </v>
      </c>
    </row>
    <row r="409" spans="2:18" ht="31.5" customHeight="1" x14ac:dyDescent="0.45">
      <c r="B409" s="452"/>
      <c r="C409" s="451"/>
      <c r="D409" s="449" t="str">
        <f>IF(Criteria!F89="No"," ","following year.")</f>
        <v xml:space="preserve"> </v>
      </c>
      <c r="R409" s="512" t="str">
        <f>IF(D409=" ","DELETE"," ")</f>
        <v>DELETE</v>
      </c>
    </row>
    <row r="410" spans="2:18" ht="31.5" customHeight="1" x14ac:dyDescent="0.45">
      <c r="B410" s="452"/>
      <c r="C410" s="451"/>
    </row>
    <row r="411" spans="2:18" ht="31.5" customHeight="1" x14ac:dyDescent="0.45">
      <c r="B411" s="452"/>
      <c r="C411" s="451">
        <f>MAX(C$401:C410)+1</f>
        <v>3</v>
      </c>
      <c r="D411" s="450" t="s">
        <v>561</v>
      </c>
    </row>
    <row r="412" spans="2:18" ht="31.5" customHeight="1" x14ac:dyDescent="0.45">
      <c r="B412" s="452"/>
      <c r="C412" s="451"/>
      <c r="D412" s="449" t="s">
        <v>1481</v>
      </c>
    </row>
    <row r="413" spans="2:18" ht="31.5" customHeight="1" x14ac:dyDescent="0.45">
      <c r="B413" s="452"/>
      <c r="C413" s="451"/>
      <c r="D413" s="449" t="s">
        <v>1449</v>
      </c>
    </row>
    <row r="414" spans="2:18" ht="31.5" customHeight="1" x14ac:dyDescent="0.45">
      <c r="B414" s="452"/>
      <c r="C414" s="451"/>
      <c r="D414" s="449" t="s">
        <v>1448</v>
      </c>
    </row>
    <row r="415" spans="2:18" ht="31.5" customHeight="1" x14ac:dyDescent="0.45">
      <c r="B415" s="452"/>
      <c r="C415" s="451"/>
      <c r="D415" s="449" t="str">
        <f>IF(Criteria!F87="No"," ","The accounting policies have been applied consistently compared to the prior year.")</f>
        <v>The accounting policies have been applied consistently compared to the prior year.</v>
      </c>
      <c r="R415" s="512" t="str">
        <f>IF(D415=" ","DELETE"," ")</f>
        <v xml:space="preserve"> </v>
      </c>
    </row>
    <row r="416" spans="2:18" ht="31.5" customHeight="1" x14ac:dyDescent="0.45">
      <c r="B416" s="452"/>
      <c r="C416" s="451"/>
      <c r="D416" s="449" t="str">
        <f>CONCATENATE("The ",IF(MAX(Criteria!I41:I45)&gt;1,"directors present","director presents")," the following extracts from the Financial Statements for the current")</f>
        <v>The directors present the following extracts from the Financial Statements for the current</v>
      </c>
    </row>
    <row r="417" spans="2:15" ht="31.5" customHeight="1" x14ac:dyDescent="0.45">
      <c r="B417" s="452"/>
      <c r="C417" s="451"/>
      <c r="D417" s="449" t="s">
        <v>1289</v>
      </c>
    </row>
    <row r="418" spans="2:15" ht="31.5" customHeight="1" x14ac:dyDescent="0.45">
      <c r="B418" s="452"/>
      <c r="C418" s="451"/>
    </row>
    <row r="419" spans="2:15" ht="31.5" customHeight="1" x14ac:dyDescent="0.45">
      <c r="B419" s="452"/>
      <c r="C419" s="451"/>
      <c r="E419" s="449" t="s">
        <v>1606</v>
      </c>
      <c r="O419" s="635">
        <f>SUM(TrialBalance!L229:L281)</f>
        <v>0</v>
      </c>
    </row>
    <row r="420" spans="2:15" ht="9" customHeight="1" thickBot="1" x14ac:dyDescent="0.5">
      <c r="B420" s="452"/>
      <c r="C420" s="451"/>
      <c r="O420" s="638"/>
    </row>
    <row r="421" spans="2:15" ht="9" customHeight="1" thickTop="1" x14ac:dyDescent="0.45">
      <c r="B421" s="452"/>
      <c r="C421" s="451"/>
      <c r="O421" s="639"/>
    </row>
    <row r="422" spans="2:15" ht="31.5" customHeight="1" x14ac:dyDescent="0.45">
      <c r="B422" s="452"/>
      <c r="C422" s="451"/>
      <c r="E422" s="449" t="s">
        <v>1607</v>
      </c>
      <c r="O422" s="635">
        <f>SUM(TrialBalance!L229:L233)+SUM(TrialBalance!L240:L244)+SUM(TrialBalance!L251:L253)+SUM(TrialBalance!L259:L261)+SUM(TrialBalance!L267:L269)+SUM(TrialBalance!L275:L277)</f>
        <v>0</v>
      </c>
    </row>
    <row r="423" spans="2:15" ht="9" customHeight="1" thickBot="1" x14ac:dyDescent="0.5">
      <c r="B423" s="452"/>
      <c r="C423" s="451"/>
      <c r="O423" s="638"/>
    </row>
    <row r="424" spans="2:15" ht="9" customHeight="1" thickTop="1" x14ac:dyDescent="0.45">
      <c r="B424" s="452"/>
      <c r="C424" s="451"/>
      <c r="O424" s="639"/>
    </row>
    <row r="425" spans="2:15" ht="31.5" customHeight="1" x14ac:dyDescent="0.45">
      <c r="B425" s="452"/>
      <c r="C425" s="451"/>
      <c r="E425" s="449" t="s">
        <v>921</v>
      </c>
      <c r="O425" s="635">
        <f>O616</f>
        <v>0</v>
      </c>
    </row>
    <row r="426" spans="2:15" ht="9" customHeight="1" thickBot="1" x14ac:dyDescent="0.5">
      <c r="B426" s="452"/>
      <c r="C426" s="451"/>
      <c r="O426" s="638"/>
    </row>
    <row r="427" spans="2:15" ht="9" customHeight="1" thickTop="1" x14ac:dyDescent="0.45">
      <c r="B427" s="452"/>
      <c r="C427" s="451"/>
      <c r="O427" s="639"/>
    </row>
    <row r="428" spans="2:15" ht="31.5" customHeight="1" x14ac:dyDescent="0.45">
      <c r="B428" s="452"/>
      <c r="C428" s="451"/>
      <c r="O428" s="635"/>
    </row>
    <row r="429" spans="2:15" ht="31.5" customHeight="1" x14ac:dyDescent="0.45">
      <c r="B429" s="452"/>
      <c r="C429" s="451"/>
      <c r="E429" s="449" t="s">
        <v>1306</v>
      </c>
      <c r="O429" s="635">
        <f>SUM(O526:O527)</f>
        <v>0</v>
      </c>
    </row>
    <row r="430" spans="2:15" ht="9" customHeight="1" thickBot="1" x14ac:dyDescent="0.5">
      <c r="B430" s="452"/>
      <c r="C430" s="451"/>
      <c r="O430" s="638"/>
    </row>
    <row r="431" spans="2:15" ht="9" customHeight="1" thickTop="1" x14ac:dyDescent="0.45">
      <c r="B431" s="452"/>
      <c r="C431" s="451"/>
      <c r="O431" s="635"/>
    </row>
    <row r="432" spans="2:15" ht="31.5" customHeight="1" x14ac:dyDescent="0.45">
      <c r="B432" s="452"/>
      <c r="C432" s="451"/>
      <c r="O432" s="635"/>
    </row>
    <row r="433" spans="2:21" ht="31.5" customHeight="1" x14ac:dyDescent="0.45">
      <c r="B433" s="452"/>
      <c r="C433" s="451"/>
      <c r="E433" s="449" t="str">
        <f>IF(O433&lt;0,"Net loss before taxation","Net profit before taxation")</f>
        <v>Net profit before taxation</v>
      </c>
      <c r="O433" s="635">
        <f>O549</f>
        <v>0</v>
      </c>
    </row>
    <row r="434" spans="2:21" ht="31.5" customHeight="1" x14ac:dyDescent="0.45">
      <c r="B434" s="452"/>
      <c r="C434" s="451"/>
      <c r="E434" s="449" t="s">
        <v>1043</v>
      </c>
      <c r="O434" s="635">
        <f>O551</f>
        <v>0</v>
      </c>
    </row>
    <row r="435" spans="2:21" ht="9" customHeight="1" x14ac:dyDescent="0.45">
      <c r="B435" s="452"/>
      <c r="C435" s="451"/>
      <c r="O435" s="640"/>
    </row>
    <row r="436" spans="2:21" ht="9" customHeight="1" x14ac:dyDescent="0.45">
      <c r="B436" s="452"/>
      <c r="C436" s="451"/>
      <c r="O436" s="639"/>
    </row>
    <row r="437" spans="2:21" ht="31.5" customHeight="1" x14ac:dyDescent="0.45">
      <c r="B437" s="452"/>
      <c r="C437" s="451"/>
      <c r="E437" s="449" t="str">
        <f>IF(O437&lt;0,"Net loss after taxation","Net profit after taxation")</f>
        <v>Net profit after taxation</v>
      </c>
      <c r="O437" s="635">
        <f>SUM(O433:O436)</f>
        <v>0</v>
      </c>
      <c r="U437" s="513" t="b">
        <f>O437=O554</f>
        <v>1</v>
      </c>
    </row>
    <row r="438" spans="2:21" ht="31.5" customHeight="1" x14ac:dyDescent="0.45">
      <c r="B438" s="452"/>
      <c r="C438" s="451"/>
      <c r="E438" s="449" t="s">
        <v>838</v>
      </c>
      <c r="O438" s="635">
        <f>-SUM(TrialBalance!L163:L164)</f>
        <v>0</v>
      </c>
    </row>
    <row r="439" spans="2:21" ht="9" customHeight="1" x14ac:dyDescent="0.45">
      <c r="B439" s="452"/>
      <c r="C439" s="451"/>
      <c r="O439" s="640"/>
    </row>
    <row r="440" spans="2:21" ht="9" customHeight="1" x14ac:dyDescent="0.45">
      <c r="B440" s="452"/>
      <c r="C440" s="451"/>
      <c r="O440" s="635"/>
    </row>
    <row r="441" spans="2:21" ht="31.5" customHeight="1" x14ac:dyDescent="0.45">
      <c r="B441" s="452"/>
      <c r="C441" s="451"/>
      <c r="E441" s="449" t="str">
        <f>IF(O441&lt;0,"Net loss for the year","Net profit for the year")</f>
        <v>Net profit for the year</v>
      </c>
      <c r="O441" s="635">
        <f>SUM(O437:O440)</f>
        <v>0</v>
      </c>
    </row>
    <row r="442" spans="2:21" ht="9" customHeight="1" thickBot="1" x14ac:dyDescent="0.5">
      <c r="B442" s="452"/>
      <c r="C442" s="451"/>
      <c r="O442" s="638"/>
    </row>
    <row r="443" spans="2:21" ht="9" customHeight="1" thickTop="1" x14ac:dyDescent="0.45">
      <c r="B443" s="452"/>
      <c r="C443" s="451"/>
    </row>
    <row r="444" spans="2:21" ht="31.5" customHeight="1" x14ac:dyDescent="0.45">
      <c r="B444" s="452"/>
      <c r="C444" s="451"/>
    </row>
    <row r="445" spans="2:21" ht="31.5" customHeight="1" x14ac:dyDescent="0.45">
      <c r="B445" s="452"/>
      <c r="C445" s="451"/>
      <c r="D445" s="449" t="str">
        <f>IF(Criteria!F85="No","The company did not have any operations in the current financial year."," ")</f>
        <v xml:space="preserve"> </v>
      </c>
      <c r="R445" s="512" t="str">
        <f>IF(D445=" ","DELETE"," ")</f>
        <v>DELETE</v>
      </c>
    </row>
    <row r="446" spans="2:21" ht="31.5" customHeight="1" x14ac:dyDescent="0.45">
      <c r="B446" s="452"/>
      <c r="C446" s="451"/>
      <c r="D446" s="449" t="s">
        <v>1290</v>
      </c>
    </row>
    <row r="447" spans="2:21" ht="31.5" customHeight="1" x14ac:dyDescent="0.45">
      <c r="B447" s="452"/>
      <c r="C447" s="451"/>
      <c r="D447" s="449" t="str">
        <f>CONCATENATE(IF(MAX(Criteria!I41:I45)&gt;1,"directors are","director is")," of the opinion that no further comment thereon is necessary.")</f>
        <v>directors are of the opinion that no further comment thereon is necessary.</v>
      </c>
    </row>
    <row r="448" spans="2:21" ht="31.5" customHeight="1" x14ac:dyDescent="0.45">
      <c r="B448" s="452"/>
      <c r="C448" s="451"/>
    </row>
    <row r="449" spans="2:18" ht="31.5" customHeight="1" x14ac:dyDescent="0.45">
      <c r="B449" s="452"/>
      <c r="C449" s="451">
        <f>MAX(C$401:C448)+1</f>
        <v>4</v>
      </c>
      <c r="D449" s="450" t="s">
        <v>570</v>
      </c>
    </row>
    <row r="450" spans="2:18" ht="31.5" customHeight="1" x14ac:dyDescent="0.45">
      <c r="B450" s="452"/>
      <c r="C450" s="451"/>
      <c r="D450" s="449" t="str">
        <f>IF(Criteria!F91="Yes",Criteria!G91,"No dividends have been declared nor are any recommended.")</f>
        <v>No dividends have been declared nor are any recommended.</v>
      </c>
    </row>
    <row r="451" spans="2:18" ht="31.5" customHeight="1" x14ac:dyDescent="0.45">
      <c r="B451" s="452"/>
      <c r="C451" s="451"/>
    </row>
    <row r="452" spans="2:18" ht="31.5" customHeight="1" x14ac:dyDescent="0.45">
      <c r="B452" s="452"/>
      <c r="C452" s="451">
        <f>MAX(C$401:C451)+1</f>
        <v>5</v>
      </c>
      <c r="D452" s="450" t="s">
        <v>571</v>
      </c>
    </row>
    <row r="453" spans="2:18" ht="31.5" customHeight="1" x14ac:dyDescent="0.45">
      <c r="B453" s="452"/>
      <c r="C453" s="451"/>
      <c r="D453" s="449" t="str">
        <f>CONCATENATE("The authorised and issued share capital are presented at Note ",B2035," of the Notes to the Financial")</f>
        <v>The authorised and issued share capital are presented at Note 19 of the Notes to the Financial</v>
      </c>
    </row>
    <row r="454" spans="2:18" ht="31.5" customHeight="1" x14ac:dyDescent="0.45">
      <c r="B454" s="452"/>
      <c r="C454" s="451"/>
      <c r="D454" s="449" t="s">
        <v>1074</v>
      </c>
    </row>
    <row r="455" spans="2:18" ht="31.5" customHeight="1" x14ac:dyDescent="0.45">
      <c r="B455" s="452"/>
      <c r="C455" s="451"/>
      <c r="D455" s="449" t="str">
        <f>IF(Criteria!F93="No","The authorised and issued share capital remained unchanged during the financial year under review.",Criteria!G94)</f>
        <v>The authorised and issued share capital remained unchanged during the financial year under review.</v>
      </c>
    </row>
    <row r="456" spans="2:18" ht="31.5" customHeight="1" x14ac:dyDescent="0.45">
      <c r="B456" s="452"/>
      <c r="C456" s="451"/>
      <c r="D456" s="449" t="str">
        <f>IF(Criteria!F93="Yes",Criteria!G95," ")</f>
        <v xml:space="preserve"> </v>
      </c>
      <c r="R456" s="512" t="str">
        <f>IF(D456=" ","DELETE",IF(D456=0,"DELETE"," "))</f>
        <v>DELETE</v>
      </c>
    </row>
    <row r="457" spans="2:18" ht="31.5" customHeight="1" x14ac:dyDescent="0.45">
      <c r="B457" s="452"/>
      <c r="C457" s="451"/>
    </row>
    <row r="458" spans="2:18" ht="31.5" customHeight="1" x14ac:dyDescent="0.45">
      <c r="B458" s="452"/>
      <c r="C458" s="451"/>
    </row>
    <row r="459" spans="2:18" ht="31.5" customHeight="1" x14ac:dyDescent="0.45">
      <c r="B459" s="452"/>
      <c r="C459" s="451"/>
    </row>
    <row r="460" spans="2:18" ht="31.5" customHeight="1" x14ac:dyDescent="0.45">
      <c r="B460" s="452"/>
      <c r="C460" s="451"/>
    </row>
    <row r="461" spans="2:18" ht="31.5" customHeight="1" x14ac:dyDescent="0.45">
      <c r="D461" s="450" t="str">
        <f>Criteria!E9</f>
        <v>ABC COMPANY (PROPRIETARY) LIMITED</v>
      </c>
      <c r="O461" s="529" t="s">
        <v>121</v>
      </c>
      <c r="P461" s="459"/>
      <c r="Q461" s="451">
        <f>MAX($Q$114:Q460)+1</f>
        <v>7</v>
      </c>
    </row>
    <row r="462" spans="2:18" ht="31.5" customHeight="1" x14ac:dyDescent="0.45">
      <c r="D462" s="450" t="str">
        <f>Criteria!E10</f>
        <v>T/A SEAFRONT HOTEL, SEAFRONT RESTAURANT AND RENTAL PROPERTIES</v>
      </c>
      <c r="R462" s="512" t="str">
        <f>IF(D462=0,"DELETE"," ")</f>
        <v xml:space="preserve"> </v>
      </c>
    </row>
    <row r="463" spans="2:18" ht="31.5" customHeight="1" x14ac:dyDescent="0.45"/>
    <row r="464" spans="2:18" ht="31.5" customHeight="1" x14ac:dyDescent="0.45">
      <c r="D464" s="450" t="str">
        <f>D397</f>
        <v>DIRECTORS' REPORT FOR THE YEAR ENDED</v>
      </c>
      <c r="M464" s="636"/>
      <c r="N464" s="637"/>
    </row>
    <row r="465" spans="2:18" ht="31.5" customHeight="1" x14ac:dyDescent="0.45">
      <c r="D465" s="450" t="str">
        <f>Criteria!E20</f>
        <v>29 FEBRUARY 2024</v>
      </c>
      <c r="J465" s="449" t="s">
        <v>303</v>
      </c>
      <c r="M465" s="636"/>
      <c r="N465" s="637"/>
    </row>
    <row r="466" spans="2:18" ht="31.5" customHeight="1" x14ac:dyDescent="0.45">
      <c r="D466" s="461"/>
      <c r="E466" s="461"/>
      <c r="F466" s="461"/>
      <c r="G466" s="461"/>
      <c r="H466" s="461"/>
      <c r="I466" s="461"/>
      <c r="J466" s="461"/>
      <c r="K466" s="461"/>
      <c r="L466" s="461"/>
      <c r="M466" s="628"/>
      <c r="N466" s="629"/>
      <c r="O466" s="630"/>
      <c r="P466" s="631"/>
      <c r="Q466" s="461"/>
    </row>
    <row r="467" spans="2:18" ht="31.5" customHeight="1" x14ac:dyDescent="0.45">
      <c r="B467" s="452"/>
      <c r="C467" s="452"/>
      <c r="D467" s="452"/>
      <c r="E467" s="452"/>
      <c r="F467" s="452"/>
      <c r="G467" s="452"/>
      <c r="H467" s="452"/>
      <c r="I467" s="452"/>
      <c r="J467" s="452"/>
      <c r="K467" s="452"/>
      <c r="L467" s="452"/>
      <c r="M467" s="527"/>
      <c r="N467" s="452"/>
      <c r="O467" s="40"/>
      <c r="P467" s="452"/>
      <c r="Q467" s="452"/>
      <c r="R467" s="514"/>
    </row>
    <row r="468" spans="2:18" ht="31.5" customHeight="1" x14ac:dyDescent="0.45">
      <c r="B468" s="452"/>
      <c r="C468" s="451">
        <f>MAX(C$401:C467)+1</f>
        <v>6</v>
      </c>
      <c r="D468" s="450" t="s">
        <v>128</v>
      </c>
      <c r="I468" s="452"/>
      <c r="J468" s="452"/>
      <c r="K468" s="452"/>
      <c r="L468" s="452"/>
      <c r="M468" s="527"/>
      <c r="N468" s="452"/>
      <c r="O468" s="40"/>
      <c r="P468" s="452"/>
      <c r="Q468" s="452"/>
      <c r="R468" s="514"/>
    </row>
    <row r="469" spans="2:18" ht="31.5" customHeight="1" x14ac:dyDescent="0.45">
      <c r="B469" s="452"/>
      <c r="D469" s="449" t="str">
        <f>IF(Criteria!F97="Yes",Criteria!G98,"No fundamental change in the nature or use of fixed assets took place during the financial year.")</f>
        <v>No fundamental change in the nature or use of fixed assets took place during the financial year.</v>
      </c>
      <c r="I469" s="452"/>
      <c r="J469" s="452"/>
      <c r="K469" s="452"/>
      <c r="L469" s="452"/>
      <c r="M469" s="527"/>
      <c r="N469" s="452"/>
      <c r="O469" s="40"/>
      <c r="P469" s="452"/>
      <c r="Q469" s="452"/>
      <c r="R469" s="514"/>
    </row>
    <row r="470" spans="2:18" ht="31.5" customHeight="1" x14ac:dyDescent="0.45">
      <c r="B470" s="452"/>
      <c r="I470" s="452"/>
      <c r="J470" s="452"/>
      <c r="K470" s="452"/>
      <c r="L470" s="452"/>
      <c r="M470" s="527"/>
      <c r="N470" s="452"/>
      <c r="O470" s="40"/>
      <c r="P470" s="452"/>
      <c r="Q470" s="452"/>
      <c r="R470" s="514"/>
    </row>
    <row r="471" spans="2:18" ht="31.5" customHeight="1" x14ac:dyDescent="0.45">
      <c r="B471" s="452"/>
      <c r="C471" s="451">
        <f>MAX(C$401:C470)+1</f>
        <v>7</v>
      </c>
      <c r="D471" s="450" t="str">
        <f>IF(MAX(Criteria!I41:I45)&gt;1,"DIRECTORS","DIRECTOR")</f>
        <v>DIRECTORS</v>
      </c>
    </row>
    <row r="472" spans="2:18" ht="31.5" customHeight="1" x14ac:dyDescent="0.45">
      <c r="B472" s="452"/>
      <c r="C472" s="451"/>
      <c r="D472" s="449" t="str">
        <f>IF(MAX(Criteria!I41:I45)&gt;1,"The directors in office at the date of the financial year end are as follows:","The director in office at the date of the financial year end is as follows:")</f>
        <v>The directors in office at the date of the financial year end are as follows:</v>
      </c>
    </row>
    <row r="473" spans="2:18" ht="31.5" customHeight="1" x14ac:dyDescent="0.45">
      <c r="B473" s="452"/>
      <c r="C473" s="451"/>
      <c r="D473" s="450"/>
      <c r="M473" s="619" t="s">
        <v>918</v>
      </c>
    </row>
    <row r="474" spans="2:18" ht="31.5" customHeight="1" x14ac:dyDescent="0.45">
      <c r="C474" s="451"/>
      <c r="D474" s="449" t="str">
        <f>Criteria!E41</f>
        <v>A Director</v>
      </c>
      <c r="M474" s="525" t="str">
        <f>Criteria!G41</f>
        <v>RSA</v>
      </c>
    </row>
    <row r="475" spans="2:18" ht="31.5" customHeight="1" x14ac:dyDescent="0.45">
      <c r="C475" s="451"/>
      <c r="D475" s="449" t="str">
        <f>Criteria!E42</f>
        <v>C Director</v>
      </c>
      <c r="M475" s="525" t="str">
        <f>Criteria!G42</f>
        <v>RSA</v>
      </c>
      <c r="R475" s="512" t="str">
        <f>IF(D475=0,"DELETE"," ")</f>
        <v xml:space="preserve"> </v>
      </c>
    </row>
    <row r="476" spans="2:18" ht="31.5" customHeight="1" x14ac:dyDescent="0.45">
      <c r="C476" s="451"/>
      <c r="D476" s="449">
        <f>Criteria!E43</f>
        <v>0</v>
      </c>
      <c r="M476" s="525">
        <f>Criteria!G43</f>
        <v>0</v>
      </c>
      <c r="R476" s="512" t="str">
        <f t="shared" ref="R476:R478" si="6">IF(D476=0,"DELETE"," ")</f>
        <v>DELETE</v>
      </c>
    </row>
    <row r="477" spans="2:18" ht="31.5" customHeight="1" x14ac:dyDescent="0.45">
      <c r="C477" s="451"/>
      <c r="D477" s="449">
        <f>Criteria!E44</f>
        <v>0</v>
      </c>
      <c r="M477" s="525">
        <f>Criteria!G44</f>
        <v>0</v>
      </c>
      <c r="R477" s="512" t="str">
        <f t="shared" si="6"/>
        <v>DELETE</v>
      </c>
    </row>
    <row r="478" spans="2:18" ht="31.5" customHeight="1" x14ac:dyDescent="0.45">
      <c r="C478" s="451"/>
      <c r="D478" s="449">
        <f>Criteria!E45</f>
        <v>0</v>
      </c>
      <c r="M478" s="525">
        <f>Criteria!G45</f>
        <v>0</v>
      </c>
      <c r="R478" s="512" t="str">
        <f t="shared" si="6"/>
        <v>DELETE</v>
      </c>
    </row>
    <row r="479" spans="2:18" ht="31.5" customHeight="1" x14ac:dyDescent="0.45">
      <c r="C479" s="451"/>
    </row>
    <row r="480" spans="2:18" ht="31.5" customHeight="1" x14ac:dyDescent="0.45">
      <c r="C480" s="451"/>
      <c r="D480" s="449" t="str">
        <f>IF(Criteria!G50="Yes",Criteria!G51,"There have been no changes to the directorate during the period under review.")</f>
        <v>There have been no changes to the directorate during the period under review.</v>
      </c>
    </row>
    <row r="481" spans="3:18" ht="31.5" customHeight="1" x14ac:dyDescent="0.45"/>
    <row r="482" spans="3:18" ht="31.5" customHeight="1" x14ac:dyDescent="0.45">
      <c r="C482" s="451">
        <f>MAX(C$401:C481)+1</f>
        <v>8</v>
      </c>
      <c r="D482" s="450" t="s">
        <v>924</v>
      </c>
    </row>
    <row r="483" spans="3:18" ht="31.5" customHeight="1" x14ac:dyDescent="0.45">
      <c r="C483" s="451"/>
      <c r="D483" s="449" t="s">
        <v>1291</v>
      </c>
    </row>
    <row r="484" spans="3:18" ht="31.5" customHeight="1" x14ac:dyDescent="0.45">
      <c r="C484" s="451"/>
      <c r="D484" s="449" t="s">
        <v>1292</v>
      </c>
    </row>
    <row r="485" spans="3:18" ht="31.5" customHeight="1" x14ac:dyDescent="0.45">
      <c r="C485" s="451"/>
      <c r="D485" s="449" t="s">
        <v>1294</v>
      </c>
    </row>
    <row r="486" spans="3:18" ht="33" customHeight="1" x14ac:dyDescent="0.45">
      <c r="C486" s="451"/>
      <c r="D486" s="449" t="s">
        <v>1293</v>
      </c>
    </row>
    <row r="487" spans="3:18" ht="31.5" customHeight="1" x14ac:dyDescent="0.45"/>
    <row r="488" spans="3:18" ht="31.5" customHeight="1" x14ac:dyDescent="0.45">
      <c r="C488" s="451">
        <f>MAX(C$401:C487)+1</f>
        <v>9</v>
      </c>
      <c r="D488" s="450" t="s">
        <v>572</v>
      </c>
    </row>
    <row r="489" spans="3:18" ht="31.5" customHeight="1" x14ac:dyDescent="0.45">
      <c r="D489" s="449" t="str">
        <f>IF(Criteria!F100="No","No material fact or event that could have a major impact on the financial position of the company",Criteria!G102 )</f>
        <v>No material fact or event that could have a major impact on the financial position of the company</v>
      </c>
    </row>
    <row r="490" spans="3:18" ht="31.5" customHeight="1" x14ac:dyDescent="0.45">
      <c r="D490" s="449" t="str">
        <f>IF(Criteria!F100="No","or its results took place between the date of the Financial Statements and the date of approval",Criteria!G103)</f>
        <v>or its results took place between the date of the Financial Statements and the date of approval</v>
      </c>
      <c r="R490" s="512" t="str">
        <f>IF(D490=0,"DELETE"," ")</f>
        <v xml:space="preserve"> </v>
      </c>
    </row>
    <row r="491" spans="3:18" ht="31.5" customHeight="1" x14ac:dyDescent="0.45">
      <c r="D491" s="449" t="str">
        <f>IF(Criteria!F100="No","thereof.",Criteria!G104)</f>
        <v>thereof.</v>
      </c>
      <c r="R491" s="512" t="str">
        <f>IF(D491=0,"DELETE"," ")</f>
        <v xml:space="preserve"> </v>
      </c>
    </row>
    <row r="492" spans="3:18" ht="31.5" customHeight="1" x14ac:dyDescent="0.45">
      <c r="R492" s="512" t="str">
        <f>R493</f>
        <v>DELETE</v>
      </c>
    </row>
    <row r="493" spans="3:18" ht="31.5" customHeight="1" x14ac:dyDescent="0.45">
      <c r="C493" s="451">
        <f>MAX(C$401:C492)+1</f>
        <v>10</v>
      </c>
      <c r="D493" s="450" t="s">
        <v>232</v>
      </c>
      <c r="R493" s="512" t="str">
        <f>R494</f>
        <v>DELETE</v>
      </c>
    </row>
    <row r="494" spans="3:18" ht="31.5" customHeight="1" x14ac:dyDescent="0.45">
      <c r="C494" s="450"/>
      <c r="D494" s="449" t="str">
        <f>IF(Criteria!F106="No","No provision is being made for deferred taxation as there are no temporary differences between"," ")</f>
        <v xml:space="preserve"> </v>
      </c>
      <c r="R494" s="512" t="str">
        <f>IF(D494=" ","DELETE"," ")</f>
        <v>DELETE</v>
      </c>
    </row>
    <row r="495" spans="3:18" ht="31.5" customHeight="1" x14ac:dyDescent="0.45">
      <c r="C495" s="450"/>
      <c r="D495" s="449" t="str">
        <f>IF(Criteria!F106="No","the tax bases of assets and liabilities and their carrying values for financial reporting purposes."," ")</f>
        <v xml:space="preserve"> </v>
      </c>
      <c r="R495" s="512" t="str">
        <f>IF(D495=" ","DELETE"," ")</f>
        <v>DELETE</v>
      </c>
    </row>
    <row r="496" spans="3:18" ht="31.5" customHeight="1" x14ac:dyDescent="0.45">
      <c r="R496" s="512" t="str">
        <f>R497</f>
        <v>DELETE</v>
      </c>
    </row>
    <row r="497" spans="3:18" ht="31.5" customHeight="1" x14ac:dyDescent="0.45">
      <c r="C497" s="451">
        <f>MAX(C$401:C496)+1</f>
        <v>11</v>
      </c>
      <c r="D497" s="450" t="s">
        <v>117</v>
      </c>
      <c r="R497" s="512" t="str">
        <f>R498</f>
        <v>DELETE</v>
      </c>
    </row>
    <row r="498" spans="3:18" ht="31.5" customHeight="1" x14ac:dyDescent="0.45">
      <c r="D498" s="463" t="str">
        <f>IF(Criteria!F108="No","As the company's cash flow is comprehensively disclosed in the Statement of Comprehensive"," ")</f>
        <v xml:space="preserve"> </v>
      </c>
      <c r="E498" s="452"/>
      <c r="R498" s="512" t="str">
        <f>IF(D498=" ","DELETE"," ")</f>
        <v>DELETE</v>
      </c>
    </row>
    <row r="499" spans="3:18" ht="31.5" customHeight="1" x14ac:dyDescent="0.45">
      <c r="D499" s="463" t="str">
        <f>IF(Criteria!F108="No","Income, a separate Cash Flow Statement is considered to be of no value and is therefore not"," ")</f>
        <v xml:space="preserve"> </v>
      </c>
      <c r="E499" s="452"/>
      <c r="R499" s="512" t="str">
        <f>IF(D499=" ","DELETE"," ")</f>
        <v>DELETE</v>
      </c>
    </row>
    <row r="500" spans="3:18" ht="31.5" customHeight="1" x14ac:dyDescent="0.45">
      <c r="D500" s="463" t="str">
        <f>IF(Criteria!F108="No","presented."," ")</f>
        <v xml:space="preserve"> </v>
      </c>
      <c r="E500" s="452"/>
      <c r="R500" s="512" t="str">
        <f>IF(D500=" ","DELETE"," ")</f>
        <v>DELETE</v>
      </c>
    </row>
    <row r="501" spans="3:18" ht="31.5" customHeight="1" x14ac:dyDescent="0.45"/>
    <row r="502" spans="3:18" ht="31.5" customHeight="1" x14ac:dyDescent="0.45"/>
    <row r="503" spans="3:18" ht="31.5" customHeight="1" x14ac:dyDescent="0.45"/>
    <row r="504" spans="3:18" ht="31.5" customHeight="1" x14ac:dyDescent="0.45"/>
    <row r="505" spans="3:18" ht="31.5" customHeight="1" x14ac:dyDescent="0.45"/>
    <row r="506" spans="3:18" ht="31.5" customHeight="1" x14ac:dyDescent="0.45"/>
    <row r="507" spans="3:18" ht="31.5" customHeight="1" x14ac:dyDescent="0.45"/>
    <row r="508" spans="3:18" ht="31.5" customHeight="1" x14ac:dyDescent="0.45"/>
    <row r="509" spans="3:18" ht="31.5" customHeight="1" x14ac:dyDescent="0.45"/>
    <row r="510" spans="3:18" ht="31.5" customHeight="1" x14ac:dyDescent="0.45"/>
    <row r="511" spans="3:18" ht="31.5" customHeight="1" x14ac:dyDescent="0.45"/>
    <row r="512" spans="3:18" ht="31.5" customHeight="1" x14ac:dyDescent="0.45"/>
    <row r="513" spans="2:21" ht="31.5" customHeight="1" x14ac:dyDescent="0.45"/>
    <row r="514" spans="2:21" ht="31.5" customHeight="1" x14ac:dyDescent="0.45"/>
    <row r="515" spans="2:21" ht="31.5" customHeight="1" x14ac:dyDescent="0.45"/>
    <row r="516" spans="2:21" ht="31.5" customHeight="1" x14ac:dyDescent="0.45"/>
    <row r="517" spans="2:21" ht="31.5" customHeight="1" x14ac:dyDescent="0.45">
      <c r="D517" s="450" t="str">
        <f>Criteria!E9</f>
        <v>ABC COMPANY (PROPRIETARY) LIMITED</v>
      </c>
      <c r="O517" s="529" t="s">
        <v>121</v>
      </c>
      <c r="Q517" s="451">
        <f>MAX($Q$114:Q516)+1</f>
        <v>8</v>
      </c>
    </row>
    <row r="518" spans="2:21" ht="31.5" customHeight="1" x14ac:dyDescent="0.45">
      <c r="D518" s="450" t="str">
        <f>Criteria!E10</f>
        <v>T/A SEAFRONT HOTEL, SEAFRONT RESTAURANT AND RENTAL PROPERTIES</v>
      </c>
      <c r="R518" s="512" t="str">
        <f>IF(D518=0,"DELETE"," ")</f>
        <v xml:space="preserve"> </v>
      </c>
    </row>
    <row r="519" spans="2:21" ht="31.5" customHeight="1" x14ac:dyDescent="0.45"/>
    <row r="520" spans="2:21" ht="31.5" customHeight="1" x14ac:dyDescent="0.45">
      <c r="D520" s="450" t="s">
        <v>794</v>
      </c>
    </row>
    <row r="521" spans="2:21" ht="31.5" customHeight="1" x14ac:dyDescent="0.45">
      <c r="D521" s="450" t="str">
        <f>Criteria!E20</f>
        <v>29 FEBRUARY 2024</v>
      </c>
    </row>
    <row r="522" spans="2:21" ht="31.5" customHeight="1" x14ac:dyDescent="0.45">
      <c r="K522" s="461"/>
      <c r="L522" s="461"/>
      <c r="M522" s="630"/>
      <c r="N522" s="631"/>
      <c r="O522" s="630"/>
    </row>
    <row r="523" spans="2:21" ht="31.5" customHeight="1" x14ac:dyDescent="0.45">
      <c r="B523" s="465"/>
      <c r="C523" s="466"/>
      <c r="D523" s="466"/>
      <c r="E523" s="466"/>
      <c r="F523" s="466"/>
      <c r="G523" s="466"/>
      <c r="H523" s="466"/>
      <c r="I523" s="466"/>
      <c r="J523" s="466"/>
      <c r="K523" s="451"/>
      <c r="L523" s="451"/>
      <c r="M523" s="525"/>
      <c r="N523" s="458"/>
      <c r="O523" s="525"/>
      <c r="P523" s="480"/>
      <c r="Q523" s="467"/>
    </row>
    <row r="524" spans="2:21" ht="31.5" customHeight="1" x14ac:dyDescent="0.45">
      <c r="B524" s="468"/>
      <c r="K524" s="451" t="s">
        <v>129</v>
      </c>
      <c r="L524" s="452"/>
      <c r="M524" s="527"/>
      <c r="N524" s="451"/>
      <c r="O524" s="525">
        <f>Criteria!E22</f>
        <v>2024</v>
      </c>
      <c r="P524" s="458"/>
      <c r="Q524" s="469"/>
    </row>
    <row r="525" spans="2:21" ht="31.5" customHeight="1" x14ac:dyDescent="0.45">
      <c r="B525" s="468"/>
      <c r="K525" s="451"/>
      <c r="L525" s="452"/>
      <c r="M525" s="527"/>
      <c r="N525" s="451"/>
      <c r="O525" s="529"/>
      <c r="P525" s="459"/>
      <c r="Q525" s="469"/>
    </row>
    <row r="526" spans="2:21" ht="31.5" customHeight="1" x14ac:dyDescent="0.45">
      <c r="B526" s="468"/>
      <c r="D526" s="449" t="s">
        <v>137</v>
      </c>
      <c r="K526" s="451">
        <f>B1031</f>
        <v>2</v>
      </c>
      <c r="L526" s="452"/>
      <c r="M526" s="527"/>
      <c r="N526" s="451"/>
      <c r="O526" s="531">
        <f>-SUM(TrialBalance!L4:L11)-SUM(TrialBalanceA!I4:I11)-SUM(TrialBalanceB!I4:I11)-SUM(TrialBalanceC!I4:I11)</f>
        <v>0</v>
      </c>
      <c r="P526" s="459"/>
      <c r="Q526" s="469"/>
      <c r="S526" s="517">
        <f>O526</f>
        <v>0</v>
      </c>
      <c r="T526" s="517"/>
      <c r="U526" s="513" t="b">
        <f>O526=O1041</f>
        <v>1</v>
      </c>
    </row>
    <row r="527" spans="2:21" ht="31.5" customHeight="1" x14ac:dyDescent="0.45">
      <c r="B527" s="468"/>
      <c r="K527" s="451"/>
      <c r="L527" s="452"/>
      <c r="M527" s="527"/>
      <c r="N527" s="451"/>
      <c r="O527" s="531"/>
      <c r="P527" s="459"/>
      <c r="Q527" s="469"/>
    </row>
    <row r="528" spans="2:21" ht="31.5" customHeight="1" x14ac:dyDescent="0.45">
      <c r="B528" s="468"/>
      <c r="D528" s="449" t="s">
        <v>138</v>
      </c>
      <c r="K528" s="451"/>
      <c r="L528" s="452"/>
      <c r="M528" s="527"/>
      <c r="N528" s="451"/>
      <c r="O528" s="538">
        <f>-SUM(TrialBalance!L12:L26)-SUM(TrialBalanceA!I12:I26)-SUM(TrialBalanceB!I12:I26)-SUM(TrialBalanceC!I12:I26)</f>
        <v>0</v>
      </c>
      <c r="P528" s="459"/>
      <c r="Q528" s="469"/>
      <c r="R528" s="512" t="str">
        <f t="shared" ref="R528" si="7">IF(O528=0,"DELETE"," ")</f>
        <v>DELETE</v>
      </c>
      <c r="S528" s="517">
        <f>O528</f>
        <v>0</v>
      </c>
      <c r="T528" s="517"/>
    </row>
    <row r="529" spans="2:25" ht="9" customHeight="1" x14ac:dyDescent="0.45">
      <c r="B529" s="468"/>
      <c r="K529" s="451"/>
      <c r="L529" s="452"/>
      <c r="M529" s="527"/>
      <c r="N529" s="451"/>
      <c r="O529" s="535"/>
      <c r="P529" s="459"/>
      <c r="Q529" s="469"/>
      <c r="R529" s="512" t="str">
        <f>R528</f>
        <v>DELETE</v>
      </c>
    </row>
    <row r="530" spans="2:25" ht="9" customHeight="1" x14ac:dyDescent="0.45">
      <c r="B530" s="468"/>
      <c r="K530" s="451"/>
      <c r="L530" s="452"/>
      <c r="M530" s="527"/>
      <c r="N530" s="451"/>
      <c r="O530" s="531"/>
      <c r="P530" s="459"/>
      <c r="Q530" s="469"/>
      <c r="R530" s="512" t="str">
        <f>R529</f>
        <v>DELETE</v>
      </c>
    </row>
    <row r="531" spans="2:25" ht="31.5" customHeight="1" x14ac:dyDescent="0.45">
      <c r="B531" s="468"/>
      <c r="D531" s="463" t="str">
        <f>IF(W531=2,"GROSS PROFIT","GROSS LOSS")</f>
        <v>GROSS PROFIT</v>
      </c>
      <c r="J531" s="641"/>
      <c r="K531" s="482"/>
      <c r="L531" s="452"/>
      <c r="M531" s="527"/>
      <c r="N531" s="451"/>
      <c r="O531" s="531">
        <f>SUM(S526:S528)</f>
        <v>0</v>
      </c>
      <c r="P531" s="459"/>
      <c r="Q531" s="469"/>
      <c r="R531" s="512" t="str">
        <f>R530</f>
        <v>DELETE</v>
      </c>
      <c r="W531" s="513">
        <f>IF(O531&lt;0,1,2)</f>
        <v>2</v>
      </c>
    </row>
    <row r="532" spans="2:25" ht="31.5" customHeight="1" x14ac:dyDescent="0.45">
      <c r="B532" s="468"/>
      <c r="K532" s="451"/>
      <c r="L532" s="452"/>
      <c r="M532" s="527"/>
      <c r="N532" s="451"/>
      <c r="O532" s="531"/>
      <c r="P532" s="459"/>
      <c r="Q532" s="469"/>
      <c r="R532" s="512" t="str">
        <f>R531</f>
        <v>DELETE</v>
      </c>
    </row>
    <row r="533" spans="2:25" ht="31.5" customHeight="1" x14ac:dyDescent="0.45">
      <c r="B533" s="468"/>
      <c r="D533" s="449" t="s">
        <v>385</v>
      </c>
      <c r="K533" s="451">
        <f>B1058</f>
        <v>3</v>
      </c>
      <c r="L533" s="452"/>
      <c r="M533" s="527"/>
      <c r="N533" s="451"/>
      <c r="O533" s="531">
        <f>-SUM(TrialBalance!L27:L33)-SUM(TrialBalanceA!I27:I33)-SUM(TrialBalanceB!I27:I33)-SUM(TrialBalanceC!I27:I33)</f>
        <v>0</v>
      </c>
      <c r="P533" s="459"/>
      <c r="Q533" s="469"/>
      <c r="R533" s="512" t="str">
        <f t="shared" ref="R533:R537" si="8">IF(O533=0,"DELETE"," ")</f>
        <v>DELETE</v>
      </c>
      <c r="S533" s="517">
        <f>O533</f>
        <v>0</v>
      </c>
      <c r="T533" s="517"/>
      <c r="U533" s="513" t="b">
        <f>O533=O1085</f>
        <v>1</v>
      </c>
    </row>
    <row r="534" spans="2:25" ht="31.5" customHeight="1" x14ac:dyDescent="0.45">
      <c r="B534" s="468"/>
      <c r="K534" s="451"/>
      <c r="L534" s="452"/>
      <c r="M534" s="527"/>
      <c r="N534" s="451"/>
      <c r="O534" s="531"/>
      <c r="P534" s="459"/>
      <c r="Q534" s="469"/>
      <c r="R534" s="512" t="str">
        <f>R533</f>
        <v>DELETE</v>
      </c>
    </row>
    <row r="535" spans="2:25" ht="31.5" customHeight="1" x14ac:dyDescent="0.45">
      <c r="B535" s="468"/>
      <c r="D535" s="449" t="s">
        <v>1415</v>
      </c>
      <c r="K535" s="451"/>
      <c r="L535" s="452"/>
      <c r="M535" s="527"/>
      <c r="N535" s="451"/>
      <c r="O535" s="539">
        <f>-SUM(TrialBalance!L39:L81)-SUM(TrialBalanceA!I39:I81)-SUM(TrialBalanceB!I39:I81)-SUM(TrialBalanceC!I39:I81)</f>
        <v>0</v>
      </c>
      <c r="P535" s="459"/>
      <c r="Q535" s="469"/>
      <c r="R535" s="512" t="str">
        <f t="shared" si="8"/>
        <v>DELETE</v>
      </c>
      <c r="S535" s="517">
        <f>O535</f>
        <v>0</v>
      </c>
      <c r="T535" s="517"/>
    </row>
    <row r="536" spans="2:25" ht="31.5" customHeight="1" x14ac:dyDescent="0.45">
      <c r="B536" s="468"/>
      <c r="K536" s="451"/>
      <c r="L536" s="452"/>
      <c r="M536" s="527"/>
      <c r="N536" s="451"/>
      <c r="O536" s="531"/>
      <c r="P536" s="459"/>
      <c r="Q536" s="469"/>
      <c r="R536" s="512" t="str">
        <f>R535</f>
        <v>DELETE</v>
      </c>
    </row>
    <row r="537" spans="2:25" ht="31.5" customHeight="1" x14ac:dyDescent="0.45">
      <c r="B537" s="468"/>
      <c r="D537" s="449" t="s">
        <v>1304</v>
      </c>
      <c r="K537" s="451"/>
      <c r="L537" s="452"/>
      <c r="M537" s="527"/>
      <c r="N537" s="451"/>
      <c r="O537" s="539">
        <f>-SUM(TrialBalance!L97:L139)-SUM(TrialBalance!L154:L155)-IF(TrialBalance!L93&lt;0,0,TrialBalance!L93)-SUM(TrialBalanceA!I97:I139)-SUM(TrialBalanceA!I154:I155)-IF(TrialBalanceA!I93&lt;0,0,TrialBalanceA!I93)-SUM(TrialBalanceB!I97:I139)-SUM(TrialBalanceB!I154:I155)-IF(TrialBalanceB!I93&lt;0,0,TrialBalanceB!I93)-SUM(TrialBalanceC!I97:I139)-SUM(TrialBalanceC!I154:I155)-IF(TrialBalanceC!I93&lt;0,0,TrialBalanceC!I93)</f>
        <v>0</v>
      </c>
      <c r="P537" s="459"/>
      <c r="Q537" s="469"/>
      <c r="R537" s="512" t="str">
        <f t="shared" si="8"/>
        <v>DELETE</v>
      </c>
      <c r="S537" s="517">
        <f>O537</f>
        <v>0</v>
      </c>
      <c r="T537" s="517"/>
    </row>
    <row r="538" spans="2:25" ht="31.5" customHeight="1" x14ac:dyDescent="0.45">
      <c r="B538" s="468"/>
      <c r="K538" s="451"/>
      <c r="L538" s="452"/>
      <c r="M538" s="527"/>
      <c r="N538" s="451"/>
      <c r="O538" s="531"/>
      <c r="P538" s="459"/>
      <c r="Q538" s="469"/>
      <c r="R538" s="512" t="str">
        <f>R537</f>
        <v>DELETE</v>
      </c>
    </row>
    <row r="539" spans="2:25" ht="9" customHeight="1" x14ac:dyDescent="0.45">
      <c r="B539" s="468"/>
      <c r="K539" s="451"/>
      <c r="L539" s="452"/>
      <c r="M539" s="527"/>
      <c r="N539" s="451"/>
      <c r="O539" s="535"/>
      <c r="P539" s="459"/>
      <c r="Q539" s="469"/>
      <c r="R539" s="512" t="str">
        <f>R541</f>
        <v>DELETE</v>
      </c>
    </row>
    <row r="540" spans="2:25" ht="9" customHeight="1" x14ac:dyDescent="0.45">
      <c r="B540" s="468"/>
      <c r="K540" s="451"/>
      <c r="L540" s="452"/>
      <c r="M540" s="527"/>
      <c r="N540" s="451"/>
      <c r="O540" s="531"/>
      <c r="P540" s="459"/>
      <c r="Q540" s="469"/>
      <c r="R540" s="512" t="str">
        <f>R541</f>
        <v>DELETE</v>
      </c>
    </row>
    <row r="541" spans="2:25" ht="31.5" customHeight="1" x14ac:dyDescent="0.45">
      <c r="B541" s="468"/>
      <c r="D541" s="463" t="str">
        <f>IF(W541=2,"OPERATING PROFIT","OPERATING LOSS")</f>
        <v>OPERATING PROFIT</v>
      </c>
      <c r="K541" s="451">
        <f>B1102</f>
        <v>4</v>
      </c>
      <c r="L541" s="452"/>
      <c r="M541" s="527"/>
      <c r="N541" s="451"/>
      <c r="O541" s="531">
        <f>SUM(S526:S538)</f>
        <v>0</v>
      </c>
      <c r="P541" s="459"/>
      <c r="Q541" s="469"/>
      <c r="R541" s="512" t="str">
        <f t="shared" ref="R541:R545" si="9">IF(O541=0,"DELETE"," ")</f>
        <v>DELETE</v>
      </c>
      <c r="W541" s="513">
        <f>IF(O541&lt;0,1,2)</f>
        <v>2</v>
      </c>
      <c r="Y541" s="513"/>
    </row>
    <row r="542" spans="2:25" ht="31.5" customHeight="1" x14ac:dyDescent="0.45">
      <c r="B542" s="468"/>
      <c r="K542" s="451"/>
      <c r="L542" s="452"/>
      <c r="M542" s="527"/>
      <c r="N542" s="451"/>
      <c r="O542" s="531"/>
      <c r="P542" s="459"/>
      <c r="Q542" s="469"/>
      <c r="R542" s="512" t="str">
        <f>R541</f>
        <v>DELETE</v>
      </c>
    </row>
    <row r="543" spans="2:25" ht="31.5" customHeight="1" x14ac:dyDescent="0.45">
      <c r="B543" s="468"/>
      <c r="D543" s="449" t="s">
        <v>139</v>
      </c>
      <c r="K543" s="451">
        <f>B1189</f>
        <v>5</v>
      </c>
      <c r="L543" s="452"/>
      <c r="M543" s="527"/>
      <c r="N543" s="451"/>
      <c r="O543" s="531">
        <f>-SUM(TrialBalance!L82:L92)-SUM(TrialBalance!L94:L96)+IF(TrialBalance!L93&lt;0,-TrialBalance!L93,0)-SUM(TrialBalanceA!I82:I92)-SUM(TrialBalanceA!I94:I96)+IF(TrialBalanceA!I93&lt;0,-TrialBalanceA!I93,0)-SUM(TrialBalanceB!I82:I92)-SUM(TrialBalanceB!I94:I96)+IF(TrialBalanceB!I93&lt;0,-TrialBalanceB!I93,0)-SUM(TrialBalanceC!I82:I92)-SUM(TrialBalanceC!I94:I96)+IF(TrialBalanceC!I93&lt;0,-TrialBalanceC!I93,0)</f>
        <v>0</v>
      </c>
      <c r="P543" s="459"/>
      <c r="Q543" s="469"/>
      <c r="R543" s="512" t="str">
        <f t="shared" si="9"/>
        <v>DELETE</v>
      </c>
      <c r="S543" s="517">
        <f>O543</f>
        <v>0</v>
      </c>
      <c r="T543" s="517"/>
      <c r="U543" s="513" t="b">
        <f>O543=O1231</f>
        <v>1</v>
      </c>
    </row>
    <row r="544" spans="2:25" ht="31.5" customHeight="1" x14ac:dyDescent="0.45">
      <c r="B544" s="468"/>
      <c r="K544" s="451"/>
      <c r="L544" s="452"/>
      <c r="M544" s="527"/>
      <c r="N544" s="451"/>
      <c r="O544" s="531"/>
      <c r="P544" s="459"/>
      <c r="Q544" s="469"/>
      <c r="R544" s="512" t="str">
        <f>R543</f>
        <v>DELETE</v>
      </c>
    </row>
    <row r="545" spans="2:23" ht="31.5" customHeight="1" x14ac:dyDescent="0.45">
      <c r="B545" s="468"/>
      <c r="D545" s="449" t="s">
        <v>140</v>
      </c>
      <c r="K545" s="451">
        <f>B1248</f>
        <v>6</v>
      </c>
      <c r="L545" s="452"/>
      <c r="M545" s="527"/>
      <c r="N545" s="451"/>
      <c r="O545" s="539">
        <f>-SUM(TrialBalance!L140:L152)-SUM(TrialBalanceA!I140:I152)-SUM(TrialBalanceB!I140:I152)-SUM(TrialBalanceC!I140:I152)</f>
        <v>0</v>
      </c>
      <c r="P545" s="459"/>
      <c r="Q545" s="469"/>
      <c r="R545" s="512" t="str">
        <f t="shared" si="9"/>
        <v>DELETE</v>
      </c>
      <c r="S545" s="517">
        <f>O545</f>
        <v>0</v>
      </c>
      <c r="T545" s="517"/>
      <c r="U545" s="513" t="b">
        <f>-O545=O1295</f>
        <v>1</v>
      </c>
    </row>
    <row r="546" spans="2:23" ht="31.5" customHeight="1" x14ac:dyDescent="0.45">
      <c r="B546" s="468"/>
      <c r="K546" s="451"/>
      <c r="L546" s="452"/>
      <c r="M546" s="527"/>
      <c r="N546" s="451"/>
      <c r="O546" s="531"/>
      <c r="P546" s="459"/>
      <c r="Q546" s="469"/>
      <c r="R546" s="512" t="str">
        <f>R545</f>
        <v>DELETE</v>
      </c>
    </row>
    <row r="547" spans="2:23" ht="9" customHeight="1" x14ac:dyDescent="0.45">
      <c r="B547" s="468"/>
      <c r="K547" s="451"/>
      <c r="L547" s="452"/>
      <c r="M547" s="527"/>
      <c r="N547" s="451"/>
      <c r="O547" s="535"/>
      <c r="P547" s="459"/>
      <c r="Q547" s="469"/>
    </row>
    <row r="548" spans="2:23" ht="9" customHeight="1" x14ac:dyDescent="0.45">
      <c r="B548" s="468"/>
      <c r="K548" s="451"/>
      <c r="L548" s="452"/>
      <c r="M548" s="527"/>
      <c r="N548" s="451"/>
      <c r="O548" s="531"/>
      <c r="P548" s="459"/>
      <c r="Q548" s="469"/>
    </row>
    <row r="549" spans="2:23" ht="31.5" customHeight="1" x14ac:dyDescent="0.45">
      <c r="B549" s="468"/>
      <c r="D549" s="463" t="str">
        <f>IF(W549=2,"NET PROFIT BEFORE TAXATION","NET LOSS BEFORE TAXATION")</f>
        <v>NET PROFIT BEFORE TAXATION</v>
      </c>
      <c r="K549" s="451"/>
      <c r="L549" s="452"/>
      <c r="M549" s="527"/>
      <c r="N549" s="451"/>
      <c r="O549" s="531">
        <f>SUM(S526:S546)</f>
        <v>0</v>
      </c>
      <c r="P549" s="459"/>
      <c r="Q549" s="469"/>
      <c r="W549" s="513">
        <f>IF(O549&lt;0,1,2)</f>
        <v>2</v>
      </c>
    </row>
    <row r="550" spans="2:23" ht="31.5" customHeight="1" x14ac:dyDescent="0.45">
      <c r="B550" s="468"/>
      <c r="K550" s="451"/>
      <c r="L550" s="452"/>
      <c r="M550" s="527"/>
      <c r="N550" s="451"/>
      <c r="O550" s="531"/>
      <c r="P550" s="459"/>
      <c r="Q550" s="469"/>
    </row>
    <row r="551" spans="2:23" ht="31.5" customHeight="1" x14ac:dyDescent="0.45">
      <c r="B551" s="468"/>
      <c r="D551" s="449" t="s">
        <v>141</v>
      </c>
      <c r="K551" s="451">
        <f>B1312</f>
        <v>7</v>
      </c>
      <c r="L551" s="452"/>
      <c r="M551" s="527"/>
      <c r="N551" s="451"/>
      <c r="O551" s="539">
        <f>-SUM(TrialBalance!L156:L162)</f>
        <v>0</v>
      </c>
      <c r="P551" s="459"/>
      <c r="Q551" s="469"/>
      <c r="U551" s="513" t="b">
        <f>-O551=O1331</f>
        <v>1</v>
      </c>
    </row>
    <row r="552" spans="2:23" ht="9" customHeight="1" x14ac:dyDescent="0.45">
      <c r="B552" s="468"/>
      <c r="K552" s="451"/>
      <c r="L552" s="452"/>
      <c r="M552" s="527"/>
      <c r="N552" s="451"/>
      <c r="O552" s="535"/>
      <c r="P552" s="459"/>
      <c r="Q552" s="469"/>
      <c r="U552" s="521"/>
      <c r="V552" s="521"/>
    </row>
    <row r="553" spans="2:23" ht="9" customHeight="1" x14ac:dyDescent="0.45">
      <c r="B553" s="468"/>
      <c r="K553" s="451"/>
      <c r="L553" s="452"/>
      <c r="M553" s="527"/>
      <c r="N553" s="451"/>
      <c r="O553" s="531"/>
      <c r="P553" s="459"/>
      <c r="Q553" s="469"/>
    </row>
    <row r="554" spans="2:23" ht="31.5" customHeight="1" x14ac:dyDescent="0.45">
      <c r="B554" s="468"/>
      <c r="D554" s="463" t="str">
        <f>IF(W554=2,"NET PROFIT FOR THE YEAR AFTER TAXATION","NET LOSS FOR THE YEAR AFTER TAXATION")</f>
        <v>NET PROFIT FOR THE YEAR AFTER TAXATION</v>
      </c>
      <c r="K554" s="451"/>
      <c r="L554" s="452"/>
      <c r="M554" s="527"/>
      <c r="N554" s="451"/>
      <c r="O554" s="531">
        <f>SUM(O549:O552)</f>
        <v>0</v>
      </c>
      <c r="P554" s="459"/>
      <c r="Q554" s="469"/>
      <c r="U554" s="513" t="b">
        <f>O554=-SUM(TrialBalance!L5:L33)-SUM(TrialBalance!L39:L162)-SUM(TrialBalanceA!I5:I162)-SUM(TrialBalanceB!I5:I162)-SUM(TrialBalanceC!I5:I162)</f>
        <v>1</v>
      </c>
      <c r="W554" s="513">
        <f>IF(O554&lt;0,1,2)</f>
        <v>2</v>
      </c>
    </row>
    <row r="555" spans="2:23" ht="9" customHeight="1" thickBot="1" x14ac:dyDescent="0.5">
      <c r="B555" s="468"/>
      <c r="K555" s="451"/>
      <c r="L555" s="452"/>
      <c r="M555" s="527"/>
      <c r="N555" s="451"/>
      <c r="O555" s="536"/>
      <c r="P555" s="459"/>
      <c r="Q555" s="469"/>
    </row>
    <row r="556" spans="2:23" ht="9" customHeight="1" thickTop="1" x14ac:dyDescent="0.45">
      <c r="B556" s="468"/>
      <c r="K556" s="451"/>
      <c r="L556" s="452"/>
      <c r="M556" s="527"/>
      <c r="N556" s="451"/>
      <c r="O556" s="531"/>
      <c r="P556" s="459"/>
      <c r="Q556" s="469"/>
    </row>
    <row r="557" spans="2:23" ht="31.5" customHeight="1" x14ac:dyDescent="0.45">
      <c r="B557" s="468"/>
      <c r="K557" s="451"/>
      <c r="L557" s="452"/>
      <c r="M557" s="527"/>
      <c r="N557" s="451"/>
      <c r="O557" s="529"/>
      <c r="P557" s="459"/>
      <c r="Q557" s="469"/>
      <c r="U557" s="513" t="b">
        <f>O554=O2679</f>
        <v>1</v>
      </c>
    </row>
    <row r="558" spans="2:23" ht="31.5" customHeight="1" x14ac:dyDescent="0.45">
      <c r="B558" s="468"/>
      <c r="K558" s="451"/>
      <c r="L558" s="452"/>
      <c r="M558" s="527"/>
      <c r="N558" s="451"/>
      <c r="O558" s="529"/>
      <c r="P558" s="459"/>
      <c r="Q558" s="469"/>
    </row>
    <row r="559" spans="2:23" ht="31.5" customHeight="1" x14ac:dyDescent="0.45">
      <c r="B559" s="468"/>
      <c r="K559" s="451"/>
      <c r="L559" s="452"/>
      <c r="M559" s="527"/>
      <c r="N559" s="451"/>
      <c r="O559" s="529"/>
      <c r="P559" s="459"/>
      <c r="Q559" s="469"/>
    </row>
    <row r="560" spans="2:23" ht="31.5" customHeight="1" x14ac:dyDescent="0.45">
      <c r="B560" s="468"/>
      <c r="K560" s="451"/>
      <c r="L560" s="452"/>
      <c r="M560" s="527"/>
      <c r="N560" s="451"/>
      <c r="O560" s="529"/>
      <c r="P560" s="459"/>
      <c r="Q560" s="469"/>
    </row>
    <row r="561" spans="2:17" ht="31.5" customHeight="1" x14ac:dyDescent="0.45">
      <c r="B561" s="468"/>
      <c r="K561" s="451"/>
      <c r="L561" s="452"/>
      <c r="M561" s="527"/>
      <c r="N561" s="451"/>
      <c r="O561" s="529"/>
      <c r="P561" s="459"/>
      <c r="Q561" s="469"/>
    </row>
    <row r="562" spans="2:17" ht="31.5" customHeight="1" x14ac:dyDescent="0.45">
      <c r="B562" s="468"/>
      <c r="K562" s="451"/>
      <c r="L562" s="452"/>
      <c r="M562" s="527"/>
      <c r="N562" s="451"/>
      <c r="O562" s="529"/>
      <c r="P562" s="459"/>
      <c r="Q562" s="469"/>
    </row>
    <row r="563" spans="2:17" ht="31.5" customHeight="1" x14ac:dyDescent="0.45">
      <c r="B563" s="468"/>
      <c r="K563" s="451"/>
      <c r="L563" s="452"/>
      <c r="M563" s="527"/>
      <c r="N563" s="451"/>
      <c r="O563" s="529"/>
      <c r="P563" s="459"/>
      <c r="Q563" s="469"/>
    </row>
    <row r="564" spans="2:17" ht="31.5" customHeight="1" x14ac:dyDescent="0.45">
      <c r="B564" s="468"/>
      <c r="K564" s="451"/>
      <c r="L564" s="452"/>
      <c r="M564" s="527"/>
      <c r="N564" s="451"/>
      <c r="O564" s="529"/>
      <c r="P564" s="459"/>
      <c r="Q564" s="469"/>
    </row>
    <row r="565" spans="2:17" ht="31.5" customHeight="1" x14ac:dyDescent="0.45">
      <c r="B565" s="468"/>
      <c r="K565" s="451"/>
      <c r="L565" s="452"/>
      <c r="M565" s="527"/>
      <c r="N565" s="451"/>
      <c r="O565" s="529"/>
      <c r="P565" s="459"/>
      <c r="Q565" s="469"/>
    </row>
    <row r="566" spans="2:17" ht="31.5" customHeight="1" x14ac:dyDescent="0.45">
      <c r="B566" s="468"/>
      <c r="K566" s="451"/>
      <c r="L566" s="452"/>
      <c r="M566" s="527"/>
      <c r="N566" s="451"/>
      <c r="O566" s="529"/>
      <c r="P566" s="459"/>
      <c r="Q566" s="469"/>
    </row>
    <row r="567" spans="2:17" ht="31.5" customHeight="1" x14ac:dyDescent="0.45">
      <c r="B567" s="468"/>
      <c r="K567" s="451"/>
      <c r="L567" s="452"/>
      <c r="M567" s="527"/>
      <c r="N567" s="451"/>
      <c r="O567" s="529"/>
      <c r="P567" s="459"/>
      <c r="Q567" s="469"/>
    </row>
    <row r="568" spans="2:17" ht="31.5" customHeight="1" x14ac:dyDescent="0.45">
      <c r="B568" s="468"/>
      <c r="K568" s="451"/>
      <c r="L568" s="452"/>
      <c r="M568" s="527"/>
      <c r="N568" s="451"/>
      <c r="O568" s="529"/>
      <c r="P568" s="459"/>
      <c r="Q568" s="469"/>
    </row>
    <row r="569" spans="2:17" ht="31.5" customHeight="1" x14ac:dyDescent="0.45">
      <c r="B569" s="468"/>
      <c r="K569" s="451"/>
      <c r="L569" s="452"/>
      <c r="M569" s="527"/>
      <c r="N569" s="451"/>
      <c r="O569" s="529"/>
      <c r="P569" s="459"/>
      <c r="Q569" s="469"/>
    </row>
    <row r="570" spans="2:17" ht="31.5" customHeight="1" x14ac:dyDescent="0.45">
      <c r="B570" s="468"/>
      <c r="K570" s="451"/>
      <c r="L570" s="452"/>
      <c r="M570" s="527"/>
      <c r="N570" s="451"/>
      <c r="O570" s="529"/>
      <c r="P570" s="459"/>
      <c r="Q570" s="469"/>
    </row>
    <row r="571" spans="2:17" ht="31.5" customHeight="1" x14ac:dyDescent="0.45">
      <c r="B571" s="468"/>
      <c r="K571" s="451"/>
      <c r="L571" s="452"/>
      <c r="M571" s="527"/>
      <c r="N571" s="451"/>
      <c r="O571" s="529"/>
      <c r="P571" s="459"/>
      <c r="Q571" s="469"/>
    </row>
    <row r="572" spans="2:17" ht="31.5" customHeight="1" x14ac:dyDescent="0.45">
      <c r="B572" s="468"/>
      <c r="K572" s="451"/>
      <c r="L572" s="452"/>
      <c r="M572" s="527"/>
      <c r="N572" s="451"/>
      <c r="O572" s="529"/>
      <c r="P572" s="459"/>
      <c r="Q572" s="469"/>
    </row>
    <row r="573" spans="2:17" ht="31.5" customHeight="1" x14ac:dyDescent="0.45">
      <c r="B573" s="468"/>
      <c r="K573" s="451"/>
      <c r="L573" s="452"/>
      <c r="M573" s="527"/>
      <c r="N573" s="451"/>
      <c r="O573" s="529"/>
      <c r="P573" s="459"/>
      <c r="Q573" s="469"/>
    </row>
    <row r="574" spans="2:17" ht="31.5" customHeight="1" x14ac:dyDescent="0.45">
      <c r="B574" s="468"/>
      <c r="K574" s="451"/>
      <c r="L574" s="452"/>
      <c r="M574" s="527"/>
      <c r="N574" s="451"/>
      <c r="O574" s="529"/>
      <c r="P574" s="459"/>
      <c r="Q574" s="469"/>
    </row>
    <row r="575" spans="2:17" ht="31.5" customHeight="1" x14ac:dyDescent="0.45">
      <c r="B575" s="468"/>
      <c r="K575" s="451"/>
      <c r="L575" s="451"/>
      <c r="M575" s="529"/>
      <c r="N575" s="459"/>
      <c r="O575" s="529"/>
      <c r="P575" s="459"/>
      <c r="Q575" s="469"/>
    </row>
    <row r="576" spans="2:17" ht="31.5" customHeight="1" x14ac:dyDescent="0.45">
      <c r="B576" s="477"/>
      <c r="C576" s="461"/>
      <c r="D576" s="461"/>
      <c r="E576" s="461"/>
      <c r="F576" s="461"/>
      <c r="G576" s="461"/>
      <c r="H576" s="461"/>
      <c r="I576" s="461"/>
      <c r="J576" s="461"/>
      <c r="K576" s="483"/>
      <c r="L576" s="483"/>
      <c r="M576" s="540"/>
      <c r="N576" s="484"/>
      <c r="O576" s="540"/>
      <c r="P576" s="484"/>
      <c r="Q576" s="479"/>
    </row>
    <row r="577" spans="2:22" ht="31.5" customHeight="1" x14ac:dyDescent="0.45"/>
    <row r="578" spans="2:22" ht="31.5" customHeight="1" x14ac:dyDescent="0.45"/>
    <row r="579" spans="2:22" ht="31.5" customHeight="1" x14ac:dyDescent="0.45">
      <c r="D579" s="450" t="str">
        <f>Criteria!E9</f>
        <v>ABC COMPANY (PROPRIETARY) LIMITED</v>
      </c>
      <c r="O579" s="529" t="s">
        <v>121</v>
      </c>
      <c r="Q579" s="451">
        <f>MAX($Q$114:Q578)+1</f>
        <v>9</v>
      </c>
      <c r="S579" s="516"/>
      <c r="T579" s="516"/>
      <c r="U579" s="516"/>
      <c r="V579" s="516"/>
    </row>
    <row r="580" spans="2:22" ht="31.5" customHeight="1" x14ac:dyDescent="0.45">
      <c r="D580" s="450" t="str">
        <f>Criteria!E10</f>
        <v>T/A SEAFRONT HOTEL, SEAFRONT RESTAURANT AND RENTAL PROPERTIES</v>
      </c>
      <c r="R580" s="512" t="str">
        <f>IF(D580=0,"DELETE"," ")</f>
        <v xml:space="preserve"> </v>
      </c>
      <c r="S580" s="516"/>
      <c r="T580" s="516"/>
      <c r="U580" s="516"/>
      <c r="V580" s="516"/>
    </row>
    <row r="581" spans="2:22" ht="31.5" customHeight="1" x14ac:dyDescent="0.45">
      <c r="S581" s="516"/>
      <c r="T581" s="516"/>
      <c r="U581" s="516"/>
      <c r="V581" s="516"/>
    </row>
    <row r="582" spans="2:22" ht="31.5" customHeight="1" x14ac:dyDescent="0.45">
      <c r="D582" s="450" t="str">
        <f>CONCATENATE("STATEMENT OF FINANCIAL POSITION AS AT ",Criteria!E20)</f>
        <v>STATEMENT OF FINANCIAL POSITION AS AT 29 FEBRUARY 2024</v>
      </c>
      <c r="H582" s="450"/>
    </row>
    <row r="583" spans="2:22" ht="31.5" customHeight="1" x14ac:dyDescent="0.45"/>
    <row r="584" spans="2:22" ht="31.5" customHeight="1" x14ac:dyDescent="0.45">
      <c r="B584" s="465"/>
      <c r="C584" s="466"/>
      <c r="D584" s="466"/>
      <c r="E584" s="466"/>
      <c r="F584" s="466"/>
      <c r="G584" s="466"/>
      <c r="H584" s="466"/>
      <c r="I584" s="466"/>
      <c r="J584" s="466"/>
      <c r="K584" s="466"/>
      <c r="L584" s="466"/>
      <c r="M584" s="642"/>
      <c r="N584" s="643"/>
      <c r="O584" s="642"/>
      <c r="P584" s="643"/>
      <c r="Q584" s="467"/>
    </row>
    <row r="585" spans="2:22" ht="31.5" customHeight="1" x14ac:dyDescent="0.45">
      <c r="B585" s="468"/>
      <c r="K585" s="451" t="s">
        <v>129</v>
      </c>
      <c r="L585" s="452"/>
      <c r="M585" s="527"/>
      <c r="N585" s="451"/>
      <c r="O585" s="525">
        <f>Criteria!E22</f>
        <v>2024</v>
      </c>
      <c r="P585" s="458"/>
      <c r="Q585" s="469"/>
    </row>
    <row r="586" spans="2:22" ht="31.5" customHeight="1" x14ac:dyDescent="0.45">
      <c r="B586" s="468"/>
      <c r="K586" s="451"/>
      <c r="L586" s="452"/>
      <c r="M586" s="527"/>
      <c r="N586" s="451"/>
      <c r="O586" s="529"/>
      <c r="P586" s="459"/>
      <c r="Q586" s="469"/>
    </row>
    <row r="587" spans="2:22" ht="31.5" customHeight="1" x14ac:dyDescent="0.45">
      <c r="B587" s="468"/>
      <c r="C587" s="450" t="s">
        <v>130</v>
      </c>
      <c r="K587" s="451"/>
      <c r="L587" s="452"/>
      <c r="M587" s="527"/>
      <c r="N587" s="451"/>
      <c r="O587" s="529"/>
      <c r="P587" s="459"/>
      <c r="Q587" s="469"/>
    </row>
    <row r="588" spans="2:22" ht="31.5" customHeight="1" x14ac:dyDescent="0.45">
      <c r="B588" s="468"/>
      <c r="C588" s="450"/>
      <c r="K588" s="451"/>
      <c r="L588" s="452"/>
      <c r="M588" s="527"/>
      <c r="N588" s="451"/>
      <c r="O588" s="529"/>
      <c r="P588" s="459"/>
      <c r="Q588" s="469"/>
    </row>
    <row r="589" spans="2:22" ht="31.5" customHeight="1" x14ac:dyDescent="0.45">
      <c r="B589" s="468"/>
      <c r="D589" s="449" t="s">
        <v>13</v>
      </c>
      <c r="K589" s="451"/>
      <c r="L589" s="452"/>
      <c r="M589" s="527"/>
      <c r="N589" s="451"/>
      <c r="O589" s="531">
        <f>SUM(O591:O601)</f>
        <v>0</v>
      </c>
      <c r="P589" s="459"/>
      <c r="Q589" s="469"/>
      <c r="R589" s="512" t="str">
        <f>IF(O589=0,"DELETE"," ")</f>
        <v>DELETE</v>
      </c>
      <c r="S589" s="517">
        <f>O589</f>
        <v>0</v>
      </c>
      <c r="T589" s="517"/>
      <c r="U589" s="517"/>
      <c r="V589" s="517"/>
    </row>
    <row r="590" spans="2:22" ht="9" customHeight="1" x14ac:dyDescent="0.45">
      <c r="B590" s="468"/>
      <c r="D590" s="450"/>
      <c r="K590" s="451"/>
      <c r="L590" s="452"/>
      <c r="M590" s="527"/>
      <c r="N590" s="451"/>
      <c r="O590" s="531"/>
      <c r="P590" s="459"/>
      <c r="Q590" s="469"/>
      <c r="R590" s="512" t="str">
        <f>R589</f>
        <v>DELETE</v>
      </c>
    </row>
    <row r="591" spans="2:22" ht="9" customHeight="1" x14ac:dyDescent="0.45">
      <c r="B591" s="468"/>
      <c r="D591" s="450"/>
      <c r="K591" s="451"/>
      <c r="L591" s="452"/>
      <c r="M591" s="527"/>
      <c r="N591" s="451"/>
      <c r="O591" s="558"/>
      <c r="P591" s="459"/>
      <c r="Q591" s="469"/>
      <c r="R591" s="512" t="str">
        <f>R589</f>
        <v>DELETE</v>
      </c>
    </row>
    <row r="592" spans="2:22" ht="31.5" customHeight="1" x14ac:dyDescent="0.45">
      <c r="B592" s="468"/>
      <c r="D592" s="449" t="s">
        <v>1379</v>
      </c>
      <c r="K592" s="451">
        <f>B1407</f>
        <v>8</v>
      </c>
      <c r="L592" s="452"/>
      <c r="M592" s="527"/>
      <c r="N592" s="451"/>
      <c r="O592" s="559">
        <f>SUM(TrialBalance!L228:L238)</f>
        <v>0</v>
      </c>
      <c r="P592" s="459"/>
      <c r="Q592" s="469"/>
      <c r="R592" s="512" t="str">
        <f t="shared" ref="R592:R600" si="10">IF(O592=0,"DELETE"," ")</f>
        <v>DELETE</v>
      </c>
      <c r="U592" s="513" t="b">
        <f>O592=O1437</f>
        <v>1</v>
      </c>
    </row>
    <row r="593" spans="2:24" ht="31.5" customHeight="1" x14ac:dyDescent="0.45">
      <c r="B593" s="468"/>
      <c r="D593" s="449" t="s">
        <v>939</v>
      </c>
      <c r="K593" s="451">
        <f>B1517</f>
        <v>9</v>
      </c>
      <c r="L593" s="452"/>
      <c r="M593" s="527"/>
      <c r="N593" s="451"/>
      <c r="O593" s="559">
        <f>SUM(TrialBalance!L250:L281)</f>
        <v>0</v>
      </c>
      <c r="P593" s="459"/>
      <c r="Q593" s="469"/>
      <c r="R593" s="512" t="str">
        <f t="shared" si="10"/>
        <v>DELETE</v>
      </c>
      <c r="U593" s="518" t="b">
        <f>O593=O1543</f>
        <v>1</v>
      </c>
      <c r="V593" s="518"/>
      <c r="X593" s="518"/>
    </row>
    <row r="594" spans="2:24" ht="31.5" customHeight="1" x14ac:dyDescent="0.45">
      <c r="B594" s="468"/>
      <c r="D594" s="449" t="s">
        <v>1550</v>
      </c>
      <c r="K594" s="451">
        <f>B1587</f>
        <v>10</v>
      </c>
      <c r="L594" s="452"/>
      <c r="M594" s="527"/>
      <c r="N594" s="451"/>
      <c r="O594" s="559">
        <f>SUM(TrialBalance!L239:L249)</f>
        <v>0</v>
      </c>
      <c r="P594" s="459"/>
      <c r="Q594" s="469"/>
      <c r="R594" s="512" t="str">
        <f t="shared" si="10"/>
        <v>DELETE</v>
      </c>
      <c r="U594" s="518" t="b">
        <f>O594=O1617</f>
        <v>1</v>
      </c>
      <c r="V594" s="518"/>
      <c r="X594" s="518"/>
    </row>
    <row r="595" spans="2:24" ht="31.5" customHeight="1" x14ac:dyDescent="0.45">
      <c r="B595" s="468"/>
      <c r="D595" s="449" t="s">
        <v>1530</v>
      </c>
      <c r="K595" s="451">
        <f>B1699</f>
        <v>11</v>
      </c>
      <c r="L595" s="452"/>
      <c r="M595" s="527"/>
      <c r="N595" s="451"/>
      <c r="O595" s="559">
        <f>SUM(TrialBalance!L284:L300)</f>
        <v>0</v>
      </c>
      <c r="P595" s="459"/>
      <c r="Q595" s="469"/>
      <c r="R595" s="512" t="str">
        <f t="shared" si="10"/>
        <v>DELETE</v>
      </c>
      <c r="U595" s="518" t="b">
        <f>O595=O1764</f>
        <v>1</v>
      </c>
      <c r="V595" s="518"/>
      <c r="X595" s="518"/>
    </row>
    <row r="596" spans="2:24" ht="31.5" customHeight="1" x14ac:dyDescent="0.45">
      <c r="B596" s="468"/>
      <c r="D596" s="449" t="str">
        <f>IF(COUNTIF(TrialBalance!L303:L305,"&gt;0")&gt;1,"Investments in associates","Investment in associate")</f>
        <v>Investment in associate</v>
      </c>
      <c r="K596" s="451">
        <f>B1781</f>
        <v>12</v>
      </c>
      <c r="L596" s="452"/>
      <c r="M596" s="527"/>
      <c r="N596" s="451"/>
      <c r="O596" s="559">
        <f>SUM(TrialBalance!L303:L305)</f>
        <v>0</v>
      </c>
      <c r="P596" s="459"/>
      <c r="Q596" s="469"/>
      <c r="R596" s="512" t="str">
        <f t="shared" si="10"/>
        <v>DELETE</v>
      </c>
      <c r="U596" s="513" t="b">
        <f>O596=O1787</f>
        <v>1</v>
      </c>
    </row>
    <row r="597" spans="2:24" ht="31.5" customHeight="1" x14ac:dyDescent="0.45">
      <c r="B597" s="468"/>
      <c r="D597" s="449" t="str">
        <f>IF(COUNTIF(TrialBalance!L307:L311,"&gt;0")&gt;1,"Listed investments","Listed investment")</f>
        <v>Listed investment</v>
      </c>
      <c r="K597" s="451">
        <f>B1805</f>
        <v>13</v>
      </c>
      <c r="L597" s="452"/>
      <c r="M597" s="527"/>
      <c r="N597" s="451"/>
      <c r="O597" s="559">
        <f>SUM(TrialBalance!L307:L311)</f>
        <v>0</v>
      </c>
      <c r="P597" s="459"/>
      <c r="Q597" s="469"/>
      <c r="R597" s="512" t="str">
        <f t="shared" si="10"/>
        <v>DELETE</v>
      </c>
      <c r="U597" s="518" t="b">
        <f>O597=O1813</f>
        <v>1</v>
      </c>
      <c r="V597" s="518"/>
      <c r="X597" s="518"/>
    </row>
    <row r="598" spans="2:24" ht="31.5" customHeight="1" x14ac:dyDescent="0.45">
      <c r="B598" s="468"/>
      <c r="D598" s="449" t="str">
        <f>IF(COUNTIF(TrialBalance!L313:L317,"&gt;0")&gt;1,"Other investments","Other investment")</f>
        <v>Other investment</v>
      </c>
      <c r="K598" s="451">
        <f>B1836</f>
        <v>14</v>
      </c>
      <c r="L598" s="452"/>
      <c r="M598" s="527"/>
      <c r="N598" s="451"/>
      <c r="O598" s="559">
        <f>SUM(TrialBalance!L313:L317)</f>
        <v>0</v>
      </c>
      <c r="P598" s="459"/>
      <c r="Q598" s="469"/>
      <c r="R598" s="512" t="str">
        <f t="shared" si="10"/>
        <v>DELETE</v>
      </c>
      <c r="U598" s="518" t="b">
        <f>O598=O1844</f>
        <v>1</v>
      </c>
      <c r="V598" s="518"/>
      <c r="X598" s="518"/>
    </row>
    <row r="599" spans="2:24" ht="31.5" customHeight="1" x14ac:dyDescent="0.45">
      <c r="B599" s="468"/>
      <c r="D599" s="449" t="str">
        <f>IF(COUNTIF(TrialBalance!L318:L352,"&gt;0")&gt;1,"Non - current receivables","Non - current receivable")</f>
        <v>Non - current receivable</v>
      </c>
      <c r="K599" s="451">
        <f>B1866</f>
        <v>15</v>
      </c>
      <c r="L599" s="452"/>
      <c r="M599" s="527"/>
      <c r="N599" s="451"/>
      <c r="O599" s="559">
        <f>SUM(TrialBalance!L318:L352)</f>
        <v>0</v>
      </c>
      <c r="P599" s="459"/>
      <c r="Q599" s="469"/>
      <c r="R599" s="512" t="str">
        <f t="shared" si="10"/>
        <v>DELETE</v>
      </c>
      <c r="U599" s="518" t="b">
        <f>O599=O1907</f>
        <v>1</v>
      </c>
      <c r="V599" s="518"/>
    </row>
    <row r="600" spans="2:24" ht="31.5" customHeight="1" x14ac:dyDescent="0.45">
      <c r="B600" s="468"/>
      <c r="D600" s="449" t="s">
        <v>637</v>
      </c>
      <c r="K600" s="451">
        <f>B2192</f>
        <v>24</v>
      </c>
      <c r="L600" s="452"/>
      <c r="M600" s="527"/>
      <c r="N600" s="451"/>
      <c r="O600" s="559">
        <f>IF(SUM(TrialBalance!L220:L227)&gt;0,SUM(TrialBalance!L220:L227),0)</f>
        <v>0</v>
      </c>
      <c r="P600" s="459"/>
      <c r="Q600" s="469"/>
      <c r="R600" s="512" t="str">
        <f t="shared" si="10"/>
        <v>DELETE</v>
      </c>
      <c r="U600" s="518" t="str">
        <f>IF(O600=0,"TRUE",O600=-O2234)</f>
        <v>TRUE</v>
      </c>
      <c r="V600" s="518"/>
    </row>
    <row r="601" spans="2:24" ht="9" customHeight="1" x14ac:dyDescent="0.45">
      <c r="B601" s="468"/>
      <c r="K601" s="451"/>
      <c r="L601" s="452"/>
      <c r="M601" s="527"/>
      <c r="N601" s="451"/>
      <c r="O601" s="560"/>
      <c r="P601" s="459"/>
      <c r="Q601" s="469"/>
      <c r="R601" s="512" t="str">
        <f>R589</f>
        <v>DELETE</v>
      </c>
    </row>
    <row r="602" spans="2:24" ht="9" customHeight="1" x14ac:dyDescent="0.45">
      <c r="B602" s="468"/>
      <c r="K602" s="451"/>
      <c r="L602" s="452"/>
      <c r="M602" s="527"/>
      <c r="N602" s="451"/>
      <c r="O602" s="531"/>
      <c r="P602" s="459"/>
      <c r="Q602" s="469"/>
      <c r="R602" s="512" t="str">
        <f>R589</f>
        <v>DELETE</v>
      </c>
    </row>
    <row r="603" spans="2:24" ht="31.5" customHeight="1" x14ac:dyDescent="0.45">
      <c r="B603" s="468"/>
      <c r="K603" s="451"/>
      <c r="L603" s="452"/>
      <c r="M603" s="527"/>
      <c r="N603" s="451"/>
      <c r="O603" s="531"/>
      <c r="P603" s="459"/>
      <c r="Q603" s="469"/>
      <c r="R603" s="512" t="str">
        <f>R589</f>
        <v>DELETE</v>
      </c>
    </row>
    <row r="604" spans="2:24" ht="31.5" customHeight="1" x14ac:dyDescent="0.45">
      <c r="B604" s="468"/>
      <c r="D604" s="449" t="s">
        <v>14</v>
      </c>
      <c r="K604" s="451"/>
      <c r="L604" s="452"/>
      <c r="M604" s="527"/>
      <c r="N604" s="451"/>
      <c r="O604" s="531">
        <f>SUM(O607:O611)</f>
        <v>0</v>
      </c>
      <c r="P604" s="459"/>
      <c r="Q604" s="469"/>
      <c r="R604" s="512" t="str">
        <f>IF(O604=0,"DELETE"," ")</f>
        <v>DELETE</v>
      </c>
      <c r="S604" s="517">
        <f>O604</f>
        <v>0</v>
      </c>
      <c r="T604" s="517"/>
      <c r="U604" s="517"/>
      <c r="V604" s="517"/>
    </row>
    <row r="605" spans="2:24" ht="9" customHeight="1" x14ac:dyDescent="0.45">
      <c r="B605" s="468"/>
      <c r="K605" s="451"/>
      <c r="L605" s="452"/>
      <c r="M605" s="527"/>
      <c r="N605" s="451"/>
      <c r="O605" s="531"/>
      <c r="P605" s="459"/>
      <c r="Q605" s="469"/>
      <c r="R605" s="512" t="str">
        <f>R604</f>
        <v>DELETE</v>
      </c>
    </row>
    <row r="606" spans="2:24" ht="9" customHeight="1" x14ac:dyDescent="0.45">
      <c r="B606" s="468"/>
      <c r="K606" s="451"/>
      <c r="L606" s="452"/>
      <c r="M606" s="527"/>
      <c r="N606" s="451"/>
      <c r="O606" s="558"/>
      <c r="P606" s="459"/>
      <c r="Q606" s="469"/>
      <c r="R606" s="512" t="str">
        <f>R604</f>
        <v>DELETE</v>
      </c>
    </row>
    <row r="607" spans="2:24" ht="31.5" customHeight="1" x14ac:dyDescent="0.45">
      <c r="B607" s="468"/>
      <c r="D607" s="449" t="s">
        <v>1315</v>
      </c>
      <c r="K607" s="451">
        <f>B1924</f>
        <v>16</v>
      </c>
      <c r="L607" s="452"/>
      <c r="M607" s="527"/>
      <c r="N607" s="451"/>
      <c r="O607" s="559">
        <f>SUM(TrialBalance!L354:L357)</f>
        <v>0</v>
      </c>
      <c r="P607" s="459"/>
      <c r="Q607" s="469"/>
      <c r="R607" s="512" t="str">
        <f t="shared" ref="R607:R610" si="11">IF(O607=0,"DELETE"," ")</f>
        <v>DELETE</v>
      </c>
      <c r="U607" s="518" t="b">
        <f>O607=O1932</f>
        <v>1</v>
      </c>
      <c r="V607" s="518"/>
      <c r="X607" s="518"/>
    </row>
    <row r="608" spans="2:24" ht="31.5" customHeight="1" x14ac:dyDescent="0.45">
      <c r="B608" s="468"/>
      <c r="D608" s="449" t="s">
        <v>931</v>
      </c>
      <c r="K608" s="451">
        <f>B1949</f>
        <v>17</v>
      </c>
      <c r="L608" s="452"/>
      <c r="M608" s="527"/>
      <c r="N608" s="451"/>
      <c r="O608" s="559">
        <f>SUM(TrialBalance!L359:L364)+IF(TrialBalance!L398&gt;0,TrialBalance!L398,0)</f>
        <v>0</v>
      </c>
      <c r="P608" s="459"/>
      <c r="Q608" s="469"/>
      <c r="R608" s="512" t="str">
        <f t="shared" si="11"/>
        <v>DELETE</v>
      </c>
      <c r="U608" s="518" t="b">
        <f>O608=O1962</f>
        <v>1</v>
      </c>
      <c r="V608" s="518"/>
    </row>
    <row r="609" spans="2:22" ht="31.5" customHeight="1" x14ac:dyDescent="0.45">
      <c r="B609" s="468"/>
      <c r="D609" s="449" t="s">
        <v>807</v>
      </c>
      <c r="K609" s="451">
        <f>B1980</f>
        <v>18</v>
      </c>
      <c r="L609" s="452"/>
      <c r="M609" s="527"/>
      <c r="N609" s="451"/>
      <c r="O609" s="559">
        <f>TrialBalance!L372+IF(TrialBalance!L366&gt;0,TrialBalance!L366,0)+IF(TrialBalance!L367&gt;0,TrialBalance!L367,0)+IF(TrialBalance!L368&gt;0,TrialBalance!L368,0)+IF(TrialBalance!L369&gt;0,TrialBalance!L369,0)+IF(TrialBalance!L370&gt;0,TrialBalance!L370,0)+IF(TrialBalance!L371&gt;0,TrialBalance!L371,0)</f>
        <v>0</v>
      </c>
      <c r="P609" s="459"/>
      <c r="Q609" s="469"/>
      <c r="R609" s="512" t="str">
        <f t="shared" si="11"/>
        <v>DELETE</v>
      </c>
      <c r="U609" s="518" t="b">
        <f>O609=O1990</f>
        <v>1</v>
      </c>
      <c r="V609" s="518"/>
    </row>
    <row r="610" spans="2:22" ht="31.5" customHeight="1" x14ac:dyDescent="0.45">
      <c r="B610" s="468"/>
      <c r="D610" s="449" t="s">
        <v>766</v>
      </c>
      <c r="K610" s="451">
        <f>B2356</f>
        <v>29</v>
      </c>
      <c r="L610" s="452"/>
      <c r="M610" s="527"/>
      <c r="N610" s="451"/>
      <c r="O610" s="559">
        <f>IF(SUM(TrialBalance!L385:L391)&gt;0,SUM(TrialBalance!L385:L391),0)</f>
        <v>0</v>
      </c>
      <c r="P610" s="459"/>
      <c r="Q610" s="469"/>
      <c r="R610" s="512" t="str">
        <f t="shared" si="11"/>
        <v>DELETE</v>
      </c>
      <c r="U610" s="518" t="str">
        <f>IF(O610=0,"TRUE",O610=-O2366)</f>
        <v>TRUE</v>
      </c>
      <c r="V610" s="518"/>
    </row>
    <row r="611" spans="2:22" ht="9" customHeight="1" x14ac:dyDescent="0.45">
      <c r="B611" s="468"/>
      <c r="K611" s="451"/>
      <c r="L611" s="452"/>
      <c r="M611" s="527"/>
      <c r="N611" s="451"/>
      <c r="O611" s="560"/>
      <c r="P611" s="459"/>
      <c r="Q611" s="469"/>
      <c r="R611" s="512" t="str">
        <f>R604</f>
        <v>DELETE</v>
      </c>
    </row>
    <row r="612" spans="2:22" ht="9" customHeight="1" x14ac:dyDescent="0.45">
      <c r="B612" s="468"/>
      <c r="K612" s="451"/>
      <c r="L612" s="452"/>
      <c r="M612" s="527"/>
      <c r="N612" s="451"/>
      <c r="O612" s="531"/>
      <c r="P612" s="459"/>
      <c r="Q612" s="469"/>
      <c r="R612" s="512" t="str">
        <f>R604</f>
        <v>DELETE</v>
      </c>
    </row>
    <row r="613" spans="2:22" ht="31.5" customHeight="1" x14ac:dyDescent="0.45">
      <c r="B613" s="468"/>
      <c r="K613" s="451"/>
      <c r="L613" s="452"/>
      <c r="M613" s="527"/>
      <c r="N613" s="451"/>
      <c r="O613" s="531"/>
      <c r="P613" s="459"/>
      <c r="Q613" s="469"/>
      <c r="R613" s="512" t="str">
        <f>R604</f>
        <v>DELETE</v>
      </c>
    </row>
    <row r="614" spans="2:22" ht="9" customHeight="1" x14ac:dyDescent="0.45">
      <c r="B614" s="468"/>
      <c r="K614" s="451"/>
      <c r="L614" s="452"/>
      <c r="M614" s="527"/>
      <c r="N614" s="451"/>
      <c r="O614" s="535"/>
      <c r="P614" s="459"/>
      <c r="Q614" s="469"/>
    </row>
    <row r="615" spans="2:22" ht="9" customHeight="1" x14ac:dyDescent="0.45">
      <c r="B615" s="468"/>
      <c r="K615" s="451"/>
      <c r="L615" s="452"/>
      <c r="M615" s="527"/>
      <c r="N615" s="451"/>
      <c r="O615" s="531"/>
      <c r="P615" s="459"/>
      <c r="Q615" s="469"/>
    </row>
    <row r="616" spans="2:22" ht="31.5" customHeight="1" x14ac:dyDescent="0.45">
      <c r="B616" s="468"/>
      <c r="D616" s="449" t="s">
        <v>131</v>
      </c>
      <c r="K616" s="451"/>
      <c r="L616" s="452"/>
      <c r="M616" s="527"/>
      <c r="N616" s="451"/>
      <c r="O616" s="531">
        <f>SUM(S589:S614)</f>
        <v>0</v>
      </c>
      <c r="P616" s="459"/>
      <c r="Q616" s="469"/>
      <c r="U616" s="519" t="b">
        <f>O616=O655</f>
        <v>1</v>
      </c>
      <c r="V616" s="519"/>
    </row>
    <row r="617" spans="2:22" ht="9" customHeight="1" thickBot="1" x14ac:dyDescent="0.5">
      <c r="B617" s="468"/>
      <c r="K617" s="451"/>
      <c r="L617" s="452"/>
      <c r="M617" s="527"/>
      <c r="N617" s="451"/>
      <c r="O617" s="536"/>
      <c r="P617" s="459"/>
      <c r="Q617" s="469"/>
    </row>
    <row r="618" spans="2:22" ht="9" customHeight="1" thickTop="1" x14ac:dyDescent="0.45">
      <c r="B618" s="468"/>
      <c r="K618" s="451"/>
      <c r="L618" s="452"/>
      <c r="M618" s="527"/>
      <c r="N618" s="451"/>
      <c r="O618" s="531"/>
      <c r="P618" s="459"/>
      <c r="Q618" s="469"/>
    </row>
    <row r="619" spans="2:22" ht="31.5" customHeight="1" x14ac:dyDescent="0.45">
      <c r="B619" s="468"/>
      <c r="K619" s="451"/>
      <c r="L619" s="452"/>
      <c r="M619" s="527"/>
      <c r="N619" s="451"/>
      <c r="O619" s="531"/>
      <c r="P619" s="459"/>
      <c r="Q619" s="469"/>
    </row>
    <row r="620" spans="2:22" ht="31.5" customHeight="1" x14ac:dyDescent="0.45">
      <c r="B620" s="468"/>
      <c r="C620" s="450" t="s">
        <v>132</v>
      </c>
      <c r="K620" s="451"/>
      <c r="L620" s="452"/>
      <c r="M620" s="527"/>
      <c r="N620" s="451"/>
      <c r="O620" s="531"/>
      <c r="P620" s="459"/>
      <c r="Q620" s="469"/>
    </row>
    <row r="621" spans="2:22" ht="31.5" customHeight="1" x14ac:dyDescent="0.45">
      <c r="B621" s="468"/>
      <c r="C621" s="450"/>
      <c r="K621" s="451"/>
      <c r="L621" s="452"/>
      <c r="M621" s="527"/>
      <c r="N621" s="451"/>
      <c r="O621" s="531"/>
      <c r="P621" s="459"/>
      <c r="Q621" s="469"/>
    </row>
    <row r="622" spans="2:22" ht="31.5" customHeight="1" x14ac:dyDescent="0.45">
      <c r="B622" s="468"/>
      <c r="D622" s="449" t="s">
        <v>133</v>
      </c>
      <c r="K622" s="451"/>
      <c r="L622" s="452"/>
      <c r="M622" s="527"/>
      <c r="N622" s="451"/>
      <c r="O622" s="531">
        <f>SUM(O625:O628)</f>
        <v>0</v>
      </c>
      <c r="P622" s="459"/>
      <c r="Q622" s="469"/>
      <c r="S622" s="517">
        <f>O622</f>
        <v>0</v>
      </c>
      <c r="T622" s="517"/>
      <c r="U622" s="517"/>
      <c r="V622" s="517"/>
    </row>
    <row r="623" spans="2:22" ht="9" customHeight="1" x14ac:dyDescent="0.45">
      <c r="B623" s="468"/>
      <c r="K623" s="451"/>
      <c r="L623" s="452"/>
      <c r="M623" s="527"/>
      <c r="N623" s="451"/>
      <c r="O623" s="531"/>
      <c r="P623" s="459"/>
      <c r="Q623" s="469"/>
    </row>
    <row r="624" spans="2:22" ht="9" customHeight="1" x14ac:dyDescent="0.45">
      <c r="B624" s="468"/>
      <c r="K624" s="451"/>
      <c r="L624" s="452"/>
      <c r="M624" s="527"/>
      <c r="N624" s="451"/>
      <c r="O624" s="558"/>
      <c r="P624" s="459"/>
      <c r="Q624" s="469"/>
    </row>
    <row r="625" spans="2:22" ht="31.5" customHeight="1" x14ac:dyDescent="0.45">
      <c r="B625" s="468"/>
      <c r="D625" s="449" t="s">
        <v>638</v>
      </c>
      <c r="K625" s="451">
        <f>B2035</f>
        <v>19</v>
      </c>
      <c r="L625" s="452"/>
      <c r="M625" s="527"/>
      <c r="N625" s="451"/>
      <c r="O625" s="559">
        <f>-SUM(TrialBalance!L169:L170)</f>
        <v>0</v>
      </c>
      <c r="P625" s="459"/>
      <c r="Q625" s="469"/>
      <c r="U625" s="518" t="b">
        <f>O2041=O625</f>
        <v>1</v>
      </c>
      <c r="V625" s="518"/>
    </row>
    <row r="626" spans="2:22" ht="31.5" customHeight="1" x14ac:dyDescent="0.45">
      <c r="B626" s="468"/>
      <c r="D626" s="449" t="s">
        <v>639</v>
      </c>
      <c r="K626" s="451">
        <f>B2057</f>
        <v>20</v>
      </c>
      <c r="L626" s="452"/>
      <c r="M626" s="527"/>
      <c r="N626" s="451"/>
      <c r="O626" s="559">
        <f>-SUM(TrialBalance!L172:L174)</f>
        <v>0</v>
      </c>
      <c r="P626" s="459"/>
      <c r="Q626" s="469"/>
      <c r="R626" s="512" t="str">
        <f t="shared" ref="R626:R627" si="12">IF(O626=0,"DELETE"," ")</f>
        <v>DELETE</v>
      </c>
      <c r="U626" s="518" t="b">
        <f>O626=O2063</f>
        <v>1</v>
      </c>
      <c r="V626" s="518"/>
    </row>
    <row r="627" spans="2:22" ht="31.5" customHeight="1" x14ac:dyDescent="0.45">
      <c r="B627" s="468"/>
      <c r="D627" s="449" t="s">
        <v>15</v>
      </c>
      <c r="K627" s="451">
        <f>B2080</f>
        <v>21</v>
      </c>
      <c r="L627" s="452"/>
      <c r="M627" s="527"/>
      <c r="N627" s="451"/>
      <c r="O627" s="559">
        <f>-SUM(TrialBalance!L176:L178)-SUM(TrialBalance!L180:L182)</f>
        <v>0</v>
      </c>
      <c r="P627" s="459"/>
      <c r="Q627" s="469"/>
      <c r="R627" s="512" t="str">
        <f t="shared" si="12"/>
        <v>DELETE</v>
      </c>
      <c r="U627" s="518" t="b">
        <f>O627=O2098</f>
        <v>1</v>
      </c>
      <c r="V627" s="518"/>
    </row>
    <row r="628" spans="2:22" ht="31.5" customHeight="1" x14ac:dyDescent="0.45">
      <c r="B628" s="468"/>
      <c r="D628" s="463" t="str">
        <f>IF(O628&lt;0,"Accumulated loss","Retained income")</f>
        <v>Retained income</v>
      </c>
      <c r="K628" s="451"/>
      <c r="L628" s="452"/>
      <c r="M628" s="527"/>
      <c r="N628" s="451"/>
      <c r="O628" s="562">
        <f>-TrialBalance!L183-SUM(TrialBalance!L5:L165)</f>
        <v>0</v>
      </c>
      <c r="P628" s="459"/>
      <c r="Q628" s="469"/>
      <c r="U628" s="518" t="b">
        <f>O628=O710</f>
        <v>1</v>
      </c>
      <c r="V628" s="518"/>
    </row>
    <row r="629" spans="2:22" ht="9" customHeight="1" x14ac:dyDescent="0.45">
      <c r="B629" s="468"/>
      <c r="K629" s="451"/>
      <c r="L629" s="452"/>
      <c r="M629" s="527"/>
      <c r="N629" s="451"/>
      <c r="O629" s="560"/>
      <c r="P629" s="459"/>
      <c r="Q629" s="469"/>
    </row>
    <row r="630" spans="2:22" ht="9" customHeight="1" x14ac:dyDescent="0.45">
      <c r="B630" s="468"/>
      <c r="K630" s="451"/>
      <c r="L630" s="452"/>
      <c r="M630" s="527"/>
      <c r="N630" s="451"/>
      <c r="O630" s="531"/>
      <c r="P630" s="459"/>
      <c r="Q630" s="469"/>
    </row>
    <row r="631" spans="2:22" ht="31.5" customHeight="1" x14ac:dyDescent="0.45">
      <c r="B631" s="468"/>
      <c r="K631" s="451"/>
      <c r="L631" s="452"/>
      <c r="M631" s="527"/>
      <c r="N631" s="451"/>
      <c r="O631" s="531"/>
      <c r="P631" s="459"/>
      <c r="Q631" s="469"/>
      <c r="U631" s="518">
        <f>O628-O710</f>
        <v>0</v>
      </c>
    </row>
    <row r="632" spans="2:22" ht="31.5" customHeight="1" x14ac:dyDescent="0.45">
      <c r="B632" s="468"/>
      <c r="D632" s="449" t="s">
        <v>134</v>
      </c>
      <c r="K632" s="451"/>
      <c r="L632" s="452"/>
      <c r="M632" s="527"/>
      <c r="N632" s="451"/>
      <c r="O632" s="531">
        <f>SUM(O635:O638)</f>
        <v>0</v>
      </c>
      <c r="P632" s="459"/>
      <c r="Q632" s="469"/>
      <c r="R632" s="512" t="str">
        <f t="shared" ref="R632" si="13">IF(O632=0,"DELETE"," ")</f>
        <v>DELETE</v>
      </c>
      <c r="S632" s="517">
        <f>O632</f>
        <v>0</v>
      </c>
      <c r="T632" s="517"/>
      <c r="U632" s="517"/>
      <c r="V632" s="517"/>
    </row>
    <row r="633" spans="2:22" ht="9" customHeight="1" x14ac:dyDescent="0.45">
      <c r="B633" s="468"/>
      <c r="K633" s="451"/>
      <c r="L633" s="452"/>
      <c r="M633" s="527"/>
      <c r="N633" s="451"/>
      <c r="O633" s="531"/>
      <c r="P633" s="459"/>
      <c r="Q633" s="469"/>
      <c r="R633" s="512" t="str">
        <f>R632</f>
        <v>DELETE</v>
      </c>
    </row>
    <row r="634" spans="2:22" ht="9" customHeight="1" x14ac:dyDescent="0.45">
      <c r="B634" s="468"/>
      <c r="K634" s="451"/>
      <c r="L634" s="452"/>
      <c r="M634" s="527"/>
      <c r="N634" s="451"/>
      <c r="O634" s="558"/>
      <c r="P634" s="459"/>
      <c r="Q634" s="469"/>
      <c r="R634" s="512" t="str">
        <f>R632</f>
        <v>DELETE</v>
      </c>
    </row>
    <row r="635" spans="2:22" ht="31.5" customHeight="1" x14ac:dyDescent="0.45">
      <c r="B635" s="468"/>
      <c r="D635" s="449" t="str">
        <f>IF(COUNTIF(TrialBalance!L185:L199,"&lt;0")&gt;1,"Interest bearing borrowings","Interest bearing borrowing")</f>
        <v>Interest bearing borrowing</v>
      </c>
      <c r="K635" s="451">
        <f>B2115</f>
        <v>22</v>
      </c>
      <c r="L635" s="452"/>
      <c r="M635" s="527"/>
      <c r="N635" s="451"/>
      <c r="O635" s="559">
        <f>-SUM(TrialBalance!L185:L200)</f>
        <v>0</v>
      </c>
      <c r="P635" s="459"/>
      <c r="Q635" s="469"/>
      <c r="R635" s="512" t="str">
        <f t="shared" ref="R635:R637" si="14">IF(O635=0,"DELETE"," ")</f>
        <v>DELETE</v>
      </c>
      <c r="U635" s="513" t="b">
        <f>O635=O2137</f>
        <v>1</v>
      </c>
    </row>
    <row r="636" spans="2:22" ht="31.5" customHeight="1" x14ac:dyDescent="0.45">
      <c r="B636" s="468"/>
      <c r="D636" s="449" t="str">
        <f>IF(COUNTIF(TrialBalance!L202:L218,"&lt;0")&gt;1,"Interest free borrowings","Interest free borrowing")</f>
        <v>Interest free borrowing</v>
      </c>
      <c r="K636" s="451">
        <f>B2154</f>
        <v>23</v>
      </c>
      <c r="L636" s="452"/>
      <c r="M636" s="527"/>
      <c r="N636" s="451"/>
      <c r="O636" s="559">
        <f>-SUM(TrialBalance!L202:L218)</f>
        <v>0</v>
      </c>
      <c r="P636" s="459"/>
      <c r="Q636" s="469"/>
      <c r="R636" s="512" t="str">
        <f t="shared" si="14"/>
        <v>DELETE</v>
      </c>
      <c r="U636" s="513" t="b">
        <f>O636=O2174</f>
        <v>1</v>
      </c>
    </row>
    <row r="637" spans="2:22" ht="31.5" customHeight="1" x14ac:dyDescent="0.45">
      <c r="B637" s="468"/>
      <c r="D637" s="449" t="s">
        <v>640</v>
      </c>
      <c r="K637" s="451">
        <f>B2192</f>
        <v>24</v>
      </c>
      <c r="L637" s="452"/>
      <c r="M637" s="527"/>
      <c r="N637" s="451"/>
      <c r="O637" s="559">
        <f>IF(SUM(TrialBalance!L220:L227)&gt;0,0,-SUM(TrialBalance!L220:L227))</f>
        <v>0</v>
      </c>
      <c r="P637" s="459"/>
      <c r="Q637" s="469"/>
      <c r="R637" s="512" t="str">
        <f t="shared" si="14"/>
        <v>DELETE</v>
      </c>
      <c r="U637" s="518" t="str">
        <f>IF(O637=0,"TRUE",O637=O2234)</f>
        <v>TRUE</v>
      </c>
      <c r="V637" s="518"/>
    </row>
    <row r="638" spans="2:22" ht="9" customHeight="1" x14ac:dyDescent="0.45">
      <c r="B638" s="468"/>
      <c r="K638" s="451"/>
      <c r="L638" s="452"/>
      <c r="M638" s="527"/>
      <c r="N638" s="451"/>
      <c r="O638" s="560"/>
      <c r="P638" s="459"/>
      <c r="Q638" s="469"/>
      <c r="R638" s="512" t="str">
        <f>R632</f>
        <v>DELETE</v>
      </c>
    </row>
    <row r="639" spans="2:22" ht="9" customHeight="1" x14ac:dyDescent="0.45">
      <c r="B639" s="468"/>
      <c r="K639" s="451"/>
      <c r="L639" s="452"/>
      <c r="M639" s="527"/>
      <c r="N639" s="451"/>
      <c r="O639" s="531"/>
      <c r="P639" s="459"/>
      <c r="Q639" s="469"/>
      <c r="R639" s="512" t="str">
        <f>R632</f>
        <v>DELETE</v>
      </c>
    </row>
    <row r="640" spans="2:22" ht="31.5" customHeight="1" x14ac:dyDescent="0.45">
      <c r="B640" s="468"/>
      <c r="K640" s="451"/>
      <c r="L640" s="452"/>
      <c r="M640" s="527"/>
      <c r="N640" s="451"/>
      <c r="O640" s="531"/>
      <c r="P640" s="459"/>
      <c r="Q640" s="469"/>
      <c r="R640" s="512" t="str">
        <f>R632</f>
        <v>DELETE</v>
      </c>
    </row>
    <row r="641" spans="2:22" ht="31.5" customHeight="1" x14ac:dyDescent="0.45">
      <c r="B641" s="468"/>
      <c r="D641" s="449" t="s">
        <v>135</v>
      </c>
      <c r="K641" s="451"/>
      <c r="L641" s="452"/>
      <c r="M641" s="527"/>
      <c r="N641" s="451"/>
      <c r="O641" s="531">
        <f>SUM(O644:O649)</f>
        <v>0</v>
      </c>
      <c r="P641" s="459"/>
      <c r="Q641" s="469"/>
      <c r="R641" s="512" t="str">
        <f t="shared" ref="R641" si="15">IF(O641=0,"DELETE"," ")</f>
        <v>DELETE</v>
      </c>
      <c r="S641" s="517">
        <f>O641</f>
        <v>0</v>
      </c>
      <c r="T641" s="517"/>
      <c r="U641" s="517"/>
      <c r="V641" s="517"/>
    </row>
    <row r="642" spans="2:22" ht="9" customHeight="1" x14ac:dyDescent="0.45">
      <c r="B642" s="468"/>
      <c r="K642" s="451"/>
      <c r="L642" s="452"/>
      <c r="M642" s="527"/>
      <c r="N642" s="451"/>
      <c r="O642" s="531"/>
      <c r="P642" s="459"/>
      <c r="Q642" s="469"/>
      <c r="R642" s="512" t="str">
        <f>R641</f>
        <v>DELETE</v>
      </c>
    </row>
    <row r="643" spans="2:22" ht="9" customHeight="1" x14ac:dyDescent="0.45">
      <c r="B643" s="468"/>
      <c r="K643" s="451"/>
      <c r="L643" s="452"/>
      <c r="M643" s="527"/>
      <c r="N643" s="451"/>
      <c r="O643" s="558"/>
      <c r="P643" s="459"/>
      <c r="Q643" s="469"/>
      <c r="R643" s="512" t="str">
        <f>R641</f>
        <v>DELETE</v>
      </c>
    </row>
    <row r="644" spans="2:22" ht="31.5" customHeight="1" x14ac:dyDescent="0.45">
      <c r="B644" s="468"/>
      <c r="D644" s="449" t="s">
        <v>940</v>
      </c>
      <c r="K644" s="451">
        <f>B2256</f>
        <v>25</v>
      </c>
      <c r="L644" s="452"/>
      <c r="M644" s="527"/>
      <c r="N644" s="451"/>
      <c r="O644" s="559">
        <f>-SUM(TrialBalance!L378:L383)-IF(TrialBalance!L398&lt;0,TrialBalance!L398,0)</f>
        <v>0</v>
      </c>
      <c r="P644" s="459"/>
      <c r="Q644" s="469"/>
      <c r="R644" s="512" t="str">
        <f t="shared" ref="R644:R649" si="16">IF(O644=0,"DELETE"," ")</f>
        <v>DELETE</v>
      </c>
      <c r="U644" s="513" t="b">
        <f>O644=O2265</f>
        <v>1</v>
      </c>
    </row>
    <row r="645" spans="2:22" ht="31.5" customHeight="1" x14ac:dyDescent="0.45">
      <c r="B645" s="468"/>
      <c r="D645" s="449" t="str">
        <f>IF(COUNTIF(TrialBalance!L366:L371,"&lt;0")&gt;1,"Bank overdrafts","Bank overdraft")</f>
        <v>Bank overdraft</v>
      </c>
      <c r="K645" s="451">
        <f>B2282</f>
        <v>26</v>
      </c>
      <c r="L645" s="452"/>
      <c r="M645" s="527"/>
      <c r="N645" s="451"/>
      <c r="O645" s="559">
        <f>IF(TrialBalance!L366&lt;0,-TrialBalance!L366,0)+IF(TrialBalance!L367&lt;0,-TrialBalance!L367,0)+IF(TrialBalance!L368&lt;0,-TrialBalance!L368,0)+IF(TrialBalance!L369&lt;0,-TrialBalance!L369,0)+IF(TrialBalance!L370&lt;0,-TrialBalance!L370,0)+IF(TrialBalance!L371&lt;0,-TrialBalance!L371,0)</f>
        <v>0</v>
      </c>
      <c r="P645" s="459"/>
      <c r="Q645" s="469"/>
      <c r="R645" s="512" t="str">
        <f t="shared" si="16"/>
        <v>DELETE</v>
      </c>
      <c r="U645" s="513" t="b">
        <f>O645=O2291</f>
        <v>1</v>
      </c>
    </row>
    <row r="646" spans="2:22" ht="31.5" customHeight="1" x14ac:dyDescent="0.45">
      <c r="B646" s="468"/>
      <c r="D646" s="449" t="str">
        <f>IF(COUNTIF(TrialBalance!L374:L376,"&lt;0")&gt;1,"Short term loans","Short term loan")</f>
        <v>Short term loan</v>
      </c>
      <c r="K646" s="451">
        <f>B2308</f>
        <v>27</v>
      </c>
      <c r="L646" s="452"/>
      <c r="M646" s="527"/>
      <c r="N646" s="451"/>
      <c r="O646" s="559">
        <f>-SUM(TrialBalance!L374:L376)</f>
        <v>0</v>
      </c>
      <c r="P646" s="459"/>
      <c r="Q646" s="469"/>
      <c r="R646" s="512" t="str">
        <f t="shared" si="16"/>
        <v>DELETE</v>
      </c>
      <c r="U646" s="513" t="b">
        <f>O646=O2314</f>
        <v>1</v>
      </c>
    </row>
    <row r="647" spans="2:22" ht="31.5" customHeight="1" x14ac:dyDescent="0.45">
      <c r="B647" s="468"/>
      <c r="D647" s="449" t="str">
        <f>IF(COUNTIF(TrialBalance!L185:L199,"&lt;0")&gt;1,"Current portion of interest bearing borrowings","Current portion of interest bearing borrowing")</f>
        <v>Current portion of interest bearing borrowing</v>
      </c>
      <c r="K647" s="451">
        <f>B2115</f>
        <v>22</v>
      </c>
      <c r="L647" s="452"/>
      <c r="M647" s="527"/>
      <c r="N647" s="451"/>
      <c r="O647" s="559">
        <f>-TrialBalance!L377</f>
        <v>0</v>
      </c>
      <c r="P647" s="459"/>
      <c r="Q647" s="469"/>
      <c r="R647" s="512" t="str">
        <f t="shared" si="16"/>
        <v>DELETE</v>
      </c>
      <c r="U647" s="513" t="b">
        <f>O647=O2134</f>
        <v>1</v>
      </c>
    </row>
    <row r="648" spans="2:22" ht="31.5" customHeight="1" x14ac:dyDescent="0.45">
      <c r="B648" s="468"/>
      <c r="D648" s="449" t="str">
        <f>IF(COUNTIF(TrialBalance!L392:L396,"&lt;0")&gt;1,"Provisions","Provision")</f>
        <v>Provision</v>
      </c>
      <c r="K648" s="451">
        <f>B2331</f>
        <v>28</v>
      </c>
      <c r="L648" s="452"/>
      <c r="M648" s="527"/>
      <c r="N648" s="451"/>
      <c r="O648" s="559">
        <f>-SUM(TrialBalance!L392:L396)</f>
        <v>0</v>
      </c>
      <c r="P648" s="459"/>
      <c r="Q648" s="469"/>
      <c r="R648" s="512" t="str">
        <f t="shared" si="16"/>
        <v>DELETE</v>
      </c>
      <c r="U648" s="513" t="b">
        <f>O648=O2339</f>
        <v>1</v>
      </c>
    </row>
    <row r="649" spans="2:22" ht="31.5" customHeight="1" x14ac:dyDescent="0.45">
      <c r="B649" s="468"/>
      <c r="D649" s="449" t="s">
        <v>641</v>
      </c>
      <c r="K649" s="451">
        <f>B2356</f>
        <v>29</v>
      </c>
      <c r="L649" s="452"/>
      <c r="M649" s="527"/>
      <c r="N649" s="451"/>
      <c r="O649" s="559">
        <f>IF(-SUM(TrialBalance!L385:L391)&gt;0,-SUM(TrialBalance!L385:L391),0)</f>
        <v>0</v>
      </c>
      <c r="P649" s="459"/>
      <c r="Q649" s="469"/>
      <c r="R649" s="512" t="str">
        <f t="shared" si="16"/>
        <v>DELETE</v>
      </c>
      <c r="U649" s="518" t="str">
        <f>IF(O649=0,"TRUE",O649=O2366)</f>
        <v>TRUE</v>
      </c>
    </row>
    <row r="650" spans="2:22" ht="9" customHeight="1" x14ac:dyDescent="0.45">
      <c r="B650" s="468"/>
      <c r="K650" s="451"/>
      <c r="L650" s="452"/>
      <c r="M650" s="527"/>
      <c r="N650" s="451"/>
      <c r="O650" s="560"/>
      <c r="P650" s="459"/>
      <c r="Q650" s="469"/>
      <c r="R650" s="512" t="str">
        <f>R641</f>
        <v>DELETE</v>
      </c>
    </row>
    <row r="651" spans="2:22" ht="9" customHeight="1" x14ac:dyDescent="0.45">
      <c r="B651" s="468"/>
      <c r="K651" s="451"/>
      <c r="L651" s="452"/>
      <c r="M651" s="527"/>
      <c r="N651" s="451"/>
      <c r="O651" s="531"/>
      <c r="P651" s="459"/>
      <c r="Q651" s="469"/>
      <c r="R651" s="512" t="str">
        <f>R641</f>
        <v>DELETE</v>
      </c>
    </row>
    <row r="652" spans="2:22" ht="31.5" customHeight="1" x14ac:dyDescent="0.45">
      <c r="B652" s="468"/>
      <c r="K652" s="451"/>
      <c r="L652" s="452"/>
      <c r="M652" s="527"/>
      <c r="N652" s="451"/>
      <c r="O652" s="531"/>
      <c r="P652" s="459"/>
      <c r="Q652" s="469"/>
      <c r="R652" s="512" t="str">
        <f>R641</f>
        <v>DELETE</v>
      </c>
    </row>
    <row r="653" spans="2:22" ht="9" customHeight="1" x14ac:dyDescent="0.45">
      <c r="B653" s="468"/>
      <c r="K653" s="451"/>
      <c r="L653" s="452"/>
      <c r="M653" s="527"/>
      <c r="N653" s="451"/>
      <c r="O653" s="535"/>
      <c r="P653" s="459"/>
      <c r="Q653" s="469"/>
    </row>
    <row r="654" spans="2:22" ht="9" customHeight="1" x14ac:dyDescent="0.45">
      <c r="B654" s="468"/>
      <c r="K654" s="451"/>
      <c r="L654" s="452"/>
      <c r="M654" s="527"/>
      <c r="N654" s="451"/>
      <c r="O654" s="531"/>
      <c r="P654" s="459"/>
      <c r="Q654" s="469"/>
    </row>
    <row r="655" spans="2:22" ht="31.5" customHeight="1" x14ac:dyDescent="0.45">
      <c r="B655" s="468"/>
      <c r="D655" s="449" t="s">
        <v>136</v>
      </c>
      <c r="J655" s="476"/>
      <c r="K655" s="451"/>
      <c r="L655" s="452"/>
      <c r="M655" s="527"/>
      <c r="N655" s="451"/>
      <c r="O655" s="531">
        <f>SUM(S622:S652)</f>
        <v>0</v>
      </c>
      <c r="P655" s="459"/>
      <c r="Q655" s="469"/>
      <c r="R655" s="520"/>
    </row>
    <row r="656" spans="2:22" ht="9" customHeight="1" thickBot="1" x14ac:dyDescent="0.5">
      <c r="B656" s="468"/>
      <c r="J656" s="476"/>
      <c r="K656" s="451"/>
      <c r="L656" s="452"/>
      <c r="M656" s="527"/>
      <c r="N656" s="451"/>
      <c r="O656" s="536"/>
      <c r="P656" s="459"/>
      <c r="Q656" s="469"/>
    </row>
    <row r="657" spans="2:18" ht="9" customHeight="1" thickTop="1" x14ac:dyDescent="0.45">
      <c r="B657" s="468"/>
      <c r="J657" s="476"/>
      <c r="K657" s="451"/>
      <c r="L657" s="452"/>
      <c r="M657" s="527"/>
      <c r="N657" s="451"/>
      <c r="O657" s="531"/>
      <c r="P657" s="459"/>
      <c r="Q657" s="469"/>
    </row>
    <row r="658" spans="2:18" ht="31.5" customHeight="1" x14ac:dyDescent="0.45">
      <c r="B658" s="468"/>
      <c r="J658" s="476"/>
      <c r="K658" s="451"/>
      <c r="L658" s="452"/>
      <c r="M658" s="527"/>
      <c r="N658" s="451"/>
      <c r="O658" s="531"/>
      <c r="P658" s="459"/>
      <c r="Q658" s="469"/>
    </row>
    <row r="659" spans="2:18" ht="31.5" customHeight="1" x14ac:dyDescent="0.45">
      <c r="B659" s="477"/>
      <c r="C659" s="461"/>
      <c r="D659" s="461"/>
      <c r="E659" s="461"/>
      <c r="F659" s="461"/>
      <c r="G659" s="461"/>
      <c r="H659" s="461"/>
      <c r="I659" s="461"/>
      <c r="J659" s="478"/>
      <c r="K659" s="461"/>
      <c r="L659" s="461"/>
      <c r="M659" s="630"/>
      <c r="N659" s="631"/>
      <c r="O659" s="630"/>
      <c r="P659" s="631"/>
      <c r="Q659" s="479"/>
    </row>
    <row r="660" spans="2:18" ht="31.5" customHeight="1" x14ac:dyDescent="0.45"/>
    <row r="661" spans="2:18" ht="31.5" customHeight="1" x14ac:dyDescent="0.45"/>
    <row r="662" spans="2:18" ht="31.5" customHeight="1" x14ac:dyDescent="0.45">
      <c r="D662" s="450" t="str">
        <f>Criteria!E9</f>
        <v>ABC COMPANY (PROPRIETARY) LIMITED</v>
      </c>
      <c r="O662" s="529" t="s">
        <v>121</v>
      </c>
      <c r="Q662" s="451">
        <f>MAX($Q$114:Q661)+1</f>
        <v>10</v>
      </c>
    </row>
    <row r="663" spans="2:18" ht="31.5" customHeight="1" x14ac:dyDescent="0.45">
      <c r="D663" s="450" t="str">
        <f>Criteria!E10</f>
        <v>T/A SEAFRONT HOTEL, SEAFRONT RESTAURANT AND RENTAL PROPERTIES</v>
      </c>
      <c r="R663" s="512" t="str">
        <f>IF(D663=0,"DELETE"," ")</f>
        <v xml:space="preserve"> </v>
      </c>
    </row>
    <row r="664" spans="2:18" ht="31.5" customHeight="1" x14ac:dyDescent="0.45"/>
    <row r="665" spans="2:18" ht="31.5" customHeight="1" x14ac:dyDescent="0.45">
      <c r="D665" s="450" t="s">
        <v>573</v>
      </c>
    </row>
    <row r="666" spans="2:18" ht="31.5" customHeight="1" x14ac:dyDescent="0.45">
      <c r="D666" s="450" t="str">
        <f>Criteria!E20</f>
        <v>29 FEBRUARY 2024</v>
      </c>
    </row>
    <row r="667" spans="2:18" ht="31.5" customHeight="1" x14ac:dyDescent="0.45">
      <c r="K667" s="461"/>
      <c r="L667" s="461"/>
      <c r="M667" s="630"/>
      <c r="N667" s="631"/>
      <c r="O667" s="630"/>
    </row>
    <row r="668" spans="2:18" ht="31.5" customHeight="1" x14ac:dyDescent="0.45">
      <c r="B668" s="465"/>
      <c r="C668" s="466"/>
      <c r="D668" s="466"/>
      <c r="E668" s="466"/>
      <c r="F668" s="466"/>
      <c r="G668" s="466"/>
      <c r="H668" s="466"/>
      <c r="I668" s="466"/>
      <c r="J668" s="466"/>
      <c r="K668" s="451"/>
      <c r="L668" s="451"/>
      <c r="M668" s="525"/>
      <c r="N668" s="458"/>
      <c r="O668" s="525"/>
      <c r="P668" s="480"/>
      <c r="Q668" s="467"/>
    </row>
    <row r="669" spans="2:18" ht="31.5" customHeight="1" x14ac:dyDescent="0.45">
      <c r="B669" s="468"/>
      <c r="K669" s="451"/>
      <c r="L669" s="452"/>
      <c r="M669" s="527"/>
      <c r="N669" s="451"/>
      <c r="O669" s="525">
        <f>Criteria!E22</f>
        <v>2024</v>
      </c>
      <c r="P669" s="458"/>
      <c r="Q669" s="469"/>
    </row>
    <row r="670" spans="2:18" ht="31.5" customHeight="1" x14ac:dyDescent="0.45">
      <c r="B670" s="468"/>
      <c r="K670" s="451"/>
      <c r="L670" s="452"/>
      <c r="M670" s="527"/>
      <c r="N670" s="451"/>
      <c r="O670" s="529"/>
      <c r="P670" s="459"/>
      <c r="Q670" s="469"/>
    </row>
    <row r="671" spans="2:18" ht="31.5" customHeight="1" x14ac:dyDescent="0.45">
      <c r="B671" s="485">
        <v>1</v>
      </c>
      <c r="C671" s="450" t="s">
        <v>571</v>
      </c>
      <c r="L671" s="452"/>
      <c r="M671" s="527"/>
      <c r="N671" s="449"/>
      <c r="O671" s="541"/>
      <c r="P671" s="459"/>
      <c r="Q671" s="469"/>
    </row>
    <row r="672" spans="2:18" ht="31.5" customHeight="1" x14ac:dyDescent="0.45">
      <c r="B672" s="485"/>
      <c r="L672" s="452"/>
      <c r="M672" s="527"/>
      <c r="N672" s="449"/>
      <c r="O672" s="541"/>
      <c r="P672" s="459"/>
      <c r="Q672" s="469"/>
    </row>
    <row r="673" spans="2:21" ht="31.5" customHeight="1" x14ac:dyDescent="0.45">
      <c r="B673" s="485"/>
      <c r="D673" s="449" t="s">
        <v>574</v>
      </c>
      <c r="L673" s="452"/>
      <c r="M673" s="527"/>
      <c r="N673" s="449"/>
      <c r="O673" s="542">
        <f>-TrialBalance!L169</f>
        <v>0</v>
      </c>
      <c r="P673" s="459"/>
      <c r="Q673" s="469"/>
    </row>
    <row r="674" spans="2:21" ht="31.5" customHeight="1" x14ac:dyDescent="0.45">
      <c r="B674" s="485"/>
      <c r="D674" s="449" t="s">
        <v>575</v>
      </c>
      <c r="L674" s="452"/>
      <c r="M674" s="527"/>
      <c r="N674" s="449"/>
      <c r="O674" s="542">
        <f>-TrialBalance!L170</f>
        <v>0</v>
      </c>
      <c r="P674" s="459"/>
      <c r="Q674" s="469"/>
    </row>
    <row r="675" spans="2:21" ht="9" customHeight="1" x14ac:dyDescent="0.45">
      <c r="B675" s="485"/>
      <c r="L675" s="452"/>
      <c r="M675" s="527"/>
      <c r="N675" s="449"/>
      <c r="O675" s="543"/>
      <c r="P675" s="459"/>
      <c r="Q675" s="469"/>
    </row>
    <row r="676" spans="2:21" ht="9" customHeight="1" x14ac:dyDescent="0.45">
      <c r="B676" s="485"/>
      <c r="L676" s="452"/>
      <c r="M676" s="527"/>
      <c r="N676" s="449"/>
      <c r="O676" s="542"/>
      <c r="P676" s="459"/>
      <c r="Q676" s="469"/>
    </row>
    <row r="677" spans="2:21" ht="31.5" customHeight="1" x14ac:dyDescent="0.45">
      <c r="B677" s="485"/>
      <c r="D677" s="449" t="s">
        <v>576</v>
      </c>
      <c r="L677" s="452"/>
      <c r="M677" s="527"/>
      <c r="N677" s="449"/>
      <c r="O677" s="531">
        <f>SUM(O673:O676)</f>
        <v>0</v>
      </c>
      <c r="P677" s="459"/>
      <c r="Q677" s="469"/>
      <c r="U677" s="513" t="b">
        <f>O677=O2041</f>
        <v>1</v>
      </c>
    </row>
    <row r="678" spans="2:21" ht="9" customHeight="1" thickBot="1" x14ac:dyDescent="0.5">
      <c r="B678" s="485"/>
      <c r="L678" s="452"/>
      <c r="M678" s="527"/>
      <c r="N678" s="449"/>
      <c r="O678" s="544"/>
      <c r="P678" s="459"/>
      <c r="Q678" s="469"/>
    </row>
    <row r="679" spans="2:21" ht="9" customHeight="1" thickTop="1" x14ac:dyDescent="0.45">
      <c r="B679" s="485"/>
      <c r="L679" s="452"/>
      <c r="M679" s="527"/>
      <c r="N679" s="449"/>
      <c r="O679" s="545"/>
      <c r="P679" s="459"/>
      <c r="Q679" s="469"/>
    </row>
    <row r="680" spans="2:21" ht="31.5" customHeight="1" x14ac:dyDescent="0.45">
      <c r="B680" s="485"/>
      <c r="L680" s="452"/>
      <c r="M680" s="527"/>
      <c r="N680" s="449"/>
      <c r="O680" s="542"/>
      <c r="P680" s="459"/>
      <c r="Q680" s="469"/>
      <c r="R680" s="512" t="str">
        <f>R681</f>
        <v>DELETE</v>
      </c>
    </row>
    <row r="681" spans="2:21" ht="31.5" customHeight="1" x14ac:dyDescent="0.45">
      <c r="B681" s="485">
        <f>MAX(B$671:B680)+1</f>
        <v>2</v>
      </c>
      <c r="C681" s="450" t="s">
        <v>577</v>
      </c>
      <c r="L681" s="452"/>
      <c r="M681" s="527"/>
      <c r="N681" s="449"/>
      <c r="O681" s="542"/>
      <c r="P681" s="459"/>
      <c r="Q681" s="469"/>
      <c r="R681" s="512" t="str">
        <f>R688</f>
        <v>DELETE</v>
      </c>
    </row>
    <row r="682" spans="2:21" ht="31.5" customHeight="1" x14ac:dyDescent="0.45">
      <c r="B682" s="485"/>
      <c r="L682" s="452"/>
      <c r="M682" s="527"/>
      <c r="N682" s="449"/>
      <c r="O682" s="542"/>
      <c r="P682" s="459"/>
      <c r="Q682" s="469"/>
      <c r="R682" s="512" t="str">
        <f>R688</f>
        <v>DELETE</v>
      </c>
    </row>
    <row r="683" spans="2:21" ht="31.5" customHeight="1" x14ac:dyDescent="0.45">
      <c r="B683" s="485"/>
      <c r="D683" s="449" t="s">
        <v>1736</v>
      </c>
      <c r="L683" s="452"/>
      <c r="M683" s="527"/>
      <c r="N683" s="449"/>
      <c r="O683" s="542">
        <f>-TrialBalance!L172</f>
        <v>0</v>
      </c>
      <c r="P683" s="459"/>
      <c r="Q683" s="469"/>
      <c r="R683" s="512" t="str">
        <f>R688</f>
        <v>DELETE</v>
      </c>
    </row>
    <row r="684" spans="2:21" ht="31.5" customHeight="1" x14ac:dyDescent="0.45">
      <c r="B684" s="485"/>
      <c r="D684" s="449" t="s">
        <v>578</v>
      </c>
      <c r="L684" s="452"/>
      <c r="M684" s="527"/>
      <c r="N684" s="449"/>
      <c r="O684" s="542">
        <f>-TrialBalance!L173</f>
        <v>0</v>
      </c>
      <c r="P684" s="459"/>
      <c r="Q684" s="469"/>
      <c r="R684" s="512" t="str">
        <f t="shared" ref="R684:R685" si="17">IF(O684=0,"DELETE"," ")</f>
        <v>DELETE</v>
      </c>
    </row>
    <row r="685" spans="2:21" ht="31.5" customHeight="1" x14ac:dyDescent="0.45">
      <c r="B685" s="485"/>
      <c r="D685" s="449" t="s">
        <v>579</v>
      </c>
      <c r="L685" s="452"/>
      <c r="M685" s="527"/>
      <c r="N685" s="449"/>
      <c r="O685" s="542">
        <f>-TrialBalance!L174</f>
        <v>0</v>
      </c>
      <c r="P685" s="459"/>
      <c r="Q685" s="469"/>
      <c r="R685" s="512" t="str">
        <f t="shared" si="17"/>
        <v>DELETE</v>
      </c>
    </row>
    <row r="686" spans="2:21" ht="9" customHeight="1" x14ac:dyDescent="0.45">
      <c r="B686" s="485"/>
      <c r="L686" s="452"/>
      <c r="M686" s="527"/>
      <c r="N686" s="449"/>
      <c r="O686" s="543"/>
      <c r="P686" s="459"/>
      <c r="Q686" s="469"/>
      <c r="R686" s="512" t="str">
        <f>R688</f>
        <v>DELETE</v>
      </c>
    </row>
    <row r="687" spans="2:21" ht="9" customHeight="1" x14ac:dyDescent="0.45">
      <c r="B687" s="485"/>
      <c r="L687" s="452"/>
      <c r="M687" s="527"/>
      <c r="N687" s="449"/>
      <c r="O687" s="542"/>
      <c r="P687" s="459"/>
      <c r="Q687" s="469"/>
      <c r="R687" s="512" t="str">
        <f>R688</f>
        <v>DELETE</v>
      </c>
    </row>
    <row r="688" spans="2:21" ht="31.5" customHeight="1" x14ac:dyDescent="0.45">
      <c r="B688" s="485"/>
      <c r="D688" s="449" t="s">
        <v>580</v>
      </c>
      <c r="L688" s="452"/>
      <c r="M688" s="527"/>
      <c r="N688" s="449"/>
      <c r="O688" s="531">
        <f>SUM(O683:O686)</f>
        <v>0</v>
      </c>
      <c r="P688" s="459"/>
      <c r="Q688" s="469"/>
      <c r="R688" s="512" t="str">
        <f>IF(COUNTIF(O683:O685,"&gt;0")&gt;0," ","DELETE")</f>
        <v>DELETE</v>
      </c>
      <c r="U688" s="513" t="b">
        <f>O688=O2063</f>
        <v>1</v>
      </c>
    </row>
    <row r="689" spans="2:23" ht="9" customHeight="1" thickBot="1" x14ac:dyDescent="0.5">
      <c r="B689" s="485"/>
      <c r="L689" s="452"/>
      <c r="M689" s="527"/>
      <c r="N689" s="449"/>
      <c r="O689" s="544"/>
      <c r="P689" s="459"/>
      <c r="Q689" s="469"/>
      <c r="R689" s="512" t="str">
        <f>R688</f>
        <v>DELETE</v>
      </c>
    </row>
    <row r="690" spans="2:23" ht="9" customHeight="1" thickTop="1" x14ac:dyDescent="0.45">
      <c r="B690" s="485"/>
      <c r="L690" s="452"/>
      <c r="M690" s="527"/>
      <c r="N690" s="449"/>
      <c r="O690" s="545"/>
      <c r="P690" s="459"/>
      <c r="Q690" s="469"/>
      <c r="R690" s="512" t="str">
        <f>R689</f>
        <v>DELETE</v>
      </c>
    </row>
    <row r="691" spans="2:23" ht="31.5" customHeight="1" x14ac:dyDescent="0.45">
      <c r="B691" s="485"/>
      <c r="L691" s="452"/>
      <c r="M691" s="527"/>
      <c r="N691" s="449"/>
      <c r="O691" s="542"/>
      <c r="P691" s="459"/>
      <c r="Q691" s="469"/>
      <c r="R691" s="512" t="str">
        <f>R689</f>
        <v>DELETE</v>
      </c>
    </row>
    <row r="692" spans="2:23" ht="31.5" customHeight="1" x14ac:dyDescent="0.45">
      <c r="B692" s="485">
        <f>MAX(B$671:B691)+1</f>
        <v>3</v>
      </c>
      <c r="C692" s="450" t="s">
        <v>142</v>
      </c>
      <c r="L692" s="452"/>
      <c r="M692" s="527"/>
      <c r="N692" s="449"/>
      <c r="O692" s="542"/>
      <c r="P692" s="459"/>
      <c r="Q692" s="469"/>
      <c r="R692" s="512" t="str">
        <f>R$699</f>
        <v>DELETE</v>
      </c>
    </row>
    <row r="693" spans="2:23" ht="31.5" customHeight="1" x14ac:dyDescent="0.45">
      <c r="B693" s="485"/>
      <c r="L693" s="452"/>
      <c r="M693" s="527"/>
      <c r="N693" s="449"/>
      <c r="O693" s="542"/>
      <c r="P693" s="459"/>
      <c r="Q693" s="469"/>
      <c r="R693" s="512" t="str">
        <f>R$699</f>
        <v>DELETE</v>
      </c>
    </row>
    <row r="694" spans="2:23" ht="31.5" customHeight="1" x14ac:dyDescent="0.45">
      <c r="B694" s="485"/>
      <c r="D694" s="449" t="s">
        <v>143</v>
      </c>
      <c r="L694" s="452"/>
      <c r="M694" s="527"/>
      <c r="N694" s="449"/>
      <c r="O694" s="542">
        <f>-TrialBalance!L176-TrialBalance!L180</f>
        <v>0</v>
      </c>
      <c r="P694" s="459"/>
      <c r="Q694" s="469"/>
      <c r="R694" s="512" t="str">
        <f>R$699</f>
        <v>DELETE</v>
      </c>
    </row>
    <row r="695" spans="2:23" ht="31.5" customHeight="1" x14ac:dyDescent="0.45">
      <c r="B695" s="485"/>
      <c r="D695" s="449" t="s">
        <v>927</v>
      </c>
      <c r="L695" s="452"/>
      <c r="M695" s="527"/>
      <c r="N695" s="449"/>
      <c r="O695" s="542">
        <f>-TrialBalance!L177-TrialBalance!L181</f>
        <v>0</v>
      </c>
      <c r="P695" s="459"/>
      <c r="Q695" s="469"/>
      <c r="R695" s="512" t="str">
        <f>IF(O695=0,"DELETE"," ")</f>
        <v>DELETE</v>
      </c>
    </row>
    <row r="696" spans="2:23" ht="31.5" customHeight="1" x14ac:dyDescent="0.45">
      <c r="B696" s="485"/>
      <c r="D696" s="449" t="s">
        <v>928</v>
      </c>
      <c r="L696" s="452"/>
      <c r="M696" s="527"/>
      <c r="N696" s="449"/>
      <c r="O696" s="531">
        <f>-TrialBalance!L178-TrialBalance!L182</f>
        <v>0</v>
      </c>
      <c r="P696" s="459"/>
      <c r="Q696" s="469"/>
      <c r="R696" s="512" t="str">
        <f>IF(O696=0,"DELETE"," ")</f>
        <v>DELETE</v>
      </c>
    </row>
    <row r="697" spans="2:23" ht="9" customHeight="1" x14ac:dyDescent="0.45">
      <c r="B697" s="485"/>
      <c r="L697" s="452"/>
      <c r="M697" s="527"/>
      <c r="N697" s="449"/>
      <c r="O697" s="543"/>
      <c r="P697" s="459"/>
      <c r="Q697" s="469"/>
      <c r="R697" s="512" t="str">
        <f>R$699</f>
        <v>DELETE</v>
      </c>
    </row>
    <row r="698" spans="2:23" ht="9" customHeight="1" x14ac:dyDescent="0.45">
      <c r="B698" s="485"/>
      <c r="L698" s="452"/>
      <c r="M698" s="527"/>
      <c r="N698" s="449"/>
      <c r="O698" s="542"/>
      <c r="P698" s="459"/>
      <c r="Q698" s="469"/>
      <c r="R698" s="512" t="str">
        <f>R$699</f>
        <v>DELETE</v>
      </c>
    </row>
    <row r="699" spans="2:23" ht="31.5" customHeight="1" x14ac:dyDescent="0.45">
      <c r="B699" s="485"/>
      <c r="D699" s="449" t="s">
        <v>581</v>
      </c>
      <c r="L699" s="452"/>
      <c r="M699" s="527"/>
      <c r="N699" s="449"/>
      <c r="O699" s="531">
        <f>SUM(O694:O697)</f>
        <v>0</v>
      </c>
      <c r="P699" s="459"/>
      <c r="Q699" s="469"/>
      <c r="R699" s="512" t="str">
        <f>IF(COUNTIF(O694:O696,"&gt;0")&gt;0," ","DELETE")</f>
        <v>DELETE</v>
      </c>
      <c r="U699" s="513" t="b">
        <f>O699=O2098</f>
        <v>1</v>
      </c>
    </row>
    <row r="700" spans="2:23" ht="9" customHeight="1" thickBot="1" x14ac:dyDescent="0.5">
      <c r="B700" s="485"/>
      <c r="L700" s="452"/>
      <c r="M700" s="527"/>
      <c r="N700" s="449"/>
      <c r="O700" s="544"/>
      <c r="P700" s="459"/>
      <c r="Q700" s="469"/>
      <c r="R700" s="512" t="str">
        <f>R$699</f>
        <v>DELETE</v>
      </c>
    </row>
    <row r="701" spans="2:23" ht="9" customHeight="1" thickTop="1" x14ac:dyDescent="0.45">
      <c r="B701" s="485"/>
      <c r="L701" s="452"/>
      <c r="M701" s="527"/>
      <c r="N701" s="449"/>
      <c r="O701" s="542"/>
      <c r="P701" s="459"/>
      <c r="Q701" s="469"/>
      <c r="R701" s="512" t="str">
        <f>R$699</f>
        <v>DELETE</v>
      </c>
    </row>
    <row r="702" spans="2:23" ht="31.5" customHeight="1" x14ac:dyDescent="0.45">
      <c r="B702" s="485"/>
      <c r="L702" s="452"/>
      <c r="M702" s="527"/>
      <c r="N702" s="449"/>
      <c r="O702" s="542"/>
      <c r="P702" s="459"/>
      <c r="Q702" s="469"/>
    </row>
    <row r="703" spans="2:23" ht="31.5" customHeight="1" x14ac:dyDescent="0.45">
      <c r="B703" s="485">
        <f>MAX(B$671:B702)+1</f>
        <v>4</v>
      </c>
      <c r="C703" s="492" t="str">
        <f>IF(W703=2,"RETAINED INCOME","ACCUMULATED LOSS")</f>
        <v>RETAINED INCOME</v>
      </c>
      <c r="L703" s="452"/>
      <c r="M703" s="527"/>
      <c r="N703" s="449"/>
      <c r="O703" s="542"/>
      <c r="P703" s="459"/>
      <c r="Q703" s="469"/>
      <c r="W703" s="513">
        <f>IF(O703&lt;0,1,2)</f>
        <v>2</v>
      </c>
    </row>
    <row r="704" spans="2:23" ht="31.5" customHeight="1" x14ac:dyDescent="0.45">
      <c r="B704" s="485"/>
      <c r="L704" s="452"/>
      <c r="M704" s="527"/>
      <c r="N704" s="449"/>
      <c r="O704" s="542"/>
      <c r="P704" s="459"/>
      <c r="Q704" s="469"/>
    </row>
    <row r="705" spans="2:23" ht="31.5" customHeight="1" x14ac:dyDescent="0.45">
      <c r="B705" s="485"/>
      <c r="D705" s="449" t="s">
        <v>143</v>
      </c>
      <c r="L705" s="452"/>
      <c r="M705" s="527"/>
      <c r="N705" s="449"/>
      <c r="O705" s="542">
        <f>-TrialBalance!L183</f>
        <v>0</v>
      </c>
      <c r="P705" s="459"/>
      <c r="Q705" s="469"/>
      <c r="S705" s="517"/>
      <c r="T705" s="517"/>
    </row>
    <row r="706" spans="2:23" ht="31.5" customHeight="1" x14ac:dyDescent="0.45">
      <c r="B706" s="485"/>
      <c r="D706" s="463" t="str">
        <f>IF(W706=2,"Net profit for the year after taxation","Net loss for the year after taxation")</f>
        <v>Net profit for the year after taxation</v>
      </c>
      <c r="L706" s="452"/>
      <c r="M706" s="527"/>
      <c r="N706" s="449"/>
      <c r="O706" s="531">
        <f>O554</f>
        <v>0</v>
      </c>
      <c r="P706" s="459"/>
      <c r="Q706" s="469"/>
      <c r="S706" s="517"/>
      <c r="T706" s="517"/>
      <c r="W706" s="513">
        <f>IF(O706&lt;0,1,2)</f>
        <v>2</v>
      </c>
    </row>
    <row r="707" spans="2:23" ht="31.5" customHeight="1" x14ac:dyDescent="0.45">
      <c r="B707" s="485"/>
      <c r="D707" s="449" t="s">
        <v>838</v>
      </c>
      <c r="L707" s="452"/>
      <c r="M707" s="527"/>
      <c r="N707" s="449"/>
      <c r="O707" s="531">
        <f>-SUM(TrialBalance!L163:L164)</f>
        <v>0</v>
      </c>
      <c r="P707" s="459"/>
      <c r="Q707" s="469"/>
      <c r="R707" s="512" t="str">
        <f t="shared" ref="R707" si="18">IF(O707=0,"DELETE"," ")</f>
        <v>DELETE</v>
      </c>
      <c r="S707" s="517"/>
      <c r="T707" s="517"/>
    </row>
    <row r="708" spans="2:23" ht="9" customHeight="1" x14ac:dyDescent="0.45">
      <c r="B708" s="485"/>
      <c r="L708" s="452"/>
      <c r="M708" s="527"/>
      <c r="N708" s="449"/>
      <c r="O708" s="543"/>
      <c r="P708" s="459"/>
      <c r="Q708" s="469"/>
    </row>
    <row r="709" spans="2:23" ht="9" customHeight="1" x14ac:dyDescent="0.45">
      <c r="B709" s="485"/>
      <c r="L709" s="452"/>
      <c r="M709" s="527"/>
      <c r="N709" s="449"/>
      <c r="O709" s="542"/>
      <c r="P709" s="459"/>
      <c r="Q709" s="469"/>
    </row>
    <row r="710" spans="2:23" ht="31.5" customHeight="1" x14ac:dyDescent="0.45">
      <c r="B710" s="485"/>
      <c r="D710" s="449" t="s">
        <v>581</v>
      </c>
      <c r="L710" s="452"/>
      <c r="M710" s="527"/>
      <c r="N710" s="449"/>
      <c r="O710" s="531">
        <f>SUM(O705:O708)</f>
        <v>0</v>
      </c>
      <c r="P710" s="459"/>
      <c r="Q710" s="469"/>
    </row>
    <row r="711" spans="2:23" ht="9" customHeight="1" thickBot="1" x14ac:dyDescent="0.5">
      <c r="B711" s="485"/>
      <c r="L711" s="452"/>
      <c r="M711" s="527"/>
      <c r="N711" s="449"/>
      <c r="O711" s="544"/>
      <c r="P711" s="459"/>
      <c r="Q711" s="469"/>
    </row>
    <row r="712" spans="2:23" ht="9" customHeight="1" thickTop="1" x14ac:dyDescent="0.45">
      <c r="B712" s="485"/>
      <c r="L712" s="452"/>
      <c r="M712" s="527"/>
      <c r="N712" s="449"/>
      <c r="O712" s="542"/>
      <c r="P712" s="459"/>
      <c r="Q712" s="469"/>
    </row>
    <row r="713" spans="2:23" ht="31.5" customHeight="1" x14ac:dyDescent="0.45">
      <c r="B713" s="485"/>
      <c r="L713" s="452"/>
      <c r="M713" s="527"/>
      <c r="N713" s="449"/>
      <c r="O713" s="542"/>
      <c r="P713" s="459"/>
      <c r="Q713" s="469"/>
    </row>
    <row r="714" spans="2:23" ht="31.5" customHeight="1" x14ac:dyDescent="0.45">
      <c r="B714" s="485"/>
      <c r="L714" s="452"/>
      <c r="M714" s="527"/>
      <c r="N714" s="449"/>
      <c r="O714" s="542"/>
      <c r="P714" s="459"/>
      <c r="Q714" s="469"/>
    </row>
    <row r="715" spans="2:23" ht="31.5" customHeight="1" x14ac:dyDescent="0.45">
      <c r="B715" s="485"/>
      <c r="L715" s="452"/>
      <c r="M715" s="527"/>
      <c r="N715" s="449"/>
      <c r="O715" s="542"/>
      <c r="P715" s="459"/>
      <c r="Q715" s="469"/>
    </row>
    <row r="716" spans="2:23" ht="31.5" customHeight="1" x14ac:dyDescent="0.45">
      <c r="B716" s="485"/>
      <c r="L716" s="452"/>
      <c r="M716" s="527"/>
      <c r="N716" s="449"/>
      <c r="O716" s="542"/>
      <c r="P716" s="459"/>
      <c r="Q716" s="469"/>
    </row>
    <row r="717" spans="2:23" ht="31.5" customHeight="1" x14ac:dyDescent="0.45">
      <c r="B717" s="485"/>
      <c r="L717" s="452"/>
      <c r="M717" s="527"/>
      <c r="N717" s="449"/>
      <c r="O717" s="542"/>
      <c r="P717" s="459"/>
      <c r="Q717" s="469"/>
    </row>
    <row r="718" spans="2:23" ht="31.5" customHeight="1" x14ac:dyDescent="0.45">
      <c r="B718" s="477"/>
      <c r="C718" s="461"/>
      <c r="D718" s="461"/>
      <c r="E718" s="461"/>
      <c r="F718" s="461"/>
      <c r="G718" s="461"/>
      <c r="H718" s="461"/>
      <c r="I718" s="461"/>
      <c r="J718" s="461"/>
      <c r="K718" s="483"/>
      <c r="L718" s="483"/>
      <c r="M718" s="540"/>
      <c r="N718" s="484"/>
      <c r="O718" s="540"/>
      <c r="P718" s="484"/>
      <c r="Q718" s="479"/>
    </row>
    <row r="719" spans="2:23" ht="31.5" customHeight="1" x14ac:dyDescent="0.45"/>
    <row r="720" spans="2:23" ht="31.5" customHeight="1" x14ac:dyDescent="0.45"/>
    <row r="721" spans="2:22" ht="31.5" customHeight="1" x14ac:dyDescent="0.45">
      <c r="D721" s="450" t="str">
        <f>Criteria!E9</f>
        <v>ABC COMPANY (PROPRIETARY) LIMITED</v>
      </c>
      <c r="O721" s="529" t="s">
        <v>121</v>
      </c>
      <c r="Q721" s="451">
        <f>MAX($Q$114:Q720)+1</f>
        <v>11</v>
      </c>
    </row>
    <row r="722" spans="2:22" ht="31.5" customHeight="1" x14ac:dyDescent="0.45">
      <c r="D722" s="450" t="str">
        <f>Criteria!E10</f>
        <v>T/A SEAFRONT HOTEL, SEAFRONT RESTAURANT AND RENTAL PROPERTIES</v>
      </c>
      <c r="R722" s="512" t="str">
        <f>IF(D722=0,"DELETE"," ")</f>
        <v xml:space="preserve"> </v>
      </c>
    </row>
    <row r="723" spans="2:22" ht="31.5" customHeight="1" x14ac:dyDescent="0.45"/>
    <row r="724" spans="2:22" ht="31.5" customHeight="1" x14ac:dyDescent="0.45">
      <c r="D724" s="450" t="s">
        <v>265</v>
      </c>
    </row>
    <row r="725" spans="2:22" ht="31.5" customHeight="1" x14ac:dyDescent="0.45">
      <c r="D725" s="450" t="str">
        <f>Criteria!E20</f>
        <v>29 FEBRUARY 2024</v>
      </c>
    </row>
    <row r="726" spans="2:22" ht="31.5" customHeight="1" x14ac:dyDescent="0.45">
      <c r="B726" s="461"/>
      <c r="C726" s="461"/>
      <c r="D726" s="461"/>
      <c r="E726" s="461"/>
      <c r="F726" s="461"/>
      <c r="G726" s="461"/>
      <c r="H726" s="461"/>
      <c r="I726" s="461"/>
      <c r="J726" s="461"/>
      <c r="K726" s="461"/>
      <c r="L726" s="461"/>
      <c r="M726" s="630"/>
      <c r="N726" s="631"/>
      <c r="O726" s="630"/>
      <c r="P726" s="631"/>
      <c r="Q726" s="461"/>
    </row>
    <row r="727" spans="2:22" ht="31.5" customHeight="1" x14ac:dyDescent="0.45">
      <c r="B727" s="468"/>
      <c r="Q727" s="467"/>
    </row>
    <row r="728" spans="2:22" ht="31.5" customHeight="1" x14ac:dyDescent="0.45">
      <c r="B728" s="468"/>
      <c r="K728" s="451" t="s">
        <v>129</v>
      </c>
      <c r="L728" s="452"/>
      <c r="M728" s="527"/>
      <c r="N728" s="451"/>
      <c r="O728" s="525">
        <f>Criteria!E22</f>
        <v>2024</v>
      </c>
      <c r="P728" s="458"/>
      <c r="Q728" s="469"/>
    </row>
    <row r="729" spans="2:22" ht="31.5" customHeight="1" x14ac:dyDescent="0.45">
      <c r="B729" s="468"/>
      <c r="K729" s="451"/>
      <c r="L729" s="452"/>
      <c r="M729" s="527"/>
      <c r="N729" s="451"/>
      <c r="O729" s="529"/>
      <c r="P729" s="459"/>
      <c r="Q729" s="469"/>
    </row>
    <row r="730" spans="2:22" ht="31.5" customHeight="1" x14ac:dyDescent="0.45">
      <c r="B730" s="468"/>
      <c r="C730" s="450" t="s">
        <v>266</v>
      </c>
      <c r="K730" s="451"/>
      <c r="L730" s="452"/>
      <c r="M730" s="527"/>
      <c r="N730" s="451"/>
      <c r="O730" s="531">
        <f>SUM(S733:S755)</f>
        <v>0</v>
      </c>
      <c r="P730" s="459"/>
      <c r="Q730" s="469"/>
    </row>
    <row r="731" spans="2:22" ht="9" customHeight="1" x14ac:dyDescent="0.45">
      <c r="B731" s="468"/>
      <c r="C731" s="450"/>
      <c r="K731" s="451"/>
      <c r="L731" s="452"/>
      <c r="M731" s="527"/>
      <c r="N731" s="451"/>
      <c r="O731" s="531"/>
      <c r="P731" s="459"/>
      <c r="Q731" s="469"/>
    </row>
    <row r="732" spans="2:22" ht="9" customHeight="1" x14ac:dyDescent="0.45">
      <c r="B732" s="468"/>
      <c r="C732" s="450"/>
      <c r="K732" s="451"/>
      <c r="L732" s="452"/>
      <c r="M732" s="527"/>
      <c r="N732" s="493"/>
      <c r="O732" s="546"/>
      <c r="P732" s="494"/>
      <c r="Q732" s="469"/>
    </row>
    <row r="733" spans="2:22" ht="31.5" customHeight="1" x14ac:dyDescent="0.45">
      <c r="B733" s="468"/>
      <c r="C733" s="450"/>
      <c r="D733" s="449" t="s">
        <v>909</v>
      </c>
      <c r="K733" s="451"/>
      <c r="L733" s="452"/>
      <c r="M733" s="527"/>
      <c r="N733" s="485"/>
      <c r="O733" s="531">
        <f>SUM(TrialBalance!N358:N364)-SUM(TrialBalance!L4:L11)-SUM(TrialBalance!L27:L32)-SUM(TrialBalance!L358:L364)-SUM(TrialBalanceA!I4:I11)-SUM(TrialBalanceA!I27:I32)-SUM(TrialBalanceB!I4:I11)-SUM(TrialBalanceB!I27:I32)-SUM(TrialBalanceC!I4:I11)-SUM(TrialBalanceC!I27:I32)</f>
        <v>0</v>
      </c>
      <c r="P733" s="495"/>
      <c r="Q733" s="469"/>
      <c r="R733" s="520"/>
      <c r="S733" s="518">
        <f>O733</f>
        <v>0</v>
      </c>
      <c r="T733" s="518"/>
      <c r="U733" s="518"/>
      <c r="V733" s="518"/>
    </row>
    <row r="734" spans="2:22" ht="31.5" customHeight="1" x14ac:dyDescent="0.45">
      <c r="B734" s="468"/>
      <c r="C734" s="450"/>
      <c r="D734" s="449" t="s">
        <v>267</v>
      </c>
      <c r="K734" s="451"/>
      <c r="L734" s="452"/>
      <c r="M734" s="527"/>
      <c r="N734" s="485"/>
      <c r="O734" s="539">
        <f>-SUM(TrialBalance!N378:N383)-SUM(TrialBalance!N394:N398)+SUM(TrialBalance!L17:L22)+SUM(TrialBalance!L39:L42)+SUM(TrialBalance!L47:L81)+SUM(TrialBalance!L97:L106)+SUM(TrialBalance!L110:L137)+SUM(TrialBalance!L378:L383)+SUM(TrialBalance!L394:L398)+SUM(TrialBalanceA!I17:I22)+SUM(TrialBalanceA!I39:I42)+SUM(TrialBalanceA!I47:I81)+SUM(TrialBalanceA!I97:I106)+SUM(TrialBalanceA!I110:I137)+SUM(TrialBalanceB!I17:I22)+SUM(TrialBalanceB!I39:I42)+SUM(TrialBalanceB!I47:I81)+SUM(TrialBalanceB!I97:I106)+SUM(TrialBalanceB!I110:I137)+SUM(TrialBalanceC!I17:I22)+SUM(TrialBalanceC!I39:I42)+SUM(TrialBalanceC!I47:I81)+SUM(TrialBalanceC!I97:I106)+SUM(TrialBalanceC!I110:I137)</f>
        <v>0</v>
      </c>
      <c r="P734" s="495"/>
      <c r="Q734" s="469"/>
      <c r="R734" s="520"/>
      <c r="S734" s="518">
        <f>-O734</f>
        <v>0</v>
      </c>
      <c r="T734" s="518"/>
      <c r="U734" s="518"/>
      <c r="V734" s="518"/>
    </row>
    <row r="735" spans="2:22" ht="9" customHeight="1" x14ac:dyDescent="0.45">
      <c r="B735" s="468"/>
      <c r="C735" s="450"/>
      <c r="K735" s="451"/>
      <c r="L735" s="452"/>
      <c r="M735" s="527"/>
      <c r="N735" s="485"/>
      <c r="O735" s="535"/>
      <c r="P735" s="495"/>
      <c r="Q735" s="469"/>
    </row>
    <row r="736" spans="2:22" ht="9" customHeight="1" x14ac:dyDescent="0.45">
      <c r="B736" s="468"/>
      <c r="C736" s="450"/>
      <c r="K736" s="451"/>
      <c r="L736" s="452"/>
      <c r="M736" s="527"/>
      <c r="N736" s="485"/>
      <c r="O736" s="531"/>
      <c r="P736" s="495"/>
      <c r="Q736" s="469"/>
    </row>
    <row r="737" spans="2:23" ht="31.5" customHeight="1" x14ac:dyDescent="0.45">
      <c r="B737" s="468"/>
      <c r="C737" s="450"/>
      <c r="D737" s="449" t="s">
        <v>268</v>
      </c>
      <c r="K737" s="451">
        <f>B2434</f>
        <v>32</v>
      </c>
      <c r="L737" s="452"/>
      <c r="M737" s="527"/>
      <c r="N737" s="485"/>
      <c r="O737" s="531">
        <f>O733-O734</f>
        <v>0</v>
      </c>
      <c r="P737" s="495"/>
      <c r="Q737" s="469"/>
      <c r="U737" s="518" t="b">
        <f>O737=O2462</f>
        <v>1</v>
      </c>
      <c r="V737" s="518"/>
      <c r="W737" s="518"/>
    </row>
    <row r="738" spans="2:23" ht="31.5" customHeight="1" x14ac:dyDescent="0.45">
      <c r="B738" s="468"/>
      <c r="C738" s="450"/>
      <c r="D738" s="449" t="s">
        <v>269</v>
      </c>
      <c r="K738" s="451"/>
      <c r="L738" s="452"/>
      <c r="M738" s="527"/>
      <c r="N738" s="485"/>
      <c r="O738" s="531">
        <f>SUM(O741:O746)</f>
        <v>0</v>
      </c>
      <c r="P738" s="495"/>
      <c r="Q738" s="469"/>
      <c r="R738" s="512" t="str">
        <f t="shared" ref="R738" si="19">IF(O738=0,"DELETE"," ")</f>
        <v>DELETE</v>
      </c>
      <c r="U738" s="518">
        <f>O737-O2462</f>
        <v>0</v>
      </c>
      <c r="V738" s="518"/>
    </row>
    <row r="739" spans="2:23" ht="9" customHeight="1" x14ac:dyDescent="0.45">
      <c r="B739" s="468"/>
      <c r="C739" s="450"/>
      <c r="K739" s="451"/>
      <c r="L739" s="452"/>
      <c r="M739" s="527"/>
      <c r="N739" s="485"/>
      <c r="O739" s="531"/>
      <c r="P739" s="495"/>
      <c r="Q739" s="469"/>
      <c r="R739" s="512" t="str">
        <f>R738</f>
        <v>DELETE</v>
      </c>
    </row>
    <row r="740" spans="2:23" ht="9" customHeight="1" x14ac:dyDescent="0.45">
      <c r="B740" s="468"/>
      <c r="C740" s="450"/>
      <c r="K740" s="451"/>
      <c r="L740" s="452"/>
      <c r="M740" s="527"/>
      <c r="N740" s="485"/>
      <c r="O740" s="558"/>
      <c r="P740" s="495"/>
      <c r="Q740" s="469"/>
      <c r="R740" s="512" t="str">
        <f>R739</f>
        <v>DELETE</v>
      </c>
    </row>
    <row r="741" spans="2:23" ht="31.5" customHeight="1" x14ac:dyDescent="0.45">
      <c r="B741" s="468"/>
      <c r="C741" s="450"/>
      <c r="D741" s="449" t="s">
        <v>270</v>
      </c>
      <c r="K741" s="451">
        <f>C1191</f>
        <v>5.0999999999999996</v>
      </c>
      <c r="L741" s="452"/>
      <c r="M741" s="527"/>
      <c r="N741" s="485"/>
      <c r="O741" s="559">
        <f>-SUM(TrialBalance!L89:L92)-SUM(TrialBalanceA!I89:I92)-SUM(TrialBalanceB!I89:I92)-SUM(TrialBalanceC!I89:I92)</f>
        <v>0</v>
      </c>
      <c r="P741" s="495"/>
      <c r="Q741" s="469"/>
      <c r="R741" s="512" t="str">
        <f t="shared" ref="R741:R745" si="20">IF(O741=0,"DELETE"," ")</f>
        <v>DELETE</v>
      </c>
      <c r="S741" s="518">
        <f>O741</f>
        <v>0</v>
      </c>
      <c r="T741" s="518"/>
      <c r="U741" s="518" t="b">
        <f>O741=O1191</f>
        <v>1</v>
      </c>
      <c r="V741" s="518"/>
    </row>
    <row r="742" spans="2:23" ht="31.5" customHeight="1" x14ac:dyDescent="0.45">
      <c r="B742" s="468"/>
      <c r="C742" s="450"/>
      <c r="D742" s="449" t="s">
        <v>271</v>
      </c>
      <c r="K742" s="451">
        <f>C1199</f>
        <v>5.1999999999999993</v>
      </c>
      <c r="L742" s="452"/>
      <c r="M742" s="527"/>
      <c r="N742" s="485"/>
      <c r="O742" s="559">
        <f>-SUM(TrialBalance!L84:L88)-SUM(TrialBalanceA!I84:I88)-SUM(TrialBalanceB!I84:I88)-SUM(TrialBalanceC!I84:I88)</f>
        <v>0</v>
      </c>
      <c r="P742" s="495"/>
      <c r="Q742" s="469"/>
      <c r="R742" s="512" t="str">
        <f t="shared" si="20"/>
        <v>DELETE</v>
      </c>
      <c r="S742" s="518">
        <f>O742</f>
        <v>0</v>
      </c>
      <c r="T742" s="518"/>
      <c r="U742" s="518" t="b">
        <f>O742=O1199</f>
        <v>1</v>
      </c>
      <c r="V742" s="518"/>
    </row>
    <row r="743" spans="2:23" ht="31.5" customHeight="1" x14ac:dyDescent="0.45">
      <c r="B743" s="468"/>
      <c r="C743" s="450"/>
      <c r="D743" s="449" t="s">
        <v>642</v>
      </c>
      <c r="K743" s="451"/>
      <c r="L743" s="452"/>
      <c r="M743" s="527"/>
      <c r="N743" s="485"/>
      <c r="O743" s="559">
        <f>-TrialBalance!L94-TrialBalanceA!I94-TrialBalanceB!I94-TrialBalanceC!I94</f>
        <v>0</v>
      </c>
      <c r="P743" s="495"/>
      <c r="Q743" s="469"/>
      <c r="R743" s="512" t="str">
        <f t="shared" si="20"/>
        <v>DELETE</v>
      </c>
      <c r="S743" s="518">
        <f>O743</f>
        <v>0</v>
      </c>
      <c r="T743" s="518"/>
      <c r="U743" s="518"/>
      <c r="V743" s="518"/>
    </row>
    <row r="744" spans="2:23" ht="31.5" customHeight="1" x14ac:dyDescent="0.45">
      <c r="B744" s="468"/>
      <c r="C744" s="450"/>
      <c r="D744" s="449" t="s">
        <v>643</v>
      </c>
      <c r="K744" s="451"/>
      <c r="L744" s="452"/>
      <c r="M744" s="527"/>
      <c r="N744" s="485"/>
      <c r="O744" s="559">
        <f>-TrialBalance!L95-TrialBalanceA!I95-TrialBalanceB!I95-TrialBalanceC!I95</f>
        <v>0</v>
      </c>
      <c r="P744" s="495"/>
      <c r="Q744" s="469"/>
      <c r="R744" s="512" t="str">
        <f t="shared" si="20"/>
        <v>DELETE</v>
      </c>
      <c r="S744" s="518">
        <f>O744</f>
        <v>0</v>
      </c>
      <c r="T744" s="518"/>
      <c r="U744" s="518"/>
      <c r="V744" s="518"/>
    </row>
    <row r="745" spans="2:23" ht="31.5" customHeight="1" x14ac:dyDescent="0.45">
      <c r="B745" s="468"/>
      <c r="C745" s="450"/>
      <c r="D745" s="449" t="s">
        <v>644</v>
      </c>
      <c r="K745" s="451"/>
      <c r="L745" s="452"/>
      <c r="M745" s="527"/>
      <c r="N745" s="485"/>
      <c r="O745" s="559">
        <f>-TrialBalance!L83-TrialBalanceA!I83-TrialBalanceB!I83-TrialBalanceC!I83</f>
        <v>0</v>
      </c>
      <c r="P745" s="495"/>
      <c r="Q745" s="469"/>
      <c r="R745" s="512" t="str">
        <f t="shared" si="20"/>
        <v>DELETE</v>
      </c>
      <c r="S745" s="518">
        <f>O745</f>
        <v>0</v>
      </c>
      <c r="T745" s="518"/>
      <c r="U745" s="518"/>
      <c r="V745" s="518"/>
    </row>
    <row r="746" spans="2:23" ht="9" customHeight="1" x14ac:dyDescent="0.45">
      <c r="B746" s="468"/>
      <c r="C746" s="450"/>
      <c r="K746" s="451"/>
      <c r="L746" s="452"/>
      <c r="M746" s="527"/>
      <c r="N746" s="485"/>
      <c r="O746" s="560"/>
      <c r="P746" s="495"/>
      <c r="Q746" s="469"/>
      <c r="R746" s="512" t="str">
        <f>R738</f>
        <v>DELETE</v>
      </c>
    </row>
    <row r="747" spans="2:23" ht="9" customHeight="1" x14ac:dyDescent="0.45">
      <c r="B747" s="468"/>
      <c r="C747" s="450"/>
      <c r="K747" s="451"/>
      <c r="L747" s="452"/>
      <c r="M747" s="527"/>
      <c r="N747" s="485"/>
      <c r="O747" s="547"/>
      <c r="P747" s="495"/>
      <c r="Q747" s="469"/>
      <c r="R747" s="512" t="str">
        <f>R738</f>
        <v>DELETE</v>
      </c>
    </row>
    <row r="748" spans="2:23" ht="9" customHeight="1" x14ac:dyDescent="0.45">
      <c r="B748" s="468"/>
      <c r="C748" s="450"/>
      <c r="K748" s="451"/>
      <c r="L748" s="452"/>
      <c r="M748" s="527"/>
      <c r="N748" s="485"/>
      <c r="O748" s="531"/>
      <c r="P748" s="495"/>
      <c r="Q748" s="469"/>
      <c r="R748" s="512" t="str">
        <f>R747</f>
        <v>DELETE</v>
      </c>
    </row>
    <row r="749" spans="2:23" ht="31.5" customHeight="1" x14ac:dyDescent="0.45">
      <c r="B749" s="468"/>
      <c r="C749" s="450"/>
      <c r="K749" s="451"/>
      <c r="L749" s="452"/>
      <c r="M749" s="527"/>
      <c r="N749" s="485"/>
      <c r="O749" s="531">
        <f>SUM(S733:S745)</f>
        <v>0</v>
      </c>
      <c r="P749" s="495"/>
      <c r="Q749" s="469"/>
      <c r="R749" s="512" t="str">
        <f>R748</f>
        <v>DELETE</v>
      </c>
    </row>
    <row r="750" spans="2:23" ht="31.5" customHeight="1" x14ac:dyDescent="0.45">
      <c r="B750" s="468"/>
      <c r="C750" s="450"/>
      <c r="D750" s="449" t="s">
        <v>272</v>
      </c>
      <c r="K750" s="451"/>
      <c r="L750" s="452"/>
      <c r="M750" s="527"/>
      <c r="N750" s="485"/>
      <c r="O750" s="531">
        <f>SUM(O753:O755)</f>
        <v>0</v>
      </c>
      <c r="P750" s="495"/>
      <c r="Q750" s="469"/>
    </row>
    <row r="751" spans="2:23" ht="9" customHeight="1" x14ac:dyDescent="0.45">
      <c r="B751" s="468"/>
      <c r="C751" s="450"/>
      <c r="K751" s="451"/>
      <c r="L751" s="452"/>
      <c r="M751" s="527"/>
      <c r="N751" s="485"/>
      <c r="O751" s="531"/>
      <c r="P751" s="495"/>
      <c r="Q751" s="469"/>
    </row>
    <row r="752" spans="2:23" ht="9" customHeight="1" x14ac:dyDescent="0.45">
      <c r="B752" s="468"/>
      <c r="C752" s="450"/>
      <c r="K752" s="451"/>
      <c r="L752" s="452"/>
      <c r="M752" s="527"/>
      <c r="N752" s="485"/>
      <c r="O752" s="558"/>
      <c r="P752" s="495"/>
      <c r="Q752" s="469"/>
    </row>
    <row r="753" spans="2:26" ht="31.5" customHeight="1" x14ac:dyDescent="0.45">
      <c r="B753" s="468"/>
      <c r="C753" s="450"/>
      <c r="D753" s="449" t="s">
        <v>892</v>
      </c>
      <c r="K753" s="451"/>
      <c r="L753" s="452"/>
      <c r="M753" s="527"/>
      <c r="N753" s="485"/>
      <c r="O753" s="559">
        <f>-TrialBalance!N393+SUM(TrialBalance!L163:L164)+TrialBalance!L393+SUM(TrialBalanceA!I163:I164)+SUM(TrialBalanceB!I163:I164)+SUM(TrialBalanceC!I163:I164)-TrialBalance!N392+TrialBalance!L392</f>
        <v>0</v>
      </c>
      <c r="P753" s="495"/>
      <c r="Q753" s="469"/>
      <c r="R753" s="512" t="str">
        <f t="shared" ref="R753:R754" si="21">IF(O753=0,"DELETE"," ")</f>
        <v>DELETE</v>
      </c>
      <c r="S753" s="518">
        <f>-O753</f>
        <v>0</v>
      </c>
      <c r="T753" s="518"/>
      <c r="U753" s="518"/>
      <c r="V753" s="518"/>
    </row>
    <row r="754" spans="2:26" ht="31.5" customHeight="1" x14ac:dyDescent="0.45">
      <c r="B754" s="468"/>
      <c r="C754" s="450"/>
      <c r="D754" s="449" t="s">
        <v>645</v>
      </c>
      <c r="K754" s="451">
        <f>B1248</f>
        <v>6</v>
      </c>
      <c r="L754" s="452"/>
      <c r="M754" s="527"/>
      <c r="N754" s="485"/>
      <c r="O754" s="559">
        <f>SUM(TrialBalance!L141:L152)+SUM(TrialBalanceA!I141:I152)+SUM(TrialBalanceB!I141:I152)+SUM(TrialBalanceC!I141:I152)</f>
        <v>0</v>
      </c>
      <c r="P754" s="495"/>
      <c r="Q754" s="469"/>
      <c r="R754" s="512" t="str">
        <f t="shared" si="21"/>
        <v>DELETE</v>
      </c>
      <c r="S754" s="518">
        <f>-O754</f>
        <v>0</v>
      </c>
      <c r="T754" s="518"/>
      <c r="U754" s="518" t="b">
        <f>O754=O1295</f>
        <v>1</v>
      </c>
      <c r="V754" s="518"/>
    </row>
    <row r="755" spans="2:26" ht="31.5" customHeight="1" x14ac:dyDescent="0.45">
      <c r="B755" s="468"/>
      <c r="C755" s="450"/>
      <c r="D755" s="449" t="s">
        <v>273</v>
      </c>
      <c r="K755" s="451">
        <f>C1351</f>
        <v>7.1999999999999993</v>
      </c>
      <c r="L755" s="452"/>
      <c r="M755" s="527"/>
      <c r="N755" s="485"/>
      <c r="O755" s="562">
        <f>SUM(TrialBalance!L388:L391)</f>
        <v>0</v>
      </c>
      <c r="P755" s="495"/>
      <c r="Q755" s="469"/>
      <c r="S755" s="518">
        <f>-O755</f>
        <v>0</v>
      </c>
      <c r="T755" s="518"/>
      <c r="U755" s="518" t="b">
        <f>O755=O1356</f>
        <v>1</v>
      </c>
      <c r="V755" s="518"/>
    </row>
    <row r="756" spans="2:26" ht="9" customHeight="1" x14ac:dyDescent="0.45">
      <c r="B756" s="468"/>
      <c r="C756" s="450"/>
      <c r="K756" s="451"/>
      <c r="L756" s="452"/>
      <c r="M756" s="527"/>
      <c r="N756" s="485"/>
      <c r="O756" s="560"/>
      <c r="P756" s="495"/>
      <c r="Q756" s="469"/>
    </row>
    <row r="757" spans="2:26" ht="9" customHeight="1" x14ac:dyDescent="0.45">
      <c r="B757" s="468"/>
      <c r="C757" s="450"/>
      <c r="K757" s="451"/>
      <c r="L757" s="452"/>
      <c r="M757" s="527"/>
      <c r="N757" s="497"/>
      <c r="O757" s="535"/>
      <c r="P757" s="498"/>
      <c r="Q757" s="469"/>
    </row>
    <row r="758" spans="2:26" ht="9" customHeight="1" x14ac:dyDescent="0.45">
      <c r="B758" s="468"/>
      <c r="C758" s="450"/>
      <c r="K758" s="451"/>
      <c r="L758" s="452"/>
      <c r="M758" s="527"/>
      <c r="N758" s="451"/>
      <c r="O758" s="531"/>
      <c r="P758" s="459"/>
      <c r="Q758" s="469"/>
    </row>
    <row r="759" spans="2:26" ht="31.5" customHeight="1" x14ac:dyDescent="0.45">
      <c r="B759" s="468"/>
      <c r="C759" s="450"/>
      <c r="K759" s="451"/>
      <c r="L759" s="452"/>
      <c r="M759" s="527"/>
      <c r="N759" s="451"/>
      <c r="O759" s="531"/>
      <c r="P759" s="459"/>
      <c r="Q759" s="469"/>
      <c r="R759" s="512" t="str">
        <f>R760</f>
        <v>DELETE</v>
      </c>
    </row>
    <row r="760" spans="2:26" ht="31.5" customHeight="1" x14ac:dyDescent="0.45">
      <c r="B760" s="468"/>
      <c r="C760" s="450" t="s">
        <v>274</v>
      </c>
      <c r="K760" s="451"/>
      <c r="L760" s="452"/>
      <c r="M760" s="527"/>
      <c r="N760" s="451"/>
      <c r="O760" s="531">
        <f>SUM(S763:S767)</f>
        <v>0</v>
      </c>
      <c r="P760" s="459"/>
      <c r="Q760" s="469"/>
      <c r="R760" s="512" t="str">
        <f t="shared" ref="R760" si="22">IF(O760=0,"DELETE"," ")</f>
        <v>DELETE</v>
      </c>
    </row>
    <row r="761" spans="2:26" ht="9" customHeight="1" x14ac:dyDescent="0.45">
      <c r="B761" s="468"/>
      <c r="C761" s="450"/>
      <c r="K761" s="451"/>
      <c r="L761" s="452"/>
      <c r="M761" s="527"/>
      <c r="N761" s="451"/>
      <c r="O761" s="531"/>
      <c r="P761" s="459"/>
      <c r="Q761" s="469"/>
      <c r="R761" s="512" t="str">
        <f>R760</f>
        <v>DELETE</v>
      </c>
    </row>
    <row r="762" spans="2:26" ht="9" customHeight="1" x14ac:dyDescent="0.45">
      <c r="B762" s="468"/>
      <c r="C762" s="450"/>
      <c r="K762" s="451"/>
      <c r="L762" s="452"/>
      <c r="M762" s="527"/>
      <c r="N762" s="493"/>
      <c r="O762" s="546"/>
      <c r="P762" s="494"/>
      <c r="Q762" s="469"/>
      <c r="R762" s="512" t="str">
        <f>R761</f>
        <v>DELETE</v>
      </c>
    </row>
    <row r="763" spans="2:26" ht="31.5" customHeight="1" x14ac:dyDescent="0.45">
      <c r="B763" s="468"/>
      <c r="C763" s="450"/>
      <c r="D763" s="449" t="str">
        <f>IF(TrialBalance!L230+TrialBalance!N230+TrialBalance!L241+TrialBalance!N241=0,"Purchases of plant and equipment",IF(SUM(TrialBalance!L250:L281)+SUM(TrialBalance!N251:N281)=0,"Purchases of property","Purchases of property, plant and equipment"))</f>
        <v>Purchases of plant and equipment</v>
      </c>
      <c r="K763" s="451"/>
      <c r="L763" s="452"/>
      <c r="M763" s="527"/>
      <c r="N763" s="485"/>
      <c r="O763" s="548">
        <f>-(+TrialBalance!L230+TrialBalance!L241+TrialBalance!L252+TrialBalance!L260+TrialBalance!L268+TrialBalance!L276)</f>
        <v>0</v>
      </c>
      <c r="P763" s="495"/>
      <c r="Q763" s="469"/>
      <c r="R763" s="512" t="str">
        <f t="shared" ref="R763:R767" si="23">IF(O763=0,"DELETE"," ")</f>
        <v>DELETE</v>
      </c>
      <c r="S763" s="518">
        <f>O763</f>
        <v>0</v>
      </c>
      <c r="T763" s="518"/>
      <c r="U763" s="518"/>
      <c r="V763" s="518"/>
    </row>
    <row r="764" spans="2:26" ht="31.5" customHeight="1" x14ac:dyDescent="0.45">
      <c r="B764" s="468"/>
      <c r="C764" s="450"/>
      <c r="D764" s="463" t="str">
        <f>IF(W764=2,"Decrease in intangibles","Increase in intangibles")</f>
        <v>Decrease in intangibles</v>
      </c>
      <c r="K764" s="451"/>
      <c r="L764" s="452"/>
      <c r="M764" s="527"/>
      <c r="N764" s="485"/>
      <c r="O764" s="548">
        <f>-TrialBalance!L285-TrialBalance!L294</f>
        <v>0</v>
      </c>
      <c r="P764" s="495"/>
      <c r="Q764" s="469"/>
      <c r="R764" s="512" t="str">
        <f t="shared" si="23"/>
        <v>DELETE</v>
      </c>
      <c r="S764" s="518">
        <f>O764</f>
        <v>0</v>
      </c>
      <c r="T764" s="518"/>
      <c r="U764" s="518"/>
      <c r="V764" s="518"/>
      <c r="W764" s="513">
        <f>IF(O764&lt;0,1,2)</f>
        <v>2</v>
      </c>
    </row>
    <row r="765" spans="2:26" ht="31.5" customHeight="1" x14ac:dyDescent="0.45">
      <c r="B765" s="468"/>
      <c r="C765" s="450"/>
      <c r="D765" s="463" t="str">
        <f>IF(W765=2,CONCATENATE("Decrease in ",Z765),CONCATENATE("Increase in ",Z765))</f>
        <v>Decrease in investment</v>
      </c>
      <c r="K765" s="451"/>
      <c r="L765" s="452"/>
      <c r="M765" s="527"/>
      <c r="N765" s="485"/>
      <c r="O765" s="548">
        <f>SUM(TrialBalance!N301:N317)-SUM(TrialBalance!L301:L317)</f>
        <v>0</v>
      </c>
      <c r="P765" s="495"/>
      <c r="Q765" s="469"/>
      <c r="R765" s="512" t="str">
        <f t="shared" si="23"/>
        <v>DELETE</v>
      </c>
      <c r="S765" s="518">
        <f>O765</f>
        <v>0</v>
      </c>
      <c r="T765" s="518"/>
      <c r="U765" s="518"/>
      <c r="V765" s="518"/>
      <c r="W765" s="513">
        <f>IF(O765&lt;0,1,2)</f>
        <v>2</v>
      </c>
      <c r="X765" s="513">
        <f>IF(COUNTIF(TrialBalance!L301:L317,"&gt;0")&gt;1,2,1)</f>
        <v>1</v>
      </c>
      <c r="Y765" s="513">
        <f>IF(COUNTIF(TrialBalance!N301:N317,"&gt;0")&gt;1,2,1)</f>
        <v>1</v>
      </c>
      <c r="Z765" s="521" t="str">
        <f>IF(X765=1,IF(Y765=1,"investment","investments"),"investments")</f>
        <v>investment</v>
      </c>
    </row>
    <row r="766" spans="2:26" ht="31.5" customHeight="1" x14ac:dyDescent="0.45">
      <c r="B766" s="468"/>
      <c r="C766" s="450"/>
      <c r="D766" s="463" t="str">
        <f>IF(W766=2,CONCATENATE("Decrease in non - current ",Z766),CONCATENATE("Increase in non - current ",Z766))</f>
        <v>Decrease in non - current receivable</v>
      </c>
      <c r="K766" s="451"/>
      <c r="L766" s="452"/>
      <c r="M766" s="527"/>
      <c r="N766" s="485"/>
      <c r="O766" s="548">
        <f>SUM(TrialBalance!N318:N352)-SUM(TrialBalance!L318:L352)</f>
        <v>0</v>
      </c>
      <c r="P766" s="495"/>
      <c r="Q766" s="469"/>
      <c r="R766" s="512" t="str">
        <f t="shared" si="23"/>
        <v>DELETE</v>
      </c>
      <c r="S766" s="518">
        <f>O766</f>
        <v>0</v>
      </c>
      <c r="T766" s="518"/>
      <c r="U766" s="518"/>
      <c r="V766" s="518"/>
      <c r="W766" s="513">
        <f>IF(O766&lt;0,1,2)</f>
        <v>2</v>
      </c>
      <c r="X766" s="513">
        <f>IF(COUNTIF(TrialBalance!L318:L352,"&gt;0")&gt;1,2,1)</f>
        <v>1</v>
      </c>
      <c r="Y766" s="513">
        <f>IF(COUNTIF(TrialBalance!N318:N352,"&gt;0")&gt;1,2,1)</f>
        <v>1</v>
      </c>
      <c r="Z766" s="521" t="str">
        <f>IF(X766=1,IF(Y766=1,"receivable","receivables"),"receivables")</f>
        <v>receivable</v>
      </c>
    </row>
    <row r="767" spans="2:26" ht="31.5" customHeight="1" x14ac:dyDescent="0.45">
      <c r="B767" s="468"/>
      <c r="C767" s="450"/>
      <c r="D767" s="449" t="str">
        <f>IF(TrialBalance!L231+TrialBalance!L242=0,"Proceeds on disposal of plant and equipment","Proceeds on disposal of property, plant and equipment")</f>
        <v>Proceeds on disposal of plant and equipment</v>
      </c>
      <c r="K767" s="451"/>
      <c r="L767" s="452"/>
      <c r="M767" s="527"/>
      <c r="N767" s="485"/>
      <c r="O767" s="548">
        <f>-(+TrialBalance!L231+TrialBalance!L237+TrialBalance!L242+TrialBalance!L248+TrialBalance!L253+TrialBalance!L257+TrialBalance!L261+TrialBalance!L265+TrialBalance!L269+TrialBalance!L273+TrialBalance!L277+TrialBalance!L281)-TrialBalance!L93-TrialBalanceA!I93-TrialBalanceB!I93-TrialBalanceC!I93</f>
        <v>0</v>
      </c>
      <c r="P767" s="495"/>
      <c r="Q767" s="469"/>
      <c r="R767" s="512" t="str">
        <f t="shared" si="23"/>
        <v>DELETE</v>
      </c>
      <c r="S767" s="518">
        <f>O767</f>
        <v>0</v>
      </c>
      <c r="T767" s="518"/>
      <c r="U767" s="518"/>
      <c r="V767" s="518"/>
    </row>
    <row r="768" spans="2:26" ht="9" customHeight="1" x14ac:dyDescent="0.45">
      <c r="B768" s="468"/>
      <c r="C768" s="450"/>
      <c r="K768" s="451"/>
      <c r="L768" s="452"/>
      <c r="M768" s="527"/>
      <c r="N768" s="497"/>
      <c r="O768" s="535"/>
      <c r="P768" s="498"/>
      <c r="Q768" s="469"/>
      <c r="R768" s="512" t="str">
        <f>R760</f>
        <v>DELETE</v>
      </c>
    </row>
    <row r="769" spans="2:26" ht="9" customHeight="1" x14ac:dyDescent="0.45">
      <c r="B769" s="468"/>
      <c r="C769" s="450"/>
      <c r="K769" s="451"/>
      <c r="L769" s="452"/>
      <c r="M769" s="527"/>
      <c r="N769" s="451"/>
      <c r="O769" s="531"/>
      <c r="P769" s="459"/>
      <c r="Q769" s="469"/>
      <c r="R769" s="512" t="str">
        <f>R768</f>
        <v>DELETE</v>
      </c>
    </row>
    <row r="770" spans="2:26" ht="31.5" customHeight="1" x14ac:dyDescent="0.45">
      <c r="B770" s="468"/>
      <c r="C770" s="450"/>
      <c r="K770" s="451"/>
      <c r="L770" s="452"/>
      <c r="M770" s="527"/>
      <c r="N770" s="451"/>
      <c r="O770" s="531"/>
      <c r="P770" s="459"/>
      <c r="Q770" s="469"/>
      <c r="R770" s="512" t="str">
        <f>R771</f>
        <v>DELETE</v>
      </c>
    </row>
    <row r="771" spans="2:26" ht="31.5" customHeight="1" x14ac:dyDescent="0.45">
      <c r="B771" s="468"/>
      <c r="C771" s="450" t="s">
        <v>144</v>
      </c>
      <c r="K771" s="451"/>
      <c r="L771" s="452"/>
      <c r="M771" s="527"/>
      <c r="N771" s="451"/>
      <c r="O771" s="531">
        <f>SUM(O774:O778)</f>
        <v>0</v>
      </c>
      <c r="P771" s="459"/>
      <c r="Q771" s="469"/>
      <c r="R771" s="512" t="str">
        <f t="shared" ref="R771" si="24">IF(O771=0,"DELETE"," ")</f>
        <v>DELETE</v>
      </c>
    </row>
    <row r="772" spans="2:26" ht="9" customHeight="1" x14ac:dyDescent="0.45">
      <c r="B772" s="468"/>
      <c r="C772" s="450"/>
      <c r="K772" s="451"/>
      <c r="L772" s="452"/>
      <c r="M772" s="527"/>
      <c r="N772" s="451"/>
      <c r="O772" s="531"/>
      <c r="P772" s="459"/>
      <c r="Q772" s="469"/>
      <c r="R772" s="512" t="str">
        <f>R771</f>
        <v>DELETE</v>
      </c>
    </row>
    <row r="773" spans="2:26" ht="9" customHeight="1" x14ac:dyDescent="0.45">
      <c r="B773" s="468"/>
      <c r="C773" s="450"/>
      <c r="K773" s="451"/>
      <c r="L773" s="452"/>
      <c r="M773" s="527"/>
      <c r="N773" s="493"/>
      <c r="O773" s="546"/>
      <c r="P773" s="494"/>
      <c r="Q773" s="469"/>
      <c r="R773" s="512" t="str">
        <f>R772</f>
        <v>DELETE</v>
      </c>
    </row>
    <row r="774" spans="2:26" ht="31.5" customHeight="1" x14ac:dyDescent="0.45">
      <c r="B774" s="468"/>
      <c r="C774" s="450"/>
      <c r="D774" s="449" t="s">
        <v>646</v>
      </c>
      <c r="K774" s="451"/>
      <c r="L774" s="452"/>
      <c r="M774" s="527"/>
      <c r="N774" s="485"/>
      <c r="O774" s="548">
        <f>-TrialBalance!L170</f>
        <v>0</v>
      </c>
      <c r="P774" s="495"/>
      <c r="Q774" s="469"/>
      <c r="R774" s="512" t="str">
        <f t="shared" ref="R774:R778" si="25">IF(O774=0,"DELETE"," ")</f>
        <v>DELETE</v>
      </c>
      <c r="S774" s="518">
        <f>O774</f>
        <v>0</v>
      </c>
      <c r="T774" s="518"/>
      <c r="U774" s="518"/>
      <c r="V774" s="518"/>
    </row>
    <row r="775" spans="2:26" ht="31.5" customHeight="1" x14ac:dyDescent="0.45">
      <c r="B775" s="468"/>
      <c r="C775" s="450"/>
      <c r="D775" s="463" t="str">
        <f>IF(W775=2,CONCATENATE("Increase in share premium",Z775),CONCATENATE("Decrease in share premium",Z775))</f>
        <v>Increase in share premium</v>
      </c>
      <c r="K775" s="451"/>
      <c r="L775" s="452"/>
      <c r="M775" s="527"/>
      <c r="N775" s="485"/>
      <c r="O775" s="548">
        <f>-TrialBalance!L173-TrialBalance!L174</f>
        <v>0</v>
      </c>
      <c r="P775" s="495"/>
      <c r="Q775" s="469"/>
      <c r="R775" s="512" t="str">
        <f t="shared" si="25"/>
        <v>DELETE</v>
      </c>
      <c r="S775" s="518">
        <f>O775</f>
        <v>0</v>
      </c>
      <c r="T775" s="518"/>
      <c r="U775" s="518"/>
      <c r="V775" s="518"/>
      <c r="W775" s="513">
        <f>IF(O775&lt;0,1,2)</f>
        <v>2</v>
      </c>
    </row>
    <row r="776" spans="2:26" ht="31.5" customHeight="1" x14ac:dyDescent="0.45">
      <c r="B776" s="468"/>
      <c r="C776" s="450"/>
      <c r="D776" s="463" t="str">
        <f>IF(W776=2,CONCATENATE("Increase in interest bearing ",Z776),CONCATENATE("Decrease in interest bearing ",Z776))</f>
        <v>Increase in interest bearing borrowing</v>
      </c>
      <c r="K776" s="451"/>
      <c r="L776" s="452"/>
      <c r="M776" s="527"/>
      <c r="N776" s="485"/>
      <c r="O776" s="548">
        <f>SUM(TrialBalance!N184:N200)-SUM(TrialBalance!L184:L200)</f>
        <v>0</v>
      </c>
      <c r="P776" s="495"/>
      <c r="Q776" s="469"/>
      <c r="R776" s="512" t="str">
        <f t="shared" si="25"/>
        <v>DELETE</v>
      </c>
      <c r="S776" s="518">
        <f>O776</f>
        <v>0</v>
      </c>
      <c r="T776" s="518"/>
      <c r="U776" s="518"/>
      <c r="V776" s="518"/>
      <c r="W776" s="513">
        <f t="shared" ref="W776:W778" si="26">IF(O776&lt;0,1,2)</f>
        <v>2</v>
      </c>
      <c r="X776" s="513">
        <f>IF(COUNTIF(TrialBalance!L185:L199,"&lt;0")&gt;1,2,1)</f>
        <v>1</v>
      </c>
      <c r="Y776" s="513">
        <f>IF(COUNTIF(TrialBalance!N185:N199,"&lt;0")&gt;1,2,1)</f>
        <v>1</v>
      </c>
      <c r="Z776" s="521" t="str">
        <f>IF(X776=1,IF(Y776=1,"borrowing","borrowings"),"borrowings")</f>
        <v>borrowing</v>
      </c>
    </row>
    <row r="777" spans="2:26" ht="31.5" customHeight="1" x14ac:dyDescent="0.45">
      <c r="B777" s="468"/>
      <c r="C777" s="450"/>
      <c r="D777" s="463" t="str">
        <f>IF(W777=2,CONCATENATE("Increase in interest free ",Z777),CONCATENATE("Decrease in interest free ",Z777))</f>
        <v>Increase in interest free borrowing</v>
      </c>
      <c r="K777" s="451"/>
      <c r="L777" s="452"/>
      <c r="M777" s="527"/>
      <c r="N777" s="485"/>
      <c r="O777" s="548">
        <f>+SUM(TrialBalance!N201:N218)-SUM(TrialBalance!L201:L218)</f>
        <v>0</v>
      </c>
      <c r="P777" s="495"/>
      <c r="Q777" s="469"/>
      <c r="R777" s="512" t="str">
        <f t="shared" si="25"/>
        <v>DELETE</v>
      </c>
      <c r="S777" s="518">
        <f>O777</f>
        <v>0</v>
      </c>
      <c r="T777" s="518"/>
      <c r="U777" s="518"/>
      <c r="V777" s="518"/>
      <c r="W777" s="513">
        <f t="shared" si="26"/>
        <v>2</v>
      </c>
      <c r="X777" s="513">
        <f>IF(COUNTIF(TrialBalance!L202:L218,"&lt;0")&gt;1,2,1)</f>
        <v>1</v>
      </c>
      <c r="Y777" s="513">
        <f>IF(COUNTIF(TrialBalance!N202:N218,"&lt;0")&gt;1,2,1)</f>
        <v>1</v>
      </c>
      <c r="Z777" s="521" t="str">
        <f>IF(X777=1,IF(Y777=1,"borrowing","borrowings"),"borrowings")</f>
        <v>borrowing</v>
      </c>
    </row>
    <row r="778" spans="2:26" ht="31.5" customHeight="1" x14ac:dyDescent="0.45">
      <c r="B778" s="468"/>
      <c r="C778" s="450"/>
      <c r="D778" s="463" t="str">
        <f>IF(W778=2,CONCATENATE("Increase in short term ",Z778),CONCATENATE("Decrease in short term ",Z778))</f>
        <v>Increase in short term loan</v>
      </c>
      <c r="K778" s="451"/>
      <c r="L778" s="452"/>
      <c r="M778" s="527"/>
      <c r="N778" s="485"/>
      <c r="O778" s="548">
        <f>SUM(TrialBalance!N373:N377)-SUM(TrialBalance!L373:L377)</f>
        <v>0</v>
      </c>
      <c r="P778" s="495"/>
      <c r="Q778" s="469"/>
      <c r="R778" s="512" t="str">
        <f t="shared" si="25"/>
        <v>DELETE</v>
      </c>
      <c r="S778" s="518">
        <f>O778</f>
        <v>0</v>
      </c>
      <c r="T778" s="518"/>
      <c r="U778" s="518"/>
      <c r="V778" s="518"/>
      <c r="W778" s="513">
        <f t="shared" si="26"/>
        <v>2</v>
      </c>
      <c r="X778" s="513">
        <f>IF(COUNTIF(TrialBalance!L374:L377,"&lt;0")&gt;1,2,1)</f>
        <v>1</v>
      </c>
      <c r="Y778" s="513">
        <f>IF(COUNTIF(TrialBalance!N374:N377,"&lt;0")&gt;1,2,1)</f>
        <v>1</v>
      </c>
      <c r="Z778" s="521" t="str">
        <f>IF(X778=1,IF(Y778=1,"loan","loans"),"loans")</f>
        <v>loan</v>
      </c>
    </row>
    <row r="779" spans="2:26" ht="9" customHeight="1" x14ac:dyDescent="0.45">
      <c r="B779" s="468"/>
      <c r="C779" s="450"/>
      <c r="K779" s="451"/>
      <c r="L779" s="452"/>
      <c r="M779" s="527"/>
      <c r="N779" s="497"/>
      <c r="O779" s="535"/>
      <c r="P779" s="498"/>
      <c r="Q779" s="469"/>
      <c r="R779" s="512" t="str">
        <f>R771</f>
        <v>DELETE</v>
      </c>
    </row>
    <row r="780" spans="2:26" ht="9" customHeight="1" x14ac:dyDescent="0.45">
      <c r="B780" s="468"/>
      <c r="C780" s="450"/>
      <c r="K780" s="451"/>
      <c r="L780" s="452"/>
      <c r="M780" s="527"/>
      <c r="N780" s="483"/>
      <c r="O780" s="535"/>
      <c r="P780" s="484"/>
      <c r="Q780" s="469"/>
    </row>
    <row r="781" spans="2:26" ht="9" customHeight="1" x14ac:dyDescent="0.45">
      <c r="B781" s="468"/>
      <c r="C781" s="450"/>
      <c r="K781" s="451"/>
      <c r="L781" s="452"/>
      <c r="M781" s="527"/>
      <c r="N781" s="451"/>
      <c r="O781" s="531"/>
      <c r="P781" s="459"/>
      <c r="Q781" s="469"/>
    </row>
    <row r="782" spans="2:26" ht="31.5" customHeight="1" x14ac:dyDescent="0.45">
      <c r="B782" s="468"/>
      <c r="C782" s="492" t="str">
        <f>IF(W782=2,"NET INCREASE IN CASH AND","NET DECREASE IN CASH AND")</f>
        <v>NET INCREASE IN CASH AND</v>
      </c>
      <c r="K782" s="451"/>
      <c r="L782" s="452"/>
      <c r="M782" s="527"/>
      <c r="N782" s="451"/>
      <c r="O782" s="531"/>
      <c r="P782" s="459"/>
      <c r="Q782" s="469"/>
      <c r="W782" s="513">
        <f>IF(O783&lt;0,1,2)</f>
        <v>2</v>
      </c>
    </row>
    <row r="783" spans="2:26" ht="31.5" customHeight="1" x14ac:dyDescent="0.45">
      <c r="B783" s="468"/>
      <c r="C783" s="450" t="s">
        <v>146</v>
      </c>
      <c r="K783" s="451"/>
      <c r="L783" s="452"/>
      <c r="M783" s="527"/>
      <c r="N783" s="451"/>
      <c r="O783" s="531">
        <f>SUM(S733:S779)</f>
        <v>0</v>
      </c>
      <c r="P783" s="459"/>
      <c r="Q783" s="469"/>
    </row>
    <row r="784" spans="2:26" ht="31.5" customHeight="1" x14ac:dyDescent="0.45">
      <c r="B784" s="468"/>
      <c r="C784" s="450"/>
      <c r="K784" s="451"/>
      <c r="L784" s="452"/>
      <c r="M784" s="527"/>
      <c r="N784" s="451"/>
      <c r="O784" s="531"/>
      <c r="P784" s="459"/>
      <c r="Q784" s="469"/>
    </row>
    <row r="785" spans="2:22" ht="31.5" customHeight="1" x14ac:dyDescent="0.45">
      <c r="B785" s="468"/>
      <c r="C785" s="450" t="s">
        <v>205</v>
      </c>
      <c r="K785" s="451"/>
      <c r="L785" s="452"/>
      <c r="M785" s="527"/>
      <c r="N785" s="451"/>
      <c r="O785" s="40"/>
      <c r="P785" s="459"/>
      <c r="Q785" s="469"/>
    </row>
    <row r="786" spans="2:22" ht="31.5" customHeight="1" x14ac:dyDescent="0.45">
      <c r="B786" s="468"/>
      <c r="C786" s="450"/>
      <c r="D786" s="449" t="s">
        <v>206</v>
      </c>
      <c r="K786" s="451"/>
      <c r="L786" s="452"/>
      <c r="M786" s="527"/>
      <c r="N786" s="451"/>
      <c r="O786" s="531">
        <f>SUM(TrialBalance!N366:N372)</f>
        <v>0</v>
      </c>
      <c r="P786" s="459"/>
      <c r="Q786" s="469"/>
    </row>
    <row r="787" spans="2:22" ht="9" customHeight="1" x14ac:dyDescent="0.45">
      <c r="B787" s="468"/>
      <c r="C787" s="450"/>
      <c r="K787" s="451"/>
      <c r="L787" s="452"/>
      <c r="M787" s="527"/>
      <c r="N787" s="483"/>
      <c r="O787" s="535"/>
      <c r="P787" s="484"/>
      <c r="Q787" s="469"/>
    </row>
    <row r="788" spans="2:22" ht="9" customHeight="1" x14ac:dyDescent="0.45">
      <c r="B788" s="468"/>
      <c r="C788" s="450"/>
      <c r="K788" s="451"/>
      <c r="L788" s="452"/>
      <c r="M788" s="527"/>
      <c r="N788" s="451"/>
      <c r="O788" s="531"/>
      <c r="P788" s="459"/>
      <c r="Q788" s="469"/>
    </row>
    <row r="789" spans="2:22" ht="31.5" customHeight="1" x14ac:dyDescent="0.45">
      <c r="B789" s="468"/>
      <c r="C789" s="450" t="s">
        <v>205</v>
      </c>
      <c r="K789" s="451"/>
      <c r="L789" s="452"/>
      <c r="M789" s="527"/>
      <c r="N789" s="451"/>
      <c r="O789" s="531"/>
      <c r="P789" s="459"/>
      <c r="Q789" s="469"/>
    </row>
    <row r="790" spans="2:22" ht="31.5" customHeight="1" x14ac:dyDescent="0.45">
      <c r="B790" s="468"/>
      <c r="C790" s="450"/>
      <c r="D790" s="449" t="s">
        <v>207</v>
      </c>
      <c r="K790" s="451">
        <f>B1980</f>
        <v>18</v>
      </c>
      <c r="L790" s="452"/>
      <c r="M790" s="527"/>
      <c r="N790" s="451"/>
      <c r="O790" s="531">
        <f>SUM(O783:O788)</f>
        <v>0</v>
      </c>
      <c r="P790" s="459"/>
      <c r="Q790" s="469"/>
      <c r="U790" s="39" t="b">
        <f>O790=SUM(TrialBalance!L366:L372)</f>
        <v>1</v>
      </c>
      <c r="V790" s="518"/>
    </row>
    <row r="791" spans="2:22" ht="9" customHeight="1" thickBot="1" x14ac:dyDescent="0.5">
      <c r="B791" s="468"/>
      <c r="L791" s="452"/>
      <c r="M791" s="527"/>
      <c r="N791" s="499"/>
      <c r="O791" s="638"/>
      <c r="P791" s="645"/>
      <c r="Q791" s="469"/>
      <c r="U791" s="518"/>
      <c r="V791" s="518"/>
    </row>
    <row r="792" spans="2:22" ht="9" customHeight="1" thickTop="1" x14ac:dyDescent="0.45">
      <c r="B792" s="468"/>
      <c r="L792" s="452"/>
      <c r="M792" s="527"/>
      <c r="N792" s="449"/>
      <c r="O792" s="635"/>
      <c r="Q792" s="469"/>
    </row>
    <row r="793" spans="2:22" ht="31.5" customHeight="1" x14ac:dyDescent="0.45">
      <c r="B793" s="468"/>
      <c r="L793" s="452"/>
      <c r="M793" s="527"/>
      <c r="N793" s="449"/>
      <c r="O793" s="635"/>
      <c r="Q793" s="469"/>
      <c r="R793" s="520"/>
      <c r="U793" s="518"/>
      <c r="V793" s="518"/>
    </row>
    <row r="794" spans="2:22" ht="31.5" customHeight="1" x14ac:dyDescent="0.45">
      <c r="B794" s="477"/>
      <c r="C794" s="461"/>
      <c r="D794" s="461"/>
      <c r="E794" s="461"/>
      <c r="F794" s="461"/>
      <c r="G794" s="461"/>
      <c r="H794" s="461"/>
      <c r="I794" s="461"/>
      <c r="J794" s="461"/>
      <c r="K794" s="461"/>
      <c r="L794" s="461"/>
      <c r="M794" s="640"/>
      <c r="N794" s="646"/>
      <c r="O794" s="640"/>
      <c r="P794" s="631"/>
      <c r="Q794" s="479"/>
    </row>
    <row r="795" spans="2:22" ht="31.5" customHeight="1" x14ac:dyDescent="0.45"/>
    <row r="796" spans="2:22" ht="31.5" customHeight="1" x14ac:dyDescent="0.45"/>
    <row r="797" spans="2:22" ht="31.5" customHeight="1" x14ac:dyDescent="0.45">
      <c r="D797" s="450" t="str">
        <f>Criteria!E9</f>
        <v>ABC COMPANY (PROPRIETARY) LIMITED</v>
      </c>
      <c r="O797" s="529" t="s">
        <v>121</v>
      </c>
      <c r="Q797" s="451">
        <f>MAX($Q$114:Q796)+1</f>
        <v>12</v>
      </c>
    </row>
    <row r="798" spans="2:22" ht="31.5" customHeight="1" x14ac:dyDescent="0.45">
      <c r="D798" s="450" t="str">
        <f>Criteria!E10</f>
        <v>T/A SEAFRONT HOTEL, SEAFRONT RESTAURANT AND RENTAL PROPERTIES</v>
      </c>
      <c r="R798" s="512" t="str">
        <f>IF(D798=0,"DELETE"," ")</f>
        <v xml:space="preserve"> </v>
      </c>
    </row>
    <row r="799" spans="2:22" ht="31.5" customHeight="1" x14ac:dyDescent="0.45"/>
    <row r="800" spans="2:22" ht="31.5" customHeight="1" x14ac:dyDescent="0.45">
      <c r="D800" s="450" t="s">
        <v>451</v>
      </c>
    </row>
    <row r="801" spans="2:17" ht="31.5" customHeight="1" x14ac:dyDescent="0.45">
      <c r="D801" s="450" t="str">
        <f>Criteria!E20</f>
        <v>29 FEBRUARY 2024</v>
      </c>
    </row>
    <row r="802" spans="2:17" ht="31.5" customHeight="1" x14ac:dyDescent="0.45"/>
    <row r="803" spans="2:17" ht="31.5" customHeight="1" x14ac:dyDescent="0.45">
      <c r="B803" s="566"/>
      <c r="C803" s="466"/>
      <c r="D803" s="466"/>
      <c r="E803" s="466"/>
      <c r="F803" s="466"/>
      <c r="G803" s="466"/>
      <c r="H803" s="466"/>
      <c r="I803" s="466"/>
      <c r="J803" s="466"/>
      <c r="K803" s="466"/>
      <c r="L803" s="466"/>
      <c r="M803" s="642"/>
      <c r="N803" s="643"/>
      <c r="O803" s="642"/>
      <c r="P803" s="643"/>
      <c r="Q803" s="467"/>
    </row>
    <row r="804" spans="2:17" ht="31.5" customHeight="1" x14ac:dyDescent="0.45">
      <c r="B804" s="563">
        <v>1</v>
      </c>
      <c r="C804" s="450" t="s">
        <v>1432</v>
      </c>
      <c r="M804" s="633"/>
      <c r="N804" s="634"/>
      <c r="O804" s="633"/>
      <c r="P804" s="634"/>
      <c r="Q804" s="469"/>
    </row>
    <row r="805" spans="2:17" ht="31.5" customHeight="1" x14ac:dyDescent="0.45">
      <c r="B805" s="582"/>
      <c r="C805" s="450"/>
      <c r="D805" s="449" t="s">
        <v>1337</v>
      </c>
      <c r="M805" s="633"/>
      <c r="N805" s="634"/>
      <c r="O805" s="633"/>
      <c r="P805" s="634"/>
      <c r="Q805" s="469"/>
    </row>
    <row r="806" spans="2:17" ht="31.5" customHeight="1" x14ac:dyDescent="0.45">
      <c r="B806" s="582"/>
      <c r="C806" s="450"/>
      <c r="D806" s="449" t="s">
        <v>1338</v>
      </c>
      <c r="M806" s="633"/>
      <c r="N806" s="634"/>
      <c r="O806" s="633"/>
      <c r="P806" s="634"/>
      <c r="Q806" s="469"/>
    </row>
    <row r="807" spans="2:17" ht="31.5" customHeight="1" x14ac:dyDescent="0.45">
      <c r="B807" s="582"/>
      <c r="C807" s="450"/>
      <c r="D807" s="449" t="s">
        <v>1427</v>
      </c>
      <c r="M807" s="633"/>
      <c r="N807" s="634"/>
      <c r="O807" s="633"/>
      <c r="P807" s="634"/>
      <c r="Q807" s="469"/>
    </row>
    <row r="808" spans="2:17" ht="31.5" customHeight="1" x14ac:dyDescent="0.45">
      <c r="B808" s="582"/>
      <c r="C808" s="450"/>
      <c r="D808" s="449" t="s">
        <v>1339</v>
      </c>
      <c r="M808" s="633"/>
      <c r="N808" s="634"/>
      <c r="O808" s="633"/>
      <c r="P808" s="634"/>
      <c r="Q808" s="469"/>
    </row>
    <row r="809" spans="2:17" ht="31.5" customHeight="1" x14ac:dyDescent="0.45">
      <c r="B809" s="582"/>
      <c r="C809" s="450"/>
      <c r="D809" s="449" t="s">
        <v>1340</v>
      </c>
      <c r="M809" s="633"/>
      <c r="N809" s="634"/>
      <c r="O809" s="633"/>
      <c r="P809" s="634"/>
      <c r="Q809" s="469"/>
    </row>
    <row r="810" spans="2:17" ht="31.5" customHeight="1" x14ac:dyDescent="0.45">
      <c r="B810" s="582"/>
      <c r="M810" s="633"/>
      <c r="N810" s="634"/>
      <c r="O810" s="633"/>
      <c r="P810" s="634"/>
      <c r="Q810" s="469"/>
    </row>
    <row r="811" spans="2:17" ht="31.5" customHeight="1" x14ac:dyDescent="0.45">
      <c r="B811" s="582"/>
      <c r="C811" s="449">
        <f>B804+0.1</f>
        <v>1.1000000000000001</v>
      </c>
      <c r="D811" s="450" t="s">
        <v>60</v>
      </c>
      <c r="M811" s="633"/>
      <c r="N811" s="634"/>
      <c r="O811" s="633"/>
      <c r="P811" s="634"/>
      <c r="Q811" s="469"/>
    </row>
    <row r="812" spans="2:17" ht="31.5" customHeight="1" x14ac:dyDescent="0.45">
      <c r="B812" s="582"/>
      <c r="D812" s="449" t="s">
        <v>1347</v>
      </c>
      <c r="M812" s="633"/>
      <c r="N812" s="634"/>
      <c r="O812" s="633"/>
      <c r="P812" s="634"/>
      <c r="Q812" s="469"/>
    </row>
    <row r="813" spans="2:17" ht="31.5" customHeight="1" x14ac:dyDescent="0.45">
      <c r="B813" s="582"/>
      <c r="D813" s="449" t="s">
        <v>1348</v>
      </c>
      <c r="M813" s="633"/>
      <c r="N813" s="634"/>
      <c r="O813" s="633"/>
      <c r="P813" s="634"/>
      <c r="Q813" s="469"/>
    </row>
    <row r="814" spans="2:17" ht="31.5" customHeight="1" x14ac:dyDescent="0.45">
      <c r="B814" s="582"/>
      <c r="D814" s="449" t="s">
        <v>1428</v>
      </c>
      <c r="M814" s="633"/>
      <c r="N814" s="634"/>
      <c r="O814" s="633"/>
      <c r="P814" s="634"/>
      <c r="Q814" s="469"/>
    </row>
    <row r="815" spans="2:17" ht="31.5" customHeight="1" x14ac:dyDescent="0.45">
      <c r="B815" s="582"/>
      <c r="D815" s="462" t="s">
        <v>1308</v>
      </c>
      <c r="M815" s="633"/>
      <c r="N815" s="634"/>
      <c r="O815" s="633"/>
      <c r="P815" s="634"/>
      <c r="Q815" s="469"/>
    </row>
    <row r="816" spans="2:17" ht="31.5" customHeight="1" x14ac:dyDescent="0.45">
      <c r="B816" s="582"/>
      <c r="D816" s="449" t="s">
        <v>1349</v>
      </c>
      <c r="M816" s="633"/>
      <c r="N816" s="634"/>
      <c r="O816" s="633"/>
      <c r="P816" s="634"/>
      <c r="Q816" s="469"/>
    </row>
    <row r="817" spans="2:17" ht="31.5" customHeight="1" x14ac:dyDescent="0.45">
      <c r="B817" s="582"/>
      <c r="D817" s="449" t="s">
        <v>1350</v>
      </c>
      <c r="M817" s="633"/>
      <c r="N817" s="634"/>
      <c r="O817" s="633"/>
      <c r="P817" s="634"/>
      <c r="Q817" s="469"/>
    </row>
    <row r="818" spans="2:17" ht="31.5" customHeight="1" x14ac:dyDescent="0.45">
      <c r="B818" s="582"/>
      <c r="D818" s="462" t="s">
        <v>1309</v>
      </c>
      <c r="M818" s="633"/>
      <c r="N818" s="634"/>
      <c r="O818" s="633"/>
      <c r="P818" s="634"/>
      <c r="Q818" s="469"/>
    </row>
    <row r="819" spans="2:17" ht="31.5" customHeight="1" x14ac:dyDescent="0.45">
      <c r="B819" s="582"/>
      <c r="D819" s="449" t="s">
        <v>1351</v>
      </c>
      <c r="M819" s="633"/>
      <c r="N819" s="634"/>
      <c r="O819" s="633"/>
      <c r="P819" s="634"/>
      <c r="Q819" s="469"/>
    </row>
    <row r="820" spans="2:17" ht="31.5" customHeight="1" x14ac:dyDescent="0.45">
      <c r="B820" s="582"/>
      <c r="D820" s="449" t="s">
        <v>1352</v>
      </c>
      <c r="M820" s="633"/>
      <c r="N820" s="634"/>
      <c r="O820" s="633"/>
      <c r="P820" s="634"/>
      <c r="Q820" s="469"/>
    </row>
    <row r="821" spans="2:17" ht="31.5" customHeight="1" x14ac:dyDescent="0.45">
      <c r="B821" s="582"/>
      <c r="D821" s="449" t="s">
        <v>1353</v>
      </c>
      <c r="M821" s="633"/>
      <c r="N821" s="634"/>
      <c r="O821" s="633"/>
      <c r="P821" s="634"/>
      <c r="Q821" s="469"/>
    </row>
    <row r="822" spans="2:17" ht="31.5" customHeight="1" x14ac:dyDescent="0.45">
      <c r="B822" s="582"/>
      <c r="M822" s="633"/>
      <c r="N822" s="634"/>
      <c r="O822" s="633"/>
      <c r="P822" s="634"/>
      <c r="Q822" s="469"/>
    </row>
    <row r="823" spans="2:17" ht="31.5" customHeight="1" x14ac:dyDescent="0.45">
      <c r="B823" s="582"/>
      <c r="C823" s="449">
        <f>MAX(C$804:C822)+0.1</f>
        <v>1.2000000000000002</v>
      </c>
      <c r="D823" s="450" t="s">
        <v>141</v>
      </c>
      <c r="M823" s="633"/>
      <c r="N823" s="634"/>
      <c r="O823" s="633"/>
      <c r="P823" s="634"/>
      <c r="Q823" s="469"/>
    </row>
    <row r="824" spans="2:17" ht="31.5" customHeight="1" x14ac:dyDescent="0.45">
      <c r="B824" s="582"/>
      <c r="D824" s="462" t="s">
        <v>1354</v>
      </c>
      <c r="M824" s="633"/>
      <c r="N824" s="634"/>
      <c r="O824" s="633"/>
      <c r="P824" s="634"/>
      <c r="Q824" s="469"/>
    </row>
    <row r="825" spans="2:17" ht="31.5" customHeight="1" x14ac:dyDescent="0.45">
      <c r="B825" s="582"/>
      <c r="D825" s="449" t="s">
        <v>1355</v>
      </c>
      <c r="M825" s="633"/>
      <c r="N825" s="634"/>
      <c r="O825" s="633"/>
      <c r="P825" s="634"/>
      <c r="Q825" s="469"/>
    </row>
    <row r="826" spans="2:17" ht="31.5" customHeight="1" x14ac:dyDescent="0.45">
      <c r="B826" s="582"/>
      <c r="D826" s="449" t="s">
        <v>1356</v>
      </c>
      <c r="M826" s="633"/>
      <c r="N826" s="634"/>
      <c r="O826" s="633"/>
      <c r="P826" s="634"/>
      <c r="Q826" s="469"/>
    </row>
    <row r="827" spans="2:17" ht="31.5" customHeight="1" x14ac:dyDescent="0.45">
      <c r="B827" s="582"/>
      <c r="D827" s="449" t="s">
        <v>1357</v>
      </c>
      <c r="M827" s="633"/>
      <c r="N827" s="634"/>
      <c r="O827" s="633"/>
      <c r="P827" s="634"/>
      <c r="Q827" s="469"/>
    </row>
    <row r="828" spans="2:17" ht="31.5" customHeight="1" x14ac:dyDescent="0.45">
      <c r="B828" s="582"/>
      <c r="D828" s="449" t="s">
        <v>1358</v>
      </c>
      <c r="M828" s="633"/>
      <c r="N828" s="634"/>
      <c r="O828" s="633"/>
      <c r="P828" s="634"/>
      <c r="Q828" s="469"/>
    </row>
    <row r="829" spans="2:17" ht="31.5" customHeight="1" x14ac:dyDescent="0.45">
      <c r="B829" s="582"/>
      <c r="D829" s="462" t="s">
        <v>1359</v>
      </c>
      <c r="M829" s="633"/>
      <c r="N829" s="634"/>
      <c r="O829" s="633"/>
      <c r="P829" s="634"/>
      <c r="Q829" s="469"/>
    </row>
    <row r="830" spans="2:17" ht="31.5" customHeight="1" x14ac:dyDescent="0.45">
      <c r="B830" s="582"/>
      <c r="D830" s="449" t="s">
        <v>1360</v>
      </c>
      <c r="M830" s="633"/>
      <c r="N830" s="634"/>
      <c r="O830" s="633"/>
      <c r="P830" s="634"/>
      <c r="Q830" s="469"/>
    </row>
    <row r="831" spans="2:17" ht="31.5" customHeight="1" x14ac:dyDescent="0.45">
      <c r="B831" s="582"/>
      <c r="D831" s="449" t="s">
        <v>1429</v>
      </c>
      <c r="M831" s="633"/>
      <c r="N831" s="634"/>
      <c r="O831" s="633"/>
      <c r="P831" s="634"/>
      <c r="Q831" s="469"/>
    </row>
    <row r="832" spans="2:17" ht="31.5" customHeight="1" x14ac:dyDescent="0.45">
      <c r="B832" s="582"/>
      <c r="D832" s="449" t="s">
        <v>1361</v>
      </c>
      <c r="M832" s="633"/>
      <c r="N832" s="634"/>
      <c r="O832" s="633"/>
      <c r="P832" s="634"/>
      <c r="Q832" s="469"/>
    </row>
    <row r="833" spans="2:17" ht="31.5" customHeight="1" x14ac:dyDescent="0.45">
      <c r="B833" s="582"/>
      <c r="D833" s="449" t="s">
        <v>1362</v>
      </c>
      <c r="M833" s="633"/>
      <c r="N833" s="634"/>
      <c r="O833" s="633"/>
      <c r="P833" s="634"/>
      <c r="Q833" s="469"/>
    </row>
    <row r="834" spans="2:17" ht="31.5" customHeight="1" x14ac:dyDescent="0.45">
      <c r="B834" s="582"/>
      <c r="D834" s="449" t="s">
        <v>1363</v>
      </c>
      <c r="M834" s="633"/>
      <c r="N834" s="634"/>
      <c r="O834" s="633"/>
      <c r="P834" s="634"/>
      <c r="Q834" s="469"/>
    </row>
    <row r="835" spans="2:17" ht="31.5" customHeight="1" x14ac:dyDescent="0.45">
      <c r="B835" s="582"/>
      <c r="D835" s="449" t="s">
        <v>1364</v>
      </c>
      <c r="M835" s="633"/>
      <c r="N835" s="634"/>
      <c r="O835" s="633"/>
      <c r="P835" s="634"/>
      <c r="Q835" s="469"/>
    </row>
    <row r="836" spans="2:17" ht="31.5" customHeight="1" x14ac:dyDescent="0.45">
      <c r="B836" s="582"/>
      <c r="D836" s="449" t="s">
        <v>1365</v>
      </c>
      <c r="M836" s="633"/>
      <c r="N836" s="634"/>
      <c r="O836" s="633"/>
      <c r="P836" s="634"/>
      <c r="Q836" s="469"/>
    </row>
    <row r="837" spans="2:17" ht="31.5" customHeight="1" x14ac:dyDescent="0.45">
      <c r="B837" s="582"/>
      <c r="D837" s="462" t="s">
        <v>1366</v>
      </c>
      <c r="M837" s="633"/>
      <c r="N837" s="634"/>
      <c r="O837" s="633"/>
      <c r="P837" s="634"/>
      <c r="Q837" s="469"/>
    </row>
    <row r="838" spans="2:17" ht="31.5" customHeight="1" x14ac:dyDescent="0.45">
      <c r="B838" s="582"/>
      <c r="D838" s="449" t="s">
        <v>1367</v>
      </c>
      <c r="M838" s="633"/>
      <c r="N838" s="634"/>
      <c r="O838" s="633"/>
      <c r="P838" s="634"/>
      <c r="Q838" s="469"/>
    </row>
    <row r="839" spans="2:17" ht="31.5" customHeight="1" x14ac:dyDescent="0.45">
      <c r="B839" s="582"/>
      <c r="D839" s="449" t="s">
        <v>1368</v>
      </c>
      <c r="M839" s="633"/>
      <c r="N839" s="634"/>
      <c r="O839" s="633"/>
      <c r="P839" s="634"/>
      <c r="Q839" s="469"/>
    </row>
    <row r="840" spans="2:17" ht="31.5" customHeight="1" x14ac:dyDescent="0.45">
      <c r="B840" s="582"/>
      <c r="M840" s="633"/>
      <c r="N840" s="634"/>
      <c r="O840" s="633"/>
      <c r="P840" s="634"/>
      <c r="Q840" s="469"/>
    </row>
    <row r="841" spans="2:17" ht="31.5" customHeight="1" x14ac:dyDescent="0.45">
      <c r="B841" s="582"/>
      <c r="C841" s="449">
        <f>MAX(C$804:C840)+0.1</f>
        <v>1.3000000000000003</v>
      </c>
      <c r="D841" s="450" t="s">
        <v>1040</v>
      </c>
      <c r="M841" s="633"/>
      <c r="N841" s="634"/>
      <c r="O841" s="633"/>
      <c r="P841" s="634"/>
      <c r="Q841" s="469"/>
    </row>
    <row r="842" spans="2:17" ht="31.5" customHeight="1" x14ac:dyDescent="0.45">
      <c r="B842" s="582"/>
      <c r="D842" s="449" t="s">
        <v>1372</v>
      </c>
      <c r="M842" s="633"/>
      <c r="N842" s="634"/>
      <c r="O842" s="633"/>
      <c r="P842" s="634"/>
      <c r="Q842" s="469"/>
    </row>
    <row r="843" spans="2:17" ht="31.5" customHeight="1" x14ac:dyDescent="0.45">
      <c r="B843" s="582"/>
      <c r="D843" s="449" t="s">
        <v>1373</v>
      </c>
      <c r="M843" s="633"/>
      <c r="N843" s="634"/>
      <c r="O843" s="633"/>
      <c r="P843" s="634"/>
      <c r="Q843" s="469"/>
    </row>
    <row r="844" spans="2:17" ht="31.5" customHeight="1" x14ac:dyDescent="0.45">
      <c r="B844" s="582"/>
      <c r="D844" s="449" t="s">
        <v>1369</v>
      </c>
      <c r="M844" s="633"/>
      <c r="N844" s="634"/>
      <c r="O844" s="633"/>
      <c r="P844" s="634"/>
      <c r="Q844" s="469"/>
    </row>
    <row r="845" spans="2:17" ht="31.5" customHeight="1" x14ac:dyDescent="0.45">
      <c r="B845" s="582"/>
      <c r="D845" s="449" t="s">
        <v>1370</v>
      </c>
      <c r="M845" s="633"/>
      <c r="N845" s="634"/>
      <c r="O845" s="633"/>
      <c r="P845" s="634"/>
      <c r="Q845" s="469"/>
    </row>
    <row r="846" spans="2:17" ht="33" customHeight="1" x14ac:dyDescent="0.45">
      <c r="B846" s="582"/>
      <c r="D846" s="449" t="s">
        <v>1371</v>
      </c>
      <c r="M846" s="633"/>
      <c r="N846" s="634"/>
      <c r="O846" s="633"/>
      <c r="P846" s="634"/>
      <c r="Q846" s="469"/>
    </row>
    <row r="847" spans="2:17" ht="31.5" customHeight="1" x14ac:dyDescent="0.45">
      <c r="B847" s="582"/>
      <c r="D847" s="449" t="s">
        <v>1374</v>
      </c>
      <c r="M847" s="633"/>
      <c r="N847" s="634"/>
      <c r="O847" s="633"/>
      <c r="P847" s="634"/>
      <c r="Q847" s="469"/>
    </row>
    <row r="848" spans="2:17" ht="31.5" customHeight="1" x14ac:dyDescent="0.45">
      <c r="B848" s="582"/>
      <c r="D848" s="449" t="s">
        <v>1375</v>
      </c>
      <c r="M848" s="633"/>
      <c r="N848" s="634"/>
      <c r="O848" s="633"/>
      <c r="P848" s="634"/>
      <c r="Q848" s="469"/>
    </row>
    <row r="849" spans="2:18" ht="31.5" customHeight="1" x14ac:dyDescent="0.45">
      <c r="B849" s="477"/>
      <c r="C849" s="461"/>
      <c r="D849" s="461"/>
      <c r="E849" s="461"/>
      <c r="F849" s="461"/>
      <c r="G849" s="461"/>
      <c r="H849" s="461"/>
      <c r="I849" s="461"/>
      <c r="J849" s="461"/>
      <c r="K849" s="461"/>
      <c r="L849" s="461"/>
      <c r="M849" s="640"/>
      <c r="N849" s="646"/>
      <c r="O849" s="640"/>
      <c r="P849" s="631"/>
      <c r="Q849" s="479"/>
    </row>
    <row r="850" spans="2:18" ht="31.5" customHeight="1" x14ac:dyDescent="0.45"/>
    <row r="851" spans="2:18" ht="31.5" customHeight="1" x14ac:dyDescent="0.45"/>
    <row r="852" spans="2:18" ht="31.5" customHeight="1" x14ac:dyDescent="0.45">
      <c r="D852" s="450" t="str">
        <f>Criteria!E9</f>
        <v>ABC COMPANY (PROPRIETARY) LIMITED</v>
      </c>
      <c r="O852" s="529" t="s">
        <v>121</v>
      </c>
      <c r="Q852" s="451">
        <f>MAX($Q$114:Q851)+1</f>
        <v>13</v>
      </c>
    </row>
    <row r="853" spans="2:18" ht="31.5" customHeight="1" x14ac:dyDescent="0.45">
      <c r="D853" s="450" t="str">
        <f>Criteria!E10</f>
        <v>T/A SEAFRONT HOTEL, SEAFRONT RESTAURANT AND RENTAL PROPERTIES</v>
      </c>
      <c r="R853" s="512" t="str">
        <f>IF(D853=0,"DELETE"," ")</f>
        <v xml:space="preserve"> </v>
      </c>
    </row>
    <row r="854" spans="2:18" ht="31.5" customHeight="1" x14ac:dyDescent="0.45"/>
    <row r="855" spans="2:18" ht="31.5" customHeight="1" x14ac:dyDescent="0.45">
      <c r="D855" s="450" t="s">
        <v>451</v>
      </c>
    </row>
    <row r="856" spans="2:18" ht="31.5" customHeight="1" x14ac:dyDescent="0.45">
      <c r="D856" s="450" t="str">
        <f>Criteria!E20</f>
        <v>29 FEBRUARY 2024</v>
      </c>
      <c r="J856" s="449" t="s">
        <v>303</v>
      </c>
    </row>
    <row r="857" spans="2:18" ht="31.5" customHeight="1" x14ac:dyDescent="0.45"/>
    <row r="858" spans="2:18" ht="31.5" customHeight="1" x14ac:dyDescent="0.45">
      <c r="B858" s="566"/>
      <c r="C858" s="466"/>
      <c r="D858" s="466"/>
      <c r="E858" s="466"/>
      <c r="F858" s="466"/>
      <c r="G858" s="466"/>
      <c r="H858" s="466"/>
      <c r="I858" s="466"/>
      <c r="J858" s="466"/>
      <c r="K858" s="466"/>
      <c r="L858" s="466"/>
      <c r="M858" s="642"/>
      <c r="N858" s="643"/>
      <c r="O858" s="642"/>
      <c r="P858" s="643"/>
      <c r="Q858" s="467"/>
    </row>
    <row r="859" spans="2:18" ht="31.5" customHeight="1" x14ac:dyDescent="0.45">
      <c r="B859" s="582"/>
      <c r="D859" s="449" t="s">
        <v>1376</v>
      </c>
      <c r="M859" s="633"/>
      <c r="N859" s="634"/>
      <c r="O859" s="633"/>
      <c r="P859" s="634"/>
      <c r="Q859" s="469"/>
    </row>
    <row r="860" spans="2:18" ht="31.5" customHeight="1" x14ac:dyDescent="0.45">
      <c r="B860" s="582"/>
      <c r="D860" s="449" t="s">
        <v>1377</v>
      </c>
      <c r="M860" s="633"/>
      <c r="N860" s="634"/>
      <c r="O860" s="633"/>
      <c r="P860" s="634"/>
      <c r="Q860" s="469"/>
    </row>
    <row r="861" spans="2:18" ht="31.5" customHeight="1" x14ac:dyDescent="0.45">
      <c r="B861" s="582"/>
      <c r="D861" s="449" t="s">
        <v>1378</v>
      </c>
      <c r="M861" s="633"/>
      <c r="N861" s="634"/>
      <c r="O861" s="633"/>
      <c r="P861" s="634"/>
      <c r="Q861" s="469"/>
    </row>
    <row r="862" spans="2:18" ht="31.5" customHeight="1" x14ac:dyDescent="0.45">
      <c r="B862" s="582"/>
      <c r="D862" s="449" t="str">
        <f>CONCATENATE("- ",Criteria!F221)</f>
        <v>- Property</v>
      </c>
      <c r="J862" s="500">
        <f>Criteria!F222</f>
        <v>0.02</v>
      </c>
      <c r="K862" s="449" t="str">
        <f>Criteria!F223</f>
        <v>Straight line</v>
      </c>
      <c r="M862" s="633"/>
      <c r="N862" s="634"/>
      <c r="O862" s="633"/>
      <c r="P862" s="634"/>
      <c r="Q862" s="469"/>
    </row>
    <row r="863" spans="2:18" ht="31.5" customHeight="1" x14ac:dyDescent="0.45">
      <c r="B863" s="582"/>
      <c r="D863" s="449" t="str">
        <f>CONCATENATE("- ",Criteria!G220," ",Criteria!G221)</f>
        <v>- Plant and equipment</v>
      </c>
      <c r="J863" s="500">
        <f>Criteria!G222</f>
        <v>0.2</v>
      </c>
      <c r="K863" s="641" t="str">
        <f>Criteria!G223</f>
        <v>Straight line</v>
      </c>
      <c r="M863" s="633"/>
      <c r="N863" s="634"/>
      <c r="O863" s="633"/>
      <c r="P863" s="634"/>
      <c r="Q863" s="469"/>
    </row>
    <row r="864" spans="2:18" ht="31.5" customHeight="1" x14ac:dyDescent="0.45">
      <c r="B864" s="582"/>
      <c r="D864" s="449" t="str">
        <f>CONCATENATE("- ",Criteria!H220," ",Criteria!H221)</f>
        <v>- Motor vehicles</v>
      </c>
      <c r="J864" s="500">
        <f>Criteria!H222</f>
        <v>0.2</v>
      </c>
      <c r="K864" s="641" t="str">
        <f>Criteria!H223</f>
        <v>Straight line</v>
      </c>
      <c r="M864" s="633"/>
      <c r="N864" s="634"/>
      <c r="O864" s="633"/>
      <c r="P864" s="634"/>
      <c r="Q864" s="469"/>
    </row>
    <row r="865" spans="2:18" ht="31.5" customHeight="1" x14ac:dyDescent="0.45">
      <c r="B865" s="563"/>
      <c r="C865" s="450"/>
      <c r="D865" s="449" t="str">
        <f>CONCATENATE("- ",Criteria!I220," ",Criteria!I221)</f>
        <v>- Electronic equipment</v>
      </c>
      <c r="J865" s="500">
        <f>Criteria!I222</f>
        <v>0.33339999999999997</v>
      </c>
      <c r="K865" s="641" t="str">
        <f>Criteria!I223</f>
        <v>Straight line</v>
      </c>
      <c r="Q865" s="469"/>
    </row>
    <row r="866" spans="2:18" ht="31.5" customHeight="1" x14ac:dyDescent="0.45">
      <c r="B866" s="563"/>
      <c r="C866" s="450"/>
      <c r="D866" s="449" t="str">
        <f>CONCATENATE("- ",Criteria!J220," ",Criteria!J221)</f>
        <v>- Furniture and fittings</v>
      </c>
      <c r="J866" s="500">
        <f>Criteria!J222</f>
        <v>0.2</v>
      </c>
      <c r="K866" s="641" t="str">
        <f>Criteria!J223</f>
        <v>Straight line</v>
      </c>
      <c r="Q866" s="469"/>
    </row>
    <row r="867" spans="2:18" ht="31.5" customHeight="1" x14ac:dyDescent="0.45">
      <c r="B867" s="563"/>
      <c r="C867" s="450"/>
      <c r="J867" s="501"/>
      <c r="K867" s="641"/>
      <c r="Q867" s="469"/>
    </row>
    <row r="868" spans="2:18" ht="31.5" customHeight="1" x14ac:dyDescent="0.45">
      <c r="B868" s="563"/>
      <c r="C868" s="450"/>
      <c r="D868" s="449" t="s">
        <v>1295</v>
      </c>
      <c r="J868" s="501"/>
      <c r="K868" s="641"/>
      <c r="Q868" s="469"/>
    </row>
    <row r="869" spans="2:18" ht="31.5" customHeight="1" x14ac:dyDescent="0.45">
      <c r="B869" s="563"/>
      <c r="C869" s="450"/>
      <c r="D869" s="449" t="s">
        <v>1297</v>
      </c>
      <c r="J869" s="501"/>
      <c r="K869" s="641"/>
      <c r="Q869" s="469"/>
    </row>
    <row r="870" spans="2:18" ht="31.5" customHeight="1" x14ac:dyDescent="0.45">
      <c r="B870" s="563"/>
      <c r="C870" s="450"/>
      <c r="D870" s="449" t="s">
        <v>1296</v>
      </c>
      <c r="J870" s="501"/>
      <c r="K870" s="641"/>
      <c r="Q870" s="469"/>
    </row>
    <row r="871" spans="2:18" ht="31.5" customHeight="1" x14ac:dyDescent="0.45">
      <c r="B871" s="563"/>
      <c r="C871" s="450"/>
      <c r="J871" s="501"/>
      <c r="K871" s="641"/>
      <c r="Q871" s="469"/>
    </row>
    <row r="872" spans="2:18" ht="31.5" customHeight="1" x14ac:dyDescent="0.45">
      <c r="B872" s="563"/>
      <c r="C872" s="450"/>
      <c r="D872" s="449" t="s">
        <v>1041</v>
      </c>
      <c r="Q872" s="469"/>
    </row>
    <row r="873" spans="2:18" ht="31.5" customHeight="1" x14ac:dyDescent="0.45">
      <c r="B873" s="563"/>
      <c r="C873" s="450"/>
      <c r="Q873" s="469"/>
    </row>
    <row r="874" spans="2:18" ht="31.5" customHeight="1" x14ac:dyDescent="0.45">
      <c r="B874" s="563"/>
      <c r="C874" s="450"/>
      <c r="Q874" s="469"/>
    </row>
    <row r="875" spans="2:18" ht="31.5" customHeight="1" x14ac:dyDescent="0.45">
      <c r="B875" s="477"/>
      <c r="C875" s="461"/>
      <c r="D875" s="461"/>
      <c r="E875" s="461"/>
      <c r="F875" s="461"/>
      <c r="G875" s="461"/>
      <c r="H875" s="461"/>
      <c r="I875" s="461"/>
      <c r="J875" s="461"/>
      <c r="K875" s="461"/>
      <c r="L875" s="461"/>
      <c r="M875" s="640"/>
      <c r="N875" s="646"/>
      <c r="O875" s="640"/>
      <c r="P875" s="631"/>
      <c r="Q875" s="479"/>
    </row>
    <row r="876" spans="2:18" ht="31.5" customHeight="1" x14ac:dyDescent="0.45"/>
    <row r="877" spans="2:18" ht="31.5" customHeight="1" x14ac:dyDescent="0.45"/>
    <row r="878" spans="2:18" ht="31.5" customHeight="1" x14ac:dyDescent="0.45">
      <c r="D878" s="450" t="str">
        <f>Criteria!E9</f>
        <v>ABC COMPANY (PROPRIETARY) LIMITED</v>
      </c>
      <c r="O878" s="529" t="s">
        <v>121</v>
      </c>
      <c r="Q878" s="451">
        <f>MAX($Q$114:Q877)+1</f>
        <v>14</v>
      </c>
    </row>
    <row r="879" spans="2:18" ht="31.5" customHeight="1" x14ac:dyDescent="0.45">
      <c r="D879" s="450" t="str">
        <f>Criteria!E10</f>
        <v>T/A SEAFRONT HOTEL, SEAFRONT RESTAURANT AND RENTAL PROPERTIES</v>
      </c>
      <c r="R879" s="512" t="str">
        <f>IF(D879=0,"DELETE"," ")</f>
        <v xml:space="preserve"> </v>
      </c>
    </row>
    <row r="880" spans="2:18" ht="31.5" customHeight="1" x14ac:dyDescent="0.45"/>
    <row r="881" spans="2:18" ht="31.5" customHeight="1" x14ac:dyDescent="0.45">
      <c r="D881" s="450" t="s">
        <v>451</v>
      </c>
    </row>
    <row r="882" spans="2:18" ht="31.5" customHeight="1" x14ac:dyDescent="0.45">
      <c r="D882" s="450" t="str">
        <f>Criteria!E20</f>
        <v>29 FEBRUARY 2024</v>
      </c>
      <c r="J882" s="449" t="s">
        <v>303</v>
      </c>
    </row>
    <row r="883" spans="2:18" ht="31.5" customHeight="1" x14ac:dyDescent="0.45"/>
    <row r="884" spans="2:18" ht="31.5" customHeight="1" x14ac:dyDescent="0.45">
      <c r="B884" s="566"/>
      <c r="C884" s="466"/>
      <c r="D884" s="466"/>
      <c r="E884" s="466"/>
      <c r="F884" s="466"/>
      <c r="G884" s="466"/>
      <c r="H884" s="466"/>
      <c r="I884" s="466"/>
      <c r="J884" s="466"/>
      <c r="K884" s="466"/>
      <c r="L884" s="466"/>
      <c r="M884" s="642"/>
      <c r="N884" s="643"/>
      <c r="O884" s="642"/>
      <c r="P884" s="643"/>
      <c r="Q884" s="467"/>
    </row>
    <row r="885" spans="2:18" ht="31.5" customHeight="1" x14ac:dyDescent="0.45">
      <c r="B885" s="563"/>
      <c r="C885" s="449">
        <f>MAX(C$804:C884)+0.1</f>
        <v>1.4000000000000004</v>
      </c>
      <c r="D885" s="450" t="s">
        <v>1381</v>
      </c>
      <c r="Q885" s="469"/>
    </row>
    <row r="886" spans="2:18" ht="31.5" customHeight="1" x14ac:dyDescent="0.45">
      <c r="B886" s="563"/>
      <c r="C886" s="450"/>
      <c r="D886" s="449" t="s">
        <v>1382</v>
      </c>
      <c r="Q886" s="469"/>
    </row>
    <row r="887" spans="2:18" ht="31.5" customHeight="1" x14ac:dyDescent="0.45">
      <c r="B887" s="563"/>
      <c r="C887" s="450"/>
      <c r="D887" s="449" t="s">
        <v>1383</v>
      </c>
      <c r="Q887" s="469"/>
    </row>
    <row r="888" spans="2:18" ht="31.5" customHeight="1" x14ac:dyDescent="0.45">
      <c r="B888" s="563"/>
      <c r="C888" s="450"/>
      <c r="D888" s="449" t="s">
        <v>1384</v>
      </c>
      <c r="Q888" s="469"/>
    </row>
    <row r="889" spans="2:18" ht="31.5" customHeight="1" x14ac:dyDescent="0.45">
      <c r="B889" s="563"/>
      <c r="C889" s="450"/>
      <c r="D889" s="449" t="s">
        <v>1385</v>
      </c>
      <c r="Q889" s="469"/>
    </row>
    <row r="890" spans="2:18" ht="31.5" customHeight="1" x14ac:dyDescent="0.45">
      <c r="B890" s="563"/>
      <c r="C890" s="450"/>
      <c r="Q890" s="469"/>
    </row>
    <row r="891" spans="2:18" ht="31.5" customHeight="1" x14ac:dyDescent="0.45">
      <c r="B891" s="563"/>
      <c r="C891" s="450"/>
      <c r="Q891" s="469"/>
    </row>
    <row r="892" spans="2:18" ht="31.5" customHeight="1" x14ac:dyDescent="0.45">
      <c r="B892" s="477"/>
      <c r="C892" s="461"/>
      <c r="D892" s="461"/>
      <c r="E892" s="461"/>
      <c r="F892" s="461"/>
      <c r="G892" s="461"/>
      <c r="H892" s="461"/>
      <c r="I892" s="461"/>
      <c r="J892" s="461"/>
      <c r="K892" s="461"/>
      <c r="L892" s="461"/>
      <c r="M892" s="640"/>
      <c r="N892" s="646"/>
      <c r="O892" s="640"/>
      <c r="P892" s="631"/>
      <c r="Q892" s="479"/>
    </row>
    <row r="893" spans="2:18" ht="31.5" customHeight="1" x14ac:dyDescent="0.45"/>
    <row r="894" spans="2:18" ht="31.5" customHeight="1" x14ac:dyDescent="0.45"/>
    <row r="895" spans="2:18" ht="31.5" customHeight="1" x14ac:dyDescent="0.45">
      <c r="D895" s="450" t="str">
        <f>Criteria!E9</f>
        <v>ABC COMPANY (PROPRIETARY) LIMITED</v>
      </c>
      <c r="O895" s="529" t="s">
        <v>121</v>
      </c>
      <c r="Q895" s="451">
        <f>MAX($Q$114:Q894)+1</f>
        <v>15</v>
      </c>
    </row>
    <row r="896" spans="2:18" ht="31.5" customHeight="1" x14ac:dyDescent="0.45">
      <c r="D896" s="450" t="str">
        <f>Criteria!E10</f>
        <v>T/A SEAFRONT HOTEL, SEAFRONT RESTAURANT AND RENTAL PROPERTIES</v>
      </c>
      <c r="R896" s="512" t="str">
        <f>IF(D896=0,"DELETE"," ")</f>
        <v xml:space="preserve"> </v>
      </c>
    </row>
    <row r="897" spans="2:17" ht="31.5" customHeight="1" x14ac:dyDescent="0.45"/>
    <row r="898" spans="2:17" ht="31.5" customHeight="1" x14ac:dyDescent="0.45">
      <c r="D898" s="450" t="s">
        <v>451</v>
      </c>
    </row>
    <row r="899" spans="2:17" ht="31.5" customHeight="1" x14ac:dyDescent="0.45">
      <c r="D899" s="450" t="str">
        <f>Criteria!E20</f>
        <v>29 FEBRUARY 2024</v>
      </c>
      <c r="J899" s="449" t="s">
        <v>303</v>
      </c>
    </row>
    <row r="900" spans="2:17" ht="31.5" customHeight="1" x14ac:dyDescent="0.45"/>
    <row r="901" spans="2:17" ht="31.5" customHeight="1" x14ac:dyDescent="0.45">
      <c r="B901" s="566"/>
      <c r="C901" s="466"/>
      <c r="D901" s="466"/>
      <c r="E901" s="466"/>
      <c r="F901" s="466"/>
      <c r="G901" s="466"/>
      <c r="H901" s="466"/>
      <c r="I901" s="466"/>
      <c r="J901" s="466"/>
      <c r="K901" s="466"/>
      <c r="L901" s="466"/>
      <c r="M901" s="642"/>
      <c r="N901" s="643"/>
      <c r="O901" s="642"/>
      <c r="P901" s="643"/>
      <c r="Q901" s="467"/>
    </row>
    <row r="902" spans="2:17" ht="31.5" customHeight="1" x14ac:dyDescent="0.45">
      <c r="B902" s="563"/>
      <c r="C902" s="449">
        <f>MAX(C$804:C901)+0.1</f>
        <v>1.5000000000000004</v>
      </c>
      <c r="D902" s="450" t="s">
        <v>57</v>
      </c>
      <c r="Q902" s="469"/>
    </row>
    <row r="903" spans="2:17" ht="31.5" customHeight="1" x14ac:dyDescent="0.45">
      <c r="B903" s="563"/>
      <c r="C903" s="450"/>
      <c r="D903" s="449" t="s">
        <v>1389</v>
      </c>
      <c r="Q903" s="469"/>
    </row>
    <row r="904" spans="2:17" ht="31.5" customHeight="1" x14ac:dyDescent="0.45">
      <c r="B904" s="563"/>
      <c r="C904" s="450"/>
      <c r="D904" s="462" t="s">
        <v>1390</v>
      </c>
      <c r="Q904" s="469"/>
    </row>
    <row r="905" spans="2:17" ht="31.5" customHeight="1" x14ac:dyDescent="0.45">
      <c r="B905" s="563"/>
      <c r="C905" s="450"/>
      <c r="D905" s="449" t="s">
        <v>1391</v>
      </c>
      <c r="Q905" s="469"/>
    </row>
    <row r="906" spans="2:17" ht="31.5" customHeight="1" x14ac:dyDescent="0.45">
      <c r="B906" s="563"/>
      <c r="C906" s="450"/>
      <c r="D906" s="449" t="s">
        <v>1392</v>
      </c>
      <c r="Q906" s="469"/>
    </row>
    <row r="907" spans="2:17" ht="31.5" customHeight="1" x14ac:dyDescent="0.45">
      <c r="B907" s="563"/>
      <c r="C907" s="450"/>
      <c r="D907" s="449" t="s">
        <v>1393</v>
      </c>
      <c r="Q907" s="469"/>
    </row>
    <row r="908" spans="2:17" ht="31.5" customHeight="1" x14ac:dyDescent="0.45">
      <c r="B908" s="563"/>
      <c r="C908" s="450"/>
      <c r="Q908" s="469"/>
    </row>
    <row r="909" spans="2:17" ht="31.5" customHeight="1" x14ac:dyDescent="0.45">
      <c r="B909" s="563"/>
      <c r="C909" s="450"/>
      <c r="Q909" s="469"/>
    </row>
    <row r="910" spans="2:17" ht="31.5" customHeight="1" x14ac:dyDescent="0.45">
      <c r="B910" s="477"/>
      <c r="C910" s="461"/>
      <c r="D910" s="461"/>
      <c r="E910" s="461"/>
      <c r="F910" s="461"/>
      <c r="G910" s="461"/>
      <c r="H910" s="461"/>
      <c r="I910" s="461"/>
      <c r="J910" s="461"/>
      <c r="K910" s="461"/>
      <c r="L910" s="461"/>
      <c r="M910" s="640"/>
      <c r="N910" s="646"/>
      <c r="O910" s="640"/>
      <c r="P910" s="631"/>
      <c r="Q910" s="479"/>
    </row>
    <row r="911" spans="2:17" ht="31.5" customHeight="1" x14ac:dyDescent="0.45"/>
    <row r="912" spans="2:17" ht="31.5" customHeight="1" x14ac:dyDescent="0.45"/>
    <row r="913" spans="2:18" ht="31.5" customHeight="1" x14ac:dyDescent="0.45">
      <c r="D913" s="450" t="str">
        <f>Criteria!E9</f>
        <v>ABC COMPANY (PROPRIETARY) LIMITED</v>
      </c>
      <c r="O913" s="529" t="s">
        <v>121</v>
      </c>
      <c r="Q913" s="451">
        <f>MAX($Q$114:Q912)+1</f>
        <v>16</v>
      </c>
    </row>
    <row r="914" spans="2:18" ht="31.5" customHeight="1" x14ac:dyDescent="0.45">
      <c r="D914" s="450" t="str">
        <f>Criteria!E10</f>
        <v>T/A SEAFRONT HOTEL, SEAFRONT RESTAURANT AND RENTAL PROPERTIES</v>
      </c>
      <c r="R914" s="512" t="str">
        <f>IF(D914=0,"DELETE"," ")</f>
        <v xml:space="preserve"> </v>
      </c>
    </row>
    <row r="915" spans="2:18" ht="31.5" customHeight="1" x14ac:dyDescent="0.45"/>
    <row r="916" spans="2:18" ht="31.5" customHeight="1" x14ac:dyDescent="0.45">
      <c r="D916" s="450" t="s">
        <v>451</v>
      </c>
    </row>
    <row r="917" spans="2:18" ht="31.5" customHeight="1" x14ac:dyDescent="0.45">
      <c r="D917" s="450" t="str">
        <f>Criteria!E20</f>
        <v>29 FEBRUARY 2024</v>
      </c>
      <c r="J917" s="449" t="s">
        <v>303</v>
      </c>
    </row>
    <row r="918" spans="2:18" ht="31.5" customHeight="1" x14ac:dyDescent="0.45"/>
    <row r="919" spans="2:18" ht="31.5" customHeight="1" x14ac:dyDescent="0.45">
      <c r="B919" s="566"/>
      <c r="C919" s="466"/>
      <c r="D919" s="466"/>
      <c r="E919" s="466"/>
      <c r="F919" s="466"/>
      <c r="G919" s="466"/>
      <c r="H919" s="466"/>
      <c r="I919" s="466"/>
      <c r="J919" s="466"/>
      <c r="K919" s="466"/>
      <c r="L919" s="466"/>
      <c r="M919" s="642"/>
      <c r="N919" s="643"/>
      <c r="O919" s="642"/>
      <c r="P919" s="643"/>
      <c r="Q919" s="467"/>
    </row>
    <row r="920" spans="2:18" ht="31.5" customHeight="1" x14ac:dyDescent="0.45">
      <c r="B920" s="563"/>
      <c r="C920" s="450"/>
      <c r="D920" s="462" t="s">
        <v>1386</v>
      </c>
      <c r="Q920" s="469"/>
    </row>
    <row r="921" spans="2:18" ht="31.5" customHeight="1" x14ac:dyDescent="0.45">
      <c r="B921" s="563"/>
      <c r="C921" s="450"/>
      <c r="D921" s="449" t="s">
        <v>1394</v>
      </c>
      <c r="Q921" s="469"/>
    </row>
    <row r="922" spans="2:18" ht="31.5" customHeight="1" x14ac:dyDescent="0.45">
      <c r="B922" s="563"/>
      <c r="C922" s="450"/>
      <c r="D922" s="449" t="s">
        <v>1395</v>
      </c>
      <c r="Q922" s="469"/>
    </row>
    <row r="923" spans="2:18" ht="31.5" customHeight="1" x14ac:dyDescent="0.45">
      <c r="B923" s="563"/>
      <c r="C923" s="450"/>
      <c r="D923" s="449" t="s">
        <v>1396</v>
      </c>
      <c r="Q923" s="469"/>
    </row>
    <row r="924" spans="2:18" ht="31.5" customHeight="1" x14ac:dyDescent="0.45">
      <c r="B924" s="563"/>
      <c r="C924" s="450"/>
      <c r="D924" s="449" t="s">
        <v>1397</v>
      </c>
      <c r="Q924" s="469"/>
    </row>
    <row r="925" spans="2:18" ht="31.5" customHeight="1" x14ac:dyDescent="0.45">
      <c r="B925" s="563"/>
      <c r="C925" s="450"/>
      <c r="D925" s="449" t="str">
        <f>CONCATENATE("- ",Criteria!F243," years")</f>
        <v>- 10 years</v>
      </c>
      <c r="Q925" s="469"/>
    </row>
    <row r="926" spans="2:18" ht="31.5" customHeight="1" x14ac:dyDescent="0.45">
      <c r="B926" s="563"/>
      <c r="C926" s="450"/>
      <c r="Q926" s="469"/>
    </row>
    <row r="927" spans="2:18" ht="31.5" customHeight="1" x14ac:dyDescent="0.45">
      <c r="B927" s="563"/>
      <c r="C927" s="450"/>
      <c r="Q927" s="469"/>
    </row>
    <row r="928" spans="2:18" ht="31.5" customHeight="1" x14ac:dyDescent="0.45">
      <c r="B928" s="477"/>
      <c r="C928" s="461"/>
      <c r="D928" s="461"/>
      <c r="E928" s="461"/>
      <c r="F928" s="461"/>
      <c r="G928" s="461"/>
      <c r="H928" s="461"/>
      <c r="I928" s="461"/>
      <c r="J928" s="461"/>
      <c r="K928" s="461"/>
      <c r="L928" s="461"/>
      <c r="M928" s="640"/>
      <c r="N928" s="646"/>
      <c r="O928" s="640"/>
      <c r="P928" s="631"/>
      <c r="Q928" s="479"/>
    </row>
    <row r="929" spans="2:18" ht="31.5" customHeight="1" x14ac:dyDescent="0.45"/>
    <row r="930" spans="2:18" ht="31.5" customHeight="1" x14ac:dyDescent="0.45"/>
    <row r="931" spans="2:18" ht="31.5" customHeight="1" x14ac:dyDescent="0.45">
      <c r="D931" s="450" t="str">
        <f>Criteria!E9</f>
        <v>ABC COMPANY (PROPRIETARY) LIMITED</v>
      </c>
      <c r="O931" s="529" t="s">
        <v>121</v>
      </c>
      <c r="Q931" s="451">
        <f>MAX($Q$114:Q930)+1</f>
        <v>17</v>
      </c>
    </row>
    <row r="932" spans="2:18" ht="31.5" customHeight="1" x14ac:dyDescent="0.45">
      <c r="D932" s="450" t="str">
        <f>Criteria!E10</f>
        <v>T/A SEAFRONT HOTEL, SEAFRONT RESTAURANT AND RENTAL PROPERTIES</v>
      </c>
      <c r="R932" s="512" t="str">
        <f>IF(D932=0,"DELETE"," ")</f>
        <v xml:space="preserve"> </v>
      </c>
    </row>
    <row r="933" spans="2:18" ht="31.5" customHeight="1" x14ac:dyDescent="0.45"/>
    <row r="934" spans="2:18" ht="31.5" customHeight="1" x14ac:dyDescent="0.45">
      <c r="D934" s="450" t="s">
        <v>451</v>
      </c>
    </row>
    <row r="935" spans="2:18" ht="31.5" customHeight="1" x14ac:dyDescent="0.45">
      <c r="D935" s="450" t="str">
        <f>Criteria!E20</f>
        <v>29 FEBRUARY 2024</v>
      </c>
      <c r="J935" s="449" t="s">
        <v>303</v>
      </c>
    </row>
    <row r="936" spans="2:18" ht="31.5" customHeight="1" x14ac:dyDescent="0.45"/>
    <row r="937" spans="2:18" ht="31.5" customHeight="1" x14ac:dyDescent="0.45">
      <c r="B937" s="566"/>
      <c r="C937" s="466"/>
      <c r="D937" s="466"/>
      <c r="E937" s="466"/>
      <c r="F937" s="466"/>
      <c r="G937" s="466"/>
      <c r="H937" s="466"/>
      <c r="I937" s="466"/>
      <c r="J937" s="466"/>
      <c r="K937" s="466"/>
      <c r="L937" s="466"/>
      <c r="M937" s="642"/>
      <c r="N937" s="643"/>
      <c r="O937" s="642"/>
      <c r="P937" s="643"/>
      <c r="Q937" s="467"/>
    </row>
    <row r="938" spans="2:18" ht="31.5" customHeight="1" x14ac:dyDescent="0.45">
      <c r="B938" s="563"/>
      <c r="C938" s="449">
        <f>MAX(C$804:C937)+0.1</f>
        <v>1.6000000000000005</v>
      </c>
      <c r="D938" s="450" t="s">
        <v>1398</v>
      </c>
      <c r="Q938" s="469"/>
    </row>
    <row r="939" spans="2:18" ht="31.5" customHeight="1" x14ac:dyDescent="0.45">
      <c r="B939" s="563"/>
      <c r="C939" s="450"/>
      <c r="D939" s="449" t="s">
        <v>1399</v>
      </c>
      <c r="Q939" s="469"/>
    </row>
    <row r="940" spans="2:18" ht="31.5" customHeight="1" x14ac:dyDescent="0.45">
      <c r="B940" s="563"/>
      <c r="C940" s="450"/>
      <c r="D940" s="449" t="s">
        <v>1400</v>
      </c>
      <c r="Q940" s="469"/>
    </row>
    <row r="941" spans="2:18" ht="31.5" customHeight="1" x14ac:dyDescent="0.45">
      <c r="B941" s="563"/>
      <c r="C941" s="450"/>
      <c r="D941" s="449" t="s">
        <v>1401</v>
      </c>
      <c r="Q941" s="469"/>
    </row>
    <row r="942" spans="2:18" ht="31.5" customHeight="1" x14ac:dyDescent="0.45">
      <c r="B942" s="563"/>
      <c r="C942" s="450"/>
      <c r="D942" s="462" t="s">
        <v>1402</v>
      </c>
      <c r="Q942" s="469"/>
    </row>
    <row r="943" spans="2:18" ht="31.5" customHeight="1" x14ac:dyDescent="0.45">
      <c r="B943" s="563"/>
      <c r="C943" s="450"/>
      <c r="D943" s="449" t="s">
        <v>1403</v>
      </c>
      <c r="Q943" s="469"/>
    </row>
    <row r="944" spans="2:18" ht="31.5" customHeight="1" x14ac:dyDescent="0.45">
      <c r="B944" s="563"/>
      <c r="C944" s="450"/>
      <c r="D944" s="449" t="s">
        <v>1431</v>
      </c>
      <c r="Q944" s="469"/>
    </row>
    <row r="945" spans="2:18" ht="31.5" customHeight="1" x14ac:dyDescent="0.45">
      <c r="B945" s="563"/>
      <c r="C945" s="450"/>
      <c r="D945" s="462" t="s">
        <v>1404</v>
      </c>
      <c r="Q945" s="469"/>
    </row>
    <row r="946" spans="2:18" ht="31.5" customHeight="1" x14ac:dyDescent="0.45">
      <c r="B946" s="563"/>
      <c r="C946" s="450"/>
      <c r="D946" s="449" t="s">
        <v>1405</v>
      </c>
      <c r="Q946" s="469"/>
    </row>
    <row r="947" spans="2:18" ht="31.5" customHeight="1" x14ac:dyDescent="0.45">
      <c r="B947" s="563"/>
      <c r="C947" s="450"/>
      <c r="D947" s="449" t="s">
        <v>1406</v>
      </c>
      <c r="Q947" s="469"/>
    </row>
    <row r="948" spans="2:18" ht="31.5" customHeight="1" x14ac:dyDescent="0.45">
      <c r="B948" s="563"/>
      <c r="C948" s="450"/>
      <c r="Q948" s="469"/>
    </row>
    <row r="949" spans="2:18" ht="31.5" customHeight="1" x14ac:dyDescent="0.45">
      <c r="B949" s="563"/>
      <c r="C949" s="450"/>
      <c r="Q949" s="469"/>
    </row>
    <row r="950" spans="2:18" ht="31.5" customHeight="1" x14ac:dyDescent="0.45">
      <c r="B950" s="477"/>
      <c r="C950" s="461"/>
      <c r="D950" s="461"/>
      <c r="E950" s="461"/>
      <c r="F950" s="461"/>
      <c r="G950" s="461"/>
      <c r="H950" s="461"/>
      <c r="I950" s="461"/>
      <c r="J950" s="461"/>
      <c r="K950" s="461"/>
      <c r="L950" s="461"/>
      <c r="M950" s="640"/>
      <c r="N950" s="646"/>
      <c r="O950" s="640"/>
      <c r="P950" s="631"/>
      <c r="Q950" s="479"/>
    </row>
    <row r="951" spans="2:18" ht="31.5" customHeight="1" x14ac:dyDescent="0.45"/>
    <row r="952" spans="2:18" ht="31.5" customHeight="1" x14ac:dyDescent="0.45"/>
    <row r="953" spans="2:18" ht="31.5" customHeight="1" x14ac:dyDescent="0.45">
      <c r="D953" s="450" t="str">
        <f>Criteria!E9</f>
        <v>ABC COMPANY (PROPRIETARY) LIMITED</v>
      </c>
      <c r="O953" s="529" t="s">
        <v>121</v>
      </c>
      <c r="Q953" s="451">
        <f>MAX($Q$114:Q952)+1</f>
        <v>18</v>
      </c>
    </row>
    <row r="954" spans="2:18" ht="31.5" customHeight="1" x14ac:dyDescent="0.45">
      <c r="D954" s="450" t="str">
        <f>Criteria!E10</f>
        <v>T/A SEAFRONT HOTEL, SEAFRONT RESTAURANT AND RENTAL PROPERTIES</v>
      </c>
      <c r="R954" s="512" t="str">
        <f>IF(D954=0,"DELETE"," ")</f>
        <v xml:space="preserve"> </v>
      </c>
    </row>
    <row r="955" spans="2:18" ht="31.5" customHeight="1" x14ac:dyDescent="0.45"/>
    <row r="956" spans="2:18" ht="31.5" customHeight="1" x14ac:dyDescent="0.45">
      <c r="D956" s="450" t="s">
        <v>451</v>
      </c>
    </row>
    <row r="957" spans="2:18" ht="31.5" customHeight="1" x14ac:dyDescent="0.45">
      <c r="D957" s="450" t="str">
        <f>Criteria!E20</f>
        <v>29 FEBRUARY 2024</v>
      </c>
      <c r="J957" s="449" t="s">
        <v>303</v>
      </c>
    </row>
    <row r="958" spans="2:18" ht="31.5" customHeight="1" x14ac:dyDescent="0.45"/>
    <row r="959" spans="2:18" ht="31.5" customHeight="1" x14ac:dyDescent="0.45">
      <c r="B959" s="566"/>
      <c r="C959" s="466"/>
      <c r="D959" s="466"/>
      <c r="E959" s="466"/>
      <c r="F959" s="466"/>
      <c r="G959" s="466"/>
      <c r="H959" s="466"/>
      <c r="I959" s="466"/>
      <c r="J959" s="466"/>
      <c r="K959" s="466"/>
      <c r="L959" s="466"/>
      <c r="M959" s="642"/>
      <c r="N959" s="643"/>
      <c r="O959" s="642"/>
      <c r="P959" s="643"/>
      <c r="Q959" s="467"/>
    </row>
    <row r="960" spans="2:18" ht="31.5" customHeight="1" x14ac:dyDescent="0.45">
      <c r="B960" s="563"/>
      <c r="C960" s="449">
        <f>MAX(C$804:C959)+0.1</f>
        <v>1.7000000000000006</v>
      </c>
      <c r="D960" s="450" t="s">
        <v>1316</v>
      </c>
      <c r="Q960" s="469"/>
    </row>
    <row r="961" spans="2:18" ht="31.5" customHeight="1" x14ac:dyDescent="0.45">
      <c r="B961" s="563"/>
      <c r="C961" s="450"/>
      <c r="D961" s="449" t="s">
        <v>1407</v>
      </c>
      <c r="Q961" s="469"/>
    </row>
    <row r="962" spans="2:18" ht="31.5" customHeight="1" x14ac:dyDescent="0.45">
      <c r="B962" s="563"/>
      <c r="C962" s="450"/>
      <c r="D962" s="449" t="s">
        <v>1408</v>
      </c>
      <c r="Q962" s="469"/>
    </row>
    <row r="963" spans="2:18" ht="31.5" customHeight="1" x14ac:dyDescent="0.45">
      <c r="B963" s="563"/>
      <c r="C963" s="450"/>
      <c r="Q963" s="469"/>
    </row>
    <row r="964" spans="2:18" ht="31.5" customHeight="1" x14ac:dyDescent="0.45">
      <c r="B964" s="563"/>
      <c r="C964" s="450"/>
      <c r="Q964" s="469"/>
    </row>
    <row r="965" spans="2:18" ht="31.5" customHeight="1" x14ac:dyDescent="0.45">
      <c r="B965" s="477"/>
      <c r="C965" s="461"/>
      <c r="D965" s="461"/>
      <c r="E965" s="461"/>
      <c r="F965" s="461"/>
      <c r="G965" s="461"/>
      <c r="H965" s="461"/>
      <c r="I965" s="461"/>
      <c r="J965" s="461"/>
      <c r="K965" s="461"/>
      <c r="L965" s="461"/>
      <c r="M965" s="640"/>
      <c r="N965" s="646"/>
      <c r="O965" s="640"/>
      <c r="P965" s="631"/>
      <c r="Q965" s="479"/>
    </row>
    <row r="966" spans="2:18" ht="31.5" customHeight="1" x14ac:dyDescent="0.45"/>
    <row r="967" spans="2:18" ht="31.5" customHeight="1" x14ac:dyDescent="0.45"/>
    <row r="968" spans="2:18" ht="31.5" customHeight="1" x14ac:dyDescent="0.45">
      <c r="D968" s="450" t="str">
        <f>Criteria!E9</f>
        <v>ABC COMPANY (PROPRIETARY) LIMITED</v>
      </c>
      <c r="O968" s="529" t="s">
        <v>121</v>
      </c>
      <c r="Q968" s="451">
        <f>MAX($Q$114:Q967)+1</f>
        <v>19</v>
      </c>
    </row>
    <row r="969" spans="2:18" ht="31.5" customHeight="1" x14ac:dyDescent="0.45">
      <c r="D969" s="450" t="str">
        <f>Criteria!E10</f>
        <v>T/A SEAFRONT HOTEL, SEAFRONT RESTAURANT AND RENTAL PROPERTIES</v>
      </c>
      <c r="R969" s="512" t="str">
        <f>IF(D969=0,"DELETE"," ")</f>
        <v xml:space="preserve"> </v>
      </c>
    </row>
    <row r="970" spans="2:18" ht="31.5" customHeight="1" x14ac:dyDescent="0.45"/>
    <row r="971" spans="2:18" ht="31.5" customHeight="1" x14ac:dyDescent="0.45">
      <c r="D971" s="450" t="s">
        <v>451</v>
      </c>
    </row>
    <row r="972" spans="2:18" ht="31.5" customHeight="1" x14ac:dyDescent="0.45">
      <c r="D972" s="450" t="str">
        <f>Criteria!E20</f>
        <v>29 FEBRUARY 2024</v>
      </c>
      <c r="J972" s="449" t="s">
        <v>303</v>
      </c>
    </row>
    <row r="973" spans="2:18" ht="31.5" customHeight="1" x14ac:dyDescent="0.45"/>
    <row r="974" spans="2:18" ht="31.5" customHeight="1" x14ac:dyDescent="0.45">
      <c r="B974" s="566"/>
      <c r="C974" s="466"/>
      <c r="D974" s="466"/>
      <c r="E974" s="466"/>
      <c r="F974" s="466"/>
      <c r="G974" s="466"/>
      <c r="H974" s="466"/>
      <c r="I974" s="466"/>
      <c r="J974" s="466"/>
      <c r="K974" s="466"/>
      <c r="L974" s="466"/>
      <c r="M974" s="642"/>
      <c r="N974" s="643"/>
      <c r="O974" s="642"/>
      <c r="P974" s="643"/>
      <c r="Q974" s="467"/>
    </row>
    <row r="975" spans="2:18" ht="31.5" customHeight="1" x14ac:dyDescent="0.45">
      <c r="B975" s="563"/>
      <c r="C975" s="449">
        <f>MAX(C$804:C974)+0.1</f>
        <v>1.8000000000000007</v>
      </c>
      <c r="D975" s="450" t="s">
        <v>308</v>
      </c>
      <c r="Q975" s="469"/>
    </row>
    <row r="976" spans="2:18" ht="31.5" customHeight="1" x14ac:dyDescent="0.45">
      <c r="B976" s="563"/>
      <c r="C976" s="450"/>
      <c r="D976" s="462" t="s">
        <v>1045</v>
      </c>
      <c r="Q976" s="469"/>
    </row>
    <row r="977" spans="2:18" ht="31.5" customHeight="1" x14ac:dyDescent="0.45">
      <c r="B977" s="563"/>
      <c r="C977" s="450"/>
      <c r="D977" s="449" t="s">
        <v>1417</v>
      </c>
      <c r="Q977" s="469"/>
    </row>
    <row r="978" spans="2:18" ht="31.5" customHeight="1" x14ac:dyDescent="0.45">
      <c r="B978" s="563"/>
      <c r="C978" s="450"/>
      <c r="D978" s="449" t="s">
        <v>1298</v>
      </c>
      <c r="Q978" s="469"/>
    </row>
    <row r="979" spans="2:18" ht="31.5" customHeight="1" x14ac:dyDescent="0.45">
      <c r="B979" s="563"/>
      <c r="C979" s="450"/>
      <c r="D979" s="449" t="s">
        <v>1418</v>
      </c>
      <c r="Q979" s="469"/>
    </row>
    <row r="980" spans="2:18" ht="31.5" customHeight="1" x14ac:dyDescent="0.45">
      <c r="B980" s="563"/>
      <c r="C980" s="450"/>
      <c r="D980" s="449" t="s">
        <v>1419</v>
      </c>
      <c r="Q980" s="469"/>
    </row>
    <row r="981" spans="2:18" ht="31.5" customHeight="1" x14ac:dyDescent="0.45">
      <c r="B981" s="563"/>
      <c r="C981" s="450"/>
      <c r="D981" s="449" t="s">
        <v>1299</v>
      </c>
      <c r="Q981" s="469"/>
    </row>
    <row r="982" spans="2:18" ht="31.5" customHeight="1" x14ac:dyDescent="0.45">
      <c r="B982" s="563"/>
      <c r="C982" s="450"/>
      <c r="Q982" s="469"/>
    </row>
    <row r="983" spans="2:18" ht="31.5" customHeight="1" x14ac:dyDescent="0.45">
      <c r="B983" s="563"/>
      <c r="C983" s="450"/>
      <c r="Q983" s="469"/>
    </row>
    <row r="984" spans="2:18" ht="31.5" customHeight="1" x14ac:dyDescent="0.45">
      <c r="B984" s="477"/>
      <c r="C984" s="461"/>
      <c r="D984" s="461"/>
      <c r="E984" s="461"/>
      <c r="F984" s="461"/>
      <c r="G984" s="461"/>
      <c r="H984" s="461"/>
      <c r="I984" s="461"/>
      <c r="J984" s="461"/>
      <c r="K984" s="461"/>
      <c r="L984" s="461"/>
      <c r="M984" s="640"/>
      <c r="N984" s="646"/>
      <c r="O984" s="640"/>
      <c r="P984" s="631"/>
      <c r="Q984" s="479"/>
    </row>
    <row r="985" spans="2:18" ht="31.5" customHeight="1" x14ac:dyDescent="0.45"/>
    <row r="986" spans="2:18" ht="31.5" customHeight="1" x14ac:dyDescent="0.45"/>
    <row r="987" spans="2:18" ht="31.5" customHeight="1" x14ac:dyDescent="0.45">
      <c r="D987" s="450" t="str">
        <f>Criteria!E9</f>
        <v>ABC COMPANY (PROPRIETARY) LIMITED</v>
      </c>
      <c r="O987" s="529" t="s">
        <v>121</v>
      </c>
      <c r="Q987" s="451">
        <f>MAX($Q$114:Q986)+1</f>
        <v>20</v>
      </c>
    </row>
    <row r="988" spans="2:18" ht="31.5" customHeight="1" x14ac:dyDescent="0.45">
      <c r="D988" s="450" t="str">
        <f>Criteria!E10</f>
        <v>T/A SEAFRONT HOTEL, SEAFRONT RESTAURANT AND RENTAL PROPERTIES</v>
      </c>
      <c r="R988" s="512" t="str">
        <f>IF(D988=0,"DELETE"," ")</f>
        <v xml:space="preserve"> </v>
      </c>
    </row>
    <row r="989" spans="2:18" ht="31.5" customHeight="1" x14ac:dyDescent="0.45"/>
    <row r="990" spans="2:18" ht="31.5" customHeight="1" x14ac:dyDescent="0.45">
      <c r="D990" s="450" t="s">
        <v>451</v>
      </c>
    </row>
    <row r="991" spans="2:18" ht="31.5" customHeight="1" x14ac:dyDescent="0.45">
      <c r="D991" s="450" t="str">
        <f>Criteria!E20</f>
        <v>29 FEBRUARY 2024</v>
      </c>
      <c r="J991" s="449" t="s">
        <v>303</v>
      </c>
    </row>
    <row r="992" spans="2:18" ht="31.5" customHeight="1" x14ac:dyDescent="0.45"/>
    <row r="993" spans="2:17" ht="31.5" customHeight="1" x14ac:dyDescent="0.45">
      <c r="B993" s="566"/>
      <c r="C993" s="466"/>
      <c r="D993" s="466"/>
      <c r="E993" s="466"/>
      <c r="F993" s="466"/>
      <c r="G993" s="466"/>
      <c r="H993" s="466"/>
      <c r="I993" s="466"/>
      <c r="J993" s="466"/>
      <c r="K993" s="466"/>
      <c r="L993" s="466"/>
      <c r="M993" s="642"/>
      <c r="N993" s="643"/>
      <c r="O993" s="642"/>
      <c r="P993" s="643"/>
      <c r="Q993" s="467"/>
    </row>
    <row r="994" spans="2:17" ht="31.5" customHeight="1" x14ac:dyDescent="0.45">
      <c r="B994" s="563"/>
      <c r="C994" s="450"/>
      <c r="D994" s="462" t="s">
        <v>1424</v>
      </c>
      <c r="Q994" s="469"/>
    </row>
    <row r="995" spans="2:17" ht="31.5" customHeight="1" x14ac:dyDescent="0.45">
      <c r="B995" s="563"/>
      <c r="C995" s="450"/>
      <c r="D995" s="449" t="s">
        <v>1300</v>
      </c>
      <c r="Q995" s="469"/>
    </row>
    <row r="996" spans="2:17" ht="31.5" customHeight="1" x14ac:dyDescent="0.45">
      <c r="B996" s="563"/>
      <c r="C996" s="450"/>
      <c r="D996" s="449" t="s">
        <v>1301</v>
      </c>
      <c r="Q996" s="469"/>
    </row>
    <row r="997" spans="2:17" ht="31.5" customHeight="1" x14ac:dyDescent="0.45">
      <c r="B997" s="563"/>
      <c r="C997" s="450"/>
      <c r="D997" s="449" t="s">
        <v>1420</v>
      </c>
      <c r="Q997" s="469"/>
    </row>
    <row r="998" spans="2:17" ht="31.5" customHeight="1" x14ac:dyDescent="0.45">
      <c r="B998" s="563"/>
      <c r="C998" s="450"/>
      <c r="D998" s="449" t="s">
        <v>1421</v>
      </c>
      <c r="Q998" s="469"/>
    </row>
    <row r="999" spans="2:17" ht="31.5" customHeight="1" x14ac:dyDescent="0.45">
      <c r="B999" s="563"/>
      <c r="C999" s="450"/>
      <c r="D999" s="449" t="s">
        <v>1422</v>
      </c>
      <c r="Q999" s="469"/>
    </row>
    <row r="1000" spans="2:17" ht="31.5" customHeight="1" x14ac:dyDescent="0.45">
      <c r="B1000" s="563"/>
      <c r="C1000" s="450"/>
      <c r="D1000" s="449" t="s">
        <v>1423</v>
      </c>
      <c r="Q1000" s="469"/>
    </row>
    <row r="1001" spans="2:17" ht="31.5" customHeight="1" x14ac:dyDescent="0.45">
      <c r="B1001" s="563"/>
      <c r="C1001" s="450"/>
      <c r="D1001" s="449" t="s">
        <v>1430</v>
      </c>
      <c r="Q1001" s="469"/>
    </row>
    <row r="1002" spans="2:17" ht="31.5" customHeight="1" x14ac:dyDescent="0.45">
      <c r="B1002" s="563"/>
      <c r="C1002" s="450"/>
      <c r="D1002" s="449" t="s">
        <v>1302</v>
      </c>
      <c r="Q1002" s="469"/>
    </row>
    <row r="1003" spans="2:17" ht="31.5" customHeight="1" x14ac:dyDescent="0.45">
      <c r="B1003" s="563"/>
      <c r="C1003" s="450"/>
      <c r="Q1003" s="469"/>
    </row>
    <row r="1004" spans="2:17" ht="31.5" customHeight="1" x14ac:dyDescent="0.45">
      <c r="B1004" s="563"/>
      <c r="C1004" s="450"/>
      <c r="Q1004" s="469"/>
    </row>
    <row r="1005" spans="2:17" ht="31.5" customHeight="1" x14ac:dyDescent="0.45">
      <c r="B1005" s="477"/>
      <c r="C1005" s="461"/>
      <c r="D1005" s="461"/>
      <c r="E1005" s="461"/>
      <c r="F1005" s="461"/>
      <c r="G1005" s="461"/>
      <c r="H1005" s="461"/>
      <c r="I1005" s="461"/>
      <c r="J1005" s="461"/>
      <c r="K1005" s="461"/>
      <c r="L1005" s="461"/>
      <c r="M1005" s="640"/>
      <c r="N1005" s="646"/>
      <c r="O1005" s="640"/>
      <c r="P1005" s="631"/>
      <c r="Q1005" s="479"/>
    </row>
    <row r="1006" spans="2:17" ht="31.5" customHeight="1" x14ac:dyDescent="0.45"/>
    <row r="1007" spans="2:17" ht="31.5" customHeight="1" x14ac:dyDescent="0.45"/>
    <row r="1008" spans="2:17" ht="31.5" customHeight="1" x14ac:dyDescent="0.45">
      <c r="D1008" s="450" t="str">
        <f>Criteria!E9</f>
        <v>ABC COMPANY (PROPRIETARY) LIMITED</v>
      </c>
      <c r="O1008" s="529" t="s">
        <v>121</v>
      </c>
      <c r="Q1008" s="451">
        <f>MAX($Q$114:Q1007)+1</f>
        <v>21</v>
      </c>
    </row>
    <row r="1009" spans="2:18" ht="31.5" customHeight="1" x14ac:dyDescent="0.45">
      <c r="D1009" s="450" t="str">
        <f>Criteria!E10</f>
        <v>T/A SEAFRONT HOTEL, SEAFRONT RESTAURANT AND RENTAL PROPERTIES</v>
      </c>
      <c r="R1009" s="512" t="str">
        <f>IF(D1009=0,"DELETE"," ")</f>
        <v xml:space="preserve"> </v>
      </c>
    </row>
    <row r="1010" spans="2:18" ht="31.5" customHeight="1" x14ac:dyDescent="0.45"/>
    <row r="1011" spans="2:18" ht="31.5" customHeight="1" x14ac:dyDescent="0.45">
      <c r="D1011" s="450" t="s">
        <v>451</v>
      </c>
    </row>
    <row r="1012" spans="2:18" ht="31.5" customHeight="1" x14ac:dyDescent="0.45">
      <c r="D1012" s="450" t="str">
        <f>Criteria!E20</f>
        <v>29 FEBRUARY 2024</v>
      </c>
      <c r="J1012" s="449" t="s">
        <v>303</v>
      </c>
    </row>
    <row r="1013" spans="2:18" ht="31.5" customHeight="1" x14ac:dyDescent="0.45"/>
    <row r="1014" spans="2:18" ht="31.5" customHeight="1" x14ac:dyDescent="0.45">
      <c r="B1014" s="566"/>
      <c r="C1014" s="466"/>
      <c r="D1014" s="466"/>
      <c r="E1014" s="466"/>
      <c r="F1014" s="466"/>
      <c r="G1014" s="466"/>
      <c r="H1014" s="466"/>
      <c r="I1014" s="466"/>
      <c r="J1014" s="466"/>
      <c r="K1014" s="466"/>
      <c r="L1014" s="466"/>
      <c r="M1014" s="642"/>
      <c r="N1014" s="643"/>
      <c r="O1014" s="642"/>
      <c r="P1014" s="643"/>
      <c r="Q1014" s="467"/>
    </row>
    <row r="1015" spans="2:18" ht="31.5" customHeight="1" x14ac:dyDescent="0.45">
      <c r="B1015" s="563"/>
      <c r="C1015" s="449">
        <f>MAX(C$804:C1014)+0.1</f>
        <v>1.9000000000000008</v>
      </c>
      <c r="D1015" s="450" t="s">
        <v>61</v>
      </c>
      <c r="Q1015" s="469"/>
    </row>
    <row r="1016" spans="2:18" ht="31.5" customHeight="1" x14ac:dyDescent="0.45">
      <c r="B1016" s="563"/>
      <c r="C1016" s="450"/>
      <c r="D1016" s="449" t="s">
        <v>1426</v>
      </c>
      <c r="Q1016" s="469"/>
    </row>
    <row r="1017" spans="2:18" ht="31.5" customHeight="1" x14ac:dyDescent="0.45">
      <c r="B1017" s="563"/>
      <c r="C1017" s="450"/>
      <c r="Q1017" s="469"/>
    </row>
    <row r="1018" spans="2:18" ht="31.5" customHeight="1" x14ac:dyDescent="0.45">
      <c r="B1018" s="563"/>
      <c r="C1018" s="450"/>
      <c r="Q1018" s="469"/>
    </row>
    <row r="1019" spans="2:18" ht="31.5" customHeight="1" x14ac:dyDescent="0.45">
      <c r="B1019" s="567"/>
      <c r="C1019" s="502"/>
      <c r="D1019" s="461"/>
      <c r="E1019" s="461"/>
      <c r="F1019" s="461"/>
      <c r="G1019" s="461"/>
      <c r="H1019" s="461"/>
      <c r="I1019" s="461"/>
      <c r="J1019" s="461"/>
      <c r="K1019" s="461"/>
      <c r="L1019" s="461"/>
      <c r="M1019" s="630"/>
      <c r="N1019" s="631"/>
      <c r="O1019" s="630"/>
      <c r="P1019" s="631"/>
      <c r="Q1019" s="479"/>
    </row>
    <row r="1020" spans="2:18" ht="31.5" customHeight="1" x14ac:dyDescent="0.45">
      <c r="C1020" s="450"/>
    </row>
    <row r="1021" spans="2:18" ht="31.5" customHeight="1" x14ac:dyDescent="0.45"/>
    <row r="1022" spans="2:18" ht="31.5" customHeight="1" x14ac:dyDescent="0.45">
      <c r="D1022" s="450" t="str">
        <f>Criteria!E9</f>
        <v>ABC COMPANY (PROPRIETARY) LIMITED</v>
      </c>
      <c r="O1022" s="529" t="s">
        <v>121</v>
      </c>
      <c r="Q1022" s="451">
        <f>MAX($Q$114:Q1021)+1</f>
        <v>22</v>
      </c>
    </row>
    <row r="1023" spans="2:18" ht="31.5" customHeight="1" x14ac:dyDescent="0.45">
      <c r="D1023" s="450" t="str">
        <f>Criteria!E10</f>
        <v>T/A SEAFRONT HOTEL, SEAFRONT RESTAURANT AND RENTAL PROPERTIES</v>
      </c>
      <c r="R1023" s="512" t="str">
        <f>IF(D1023=0,"DELETE"," ")</f>
        <v xml:space="preserve"> </v>
      </c>
    </row>
    <row r="1024" spans="2:18" ht="31.5" customHeight="1" x14ac:dyDescent="0.45"/>
    <row r="1025" spans="2:18" ht="31.5" customHeight="1" x14ac:dyDescent="0.45">
      <c r="D1025" s="450" t="s">
        <v>451</v>
      </c>
    </row>
    <row r="1026" spans="2:18" ht="31.5" customHeight="1" x14ac:dyDescent="0.45">
      <c r="D1026" s="450" t="str">
        <f>Criteria!E20</f>
        <v>29 FEBRUARY 2024</v>
      </c>
      <c r="J1026" s="449" t="s">
        <v>303</v>
      </c>
    </row>
    <row r="1027" spans="2:18" ht="31.5" customHeight="1" x14ac:dyDescent="0.45">
      <c r="D1027" s="450"/>
    </row>
    <row r="1028" spans="2:18" ht="31.5" customHeight="1" x14ac:dyDescent="0.45">
      <c r="B1028" s="465"/>
      <c r="C1028" s="466"/>
      <c r="D1028" s="503"/>
      <c r="E1028" s="466"/>
      <c r="F1028" s="466"/>
      <c r="G1028" s="466"/>
      <c r="H1028" s="466"/>
      <c r="I1028" s="466"/>
      <c r="J1028" s="466"/>
      <c r="K1028" s="466"/>
      <c r="L1028" s="466"/>
      <c r="M1028" s="642"/>
      <c r="N1028" s="643"/>
      <c r="O1028" s="642"/>
      <c r="P1028" s="643"/>
      <c r="Q1028" s="467"/>
    </row>
    <row r="1029" spans="2:18" ht="31.5" customHeight="1" x14ac:dyDescent="0.45">
      <c r="B1029" s="468"/>
      <c r="D1029" s="450"/>
      <c r="M1029" s="633"/>
      <c r="N1029" s="634"/>
      <c r="O1029" s="549">
        <f>Criteria!E22</f>
        <v>2024</v>
      </c>
      <c r="P1029" s="634"/>
      <c r="Q1029" s="469"/>
    </row>
    <row r="1030" spans="2:18" ht="31.5" customHeight="1" x14ac:dyDescent="0.45">
      <c r="B1030" s="468"/>
      <c r="D1030" s="450"/>
      <c r="M1030" s="633"/>
      <c r="N1030" s="634"/>
      <c r="O1030" s="633"/>
      <c r="P1030" s="634"/>
      <c r="Q1030" s="469"/>
    </row>
    <row r="1031" spans="2:18" ht="31.5" customHeight="1" x14ac:dyDescent="0.45">
      <c r="B1031" s="563">
        <f>MAX($B$804:B1030)+1</f>
        <v>2</v>
      </c>
      <c r="C1031" s="450" t="s">
        <v>137</v>
      </c>
      <c r="D1031" s="450"/>
      <c r="M1031" s="633"/>
      <c r="N1031" s="634"/>
      <c r="O1031" s="633"/>
      <c r="P1031" s="634"/>
      <c r="Q1031" s="469"/>
    </row>
    <row r="1032" spans="2:18" ht="31.5" customHeight="1" x14ac:dyDescent="0.45">
      <c r="B1032" s="468"/>
      <c r="D1032" s="449" t="str">
        <f>TrialBalance!C5</f>
        <v>Sale of goods</v>
      </c>
      <c r="M1032" s="633"/>
      <c r="N1032" s="634"/>
      <c r="O1032" s="639">
        <f>-TrialBalance!L5-TrialBalanceA!I5-TrialBalanceB!I5-TrialBalanceC!I5</f>
        <v>0</v>
      </c>
      <c r="P1032" s="634"/>
      <c r="Q1032" s="469"/>
      <c r="R1032" s="512" t="str">
        <f>IF(O1032=0,IF(SUM(O1033:O1038)&gt;0,"DELETE"," ")," ")</f>
        <v xml:space="preserve"> </v>
      </c>
    </row>
    <row r="1033" spans="2:18" ht="31.5" customHeight="1" x14ac:dyDescent="0.45">
      <c r="B1033" s="468"/>
      <c r="D1033" s="449" t="str">
        <f>TrialBalance!C6</f>
        <v>Rendering of services</v>
      </c>
      <c r="M1033" s="633"/>
      <c r="N1033" s="634"/>
      <c r="O1033" s="639">
        <f>-TrialBalance!L6-TrialBalanceA!I6-TrialBalanceB!I6-TrialBalanceC!I6</f>
        <v>0</v>
      </c>
      <c r="P1033" s="634"/>
      <c r="Q1033" s="469"/>
      <c r="R1033" s="512" t="str">
        <f>IF(O1033=0,"DELETE"," ")</f>
        <v>DELETE</v>
      </c>
    </row>
    <row r="1034" spans="2:18" ht="31.5" customHeight="1" x14ac:dyDescent="0.45">
      <c r="B1034" s="468"/>
      <c r="D1034" s="449" t="str">
        <f>TrialBalance!C7</f>
        <v>Commissions received</v>
      </c>
      <c r="M1034" s="633"/>
      <c r="N1034" s="634"/>
      <c r="O1034" s="639">
        <f>-TrialBalance!L7-TrialBalanceA!I7-TrialBalanceB!I7-TrialBalanceC!I7</f>
        <v>0</v>
      </c>
      <c r="P1034" s="634"/>
      <c r="Q1034" s="469"/>
      <c r="R1034" s="512" t="str">
        <f t="shared" ref="R1034:R1035" si="27">IF(O1034=0,"DELETE"," ")</f>
        <v>DELETE</v>
      </c>
    </row>
    <row r="1035" spans="2:18" ht="31.5" customHeight="1" x14ac:dyDescent="0.45">
      <c r="B1035" s="468"/>
      <c r="D1035" s="449">
        <f>TrialBalance!C8</f>
        <v>0</v>
      </c>
      <c r="M1035" s="633"/>
      <c r="N1035" s="634"/>
      <c r="O1035" s="639">
        <f>-TrialBalance!L8-TrialBalanceA!I8-TrialBalanceB!I8-TrialBalanceC!I8</f>
        <v>0</v>
      </c>
      <c r="P1035" s="634"/>
      <c r="Q1035" s="469"/>
      <c r="R1035" s="512" t="str">
        <f t="shared" si="27"/>
        <v>DELETE</v>
      </c>
    </row>
    <row r="1036" spans="2:18" ht="31.5" customHeight="1" x14ac:dyDescent="0.45">
      <c r="B1036" s="468"/>
      <c r="D1036" s="449">
        <f>TrialBalance!C9</f>
        <v>0</v>
      </c>
      <c r="M1036" s="633"/>
      <c r="N1036" s="634"/>
      <c r="O1036" s="639">
        <f>-TrialBalance!L9-TrialBalanceA!I9-TrialBalanceB!I9-TrialBalanceC!I9</f>
        <v>0</v>
      </c>
      <c r="P1036" s="634"/>
      <c r="Q1036" s="469"/>
      <c r="R1036" s="512" t="str">
        <f>IF(O1036=0,"DELETE"," ")</f>
        <v>DELETE</v>
      </c>
    </row>
    <row r="1037" spans="2:18" ht="31.5" customHeight="1" x14ac:dyDescent="0.45">
      <c r="B1037" s="468"/>
      <c r="D1037" s="449">
        <f>TrialBalance!C10</f>
        <v>0</v>
      </c>
      <c r="M1037" s="633"/>
      <c r="N1037" s="634"/>
      <c r="O1037" s="639">
        <f>-TrialBalance!L10-TrialBalanceA!I10-TrialBalanceB!I10-TrialBalanceC!I10</f>
        <v>0</v>
      </c>
      <c r="P1037" s="634"/>
      <c r="Q1037" s="469"/>
      <c r="R1037" s="512" t="str">
        <f>IF(O1037=0,"DELETE"," ")</f>
        <v>DELETE</v>
      </c>
    </row>
    <row r="1038" spans="2:18" ht="31.5" customHeight="1" x14ac:dyDescent="0.45">
      <c r="B1038" s="468"/>
      <c r="D1038" s="449" t="str">
        <f>TrialBalance!C11</f>
        <v>Rent received</v>
      </c>
      <c r="M1038" s="633"/>
      <c r="N1038" s="634"/>
      <c r="O1038" s="639">
        <f>-TrialBalance!L11-TrialBalanceA!I11-TrialBalanceB!I11-TrialBalanceC!I11</f>
        <v>0</v>
      </c>
      <c r="P1038" s="634"/>
      <c r="Q1038" s="469"/>
      <c r="R1038" s="512" t="str">
        <f>IF(O1038=0,"DELETE"," ")</f>
        <v>DELETE</v>
      </c>
    </row>
    <row r="1039" spans="2:18" ht="9" customHeight="1" x14ac:dyDescent="0.45">
      <c r="B1039" s="468"/>
      <c r="M1039" s="633"/>
      <c r="N1039" s="634"/>
      <c r="O1039" s="640"/>
      <c r="P1039" s="634"/>
      <c r="Q1039" s="469"/>
    </row>
    <row r="1040" spans="2:18" ht="9" customHeight="1" x14ac:dyDescent="0.45">
      <c r="B1040" s="468"/>
      <c r="D1040" s="450"/>
      <c r="M1040" s="633"/>
      <c r="N1040" s="634"/>
      <c r="O1040" s="639"/>
      <c r="P1040" s="634"/>
      <c r="Q1040" s="469"/>
    </row>
    <row r="1041" spans="2:18" ht="31.5" customHeight="1" x14ac:dyDescent="0.45">
      <c r="B1041" s="468"/>
      <c r="D1041" s="450"/>
      <c r="M1041" s="633"/>
      <c r="N1041" s="634"/>
      <c r="O1041" s="639">
        <f>SUM(O1032:O1040)</f>
        <v>0</v>
      </c>
      <c r="P1041" s="634"/>
      <c r="Q1041" s="469"/>
    </row>
    <row r="1042" spans="2:18" ht="9" customHeight="1" thickBot="1" x14ac:dyDescent="0.5">
      <c r="B1042" s="468"/>
      <c r="D1042" s="450"/>
      <c r="M1042" s="633"/>
      <c r="N1042" s="634"/>
      <c r="O1042" s="638"/>
      <c r="P1042" s="634"/>
      <c r="Q1042" s="469"/>
    </row>
    <row r="1043" spans="2:18" ht="9" customHeight="1" thickTop="1" x14ac:dyDescent="0.45">
      <c r="B1043" s="468"/>
      <c r="D1043" s="450"/>
      <c r="M1043" s="633"/>
      <c r="N1043" s="634"/>
      <c r="O1043" s="639"/>
      <c r="P1043" s="634"/>
      <c r="Q1043" s="469"/>
    </row>
    <row r="1044" spans="2:18" ht="31.5" customHeight="1" x14ac:dyDescent="0.45">
      <c r="B1044" s="468"/>
      <c r="D1044" s="450"/>
      <c r="M1044" s="633"/>
      <c r="N1044" s="634"/>
      <c r="O1044" s="633"/>
      <c r="P1044" s="634"/>
      <c r="Q1044" s="469"/>
    </row>
    <row r="1045" spans="2:18" ht="31.5" customHeight="1" x14ac:dyDescent="0.45">
      <c r="B1045" s="468"/>
      <c r="D1045" s="450"/>
      <c r="M1045" s="633"/>
      <c r="N1045" s="634"/>
      <c r="O1045" s="633"/>
      <c r="P1045" s="634"/>
      <c r="Q1045" s="469"/>
    </row>
    <row r="1046" spans="2:18" ht="31.5" customHeight="1" x14ac:dyDescent="0.45">
      <c r="B1046" s="567"/>
      <c r="C1046" s="502"/>
      <c r="D1046" s="461"/>
      <c r="E1046" s="461"/>
      <c r="F1046" s="461"/>
      <c r="G1046" s="461"/>
      <c r="H1046" s="461"/>
      <c r="I1046" s="461"/>
      <c r="J1046" s="461"/>
      <c r="K1046" s="461"/>
      <c r="L1046" s="461"/>
      <c r="M1046" s="630"/>
      <c r="N1046" s="631"/>
      <c r="O1046" s="630"/>
      <c r="P1046" s="631"/>
      <c r="Q1046" s="479"/>
    </row>
    <row r="1047" spans="2:18" ht="31.5" customHeight="1" x14ac:dyDescent="0.45">
      <c r="C1047" s="450"/>
    </row>
    <row r="1048" spans="2:18" ht="31.5" customHeight="1" x14ac:dyDescent="0.45">
      <c r="R1048" s="512" t="str">
        <f t="shared" ref="R1048:R1049" si="28">R$1085</f>
        <v>DELETE</v>
      </c>
    </row>
    <row r="1049" spans="2:18" ht="31.5" customHeight="1" x14ac:dyDescent="0.45">
      <c r="D1049" s="450" t="str">
        <f>Criteria!E9</f>
        <v>ABC COMPANY (PROPRIETARY) LIMITED</v>
      </c>
      <c r="O1049" s="529" t="s">
        <v>121</v>
      </c>
      <c r="Q1049" s="451">
        <f>MAX($Q$114:Q1048)+1</f>
        <v>23</v>
      </c>
      <c r="R1049" s="512" t="str">
        <f t="shared" si="28"/>
        <v>DELETE</v>
      </c>
    </row>
    <row r="1050" spans="2:18" ht="31.5" customHeight="1" x14ac:dyDescent="0.45">
      <c r="D1050" s="450" t="str">
        <f>Criteria!E10</f>
        <v>T/A SEAFRONT HOTEL, SEAFRONT RESTAURANT AND RENTAL PROPERTIES</v>
      </c>
      <c r="R1050" s="512" t="str">
        <f>IF(R$1085="DELETE","DELETE",IF(D1050=0,"DELETE"," "))</f>
        <v>DELETE</v>
      </c>
    </row>
    <row r="1051" spans="2:18" ht="31.5" customHeight="1" x14ac:dyDescent="0.45">
      <c r="R1051" s="512" t="str">
        <f t="shared" ref="R1051:R1057" si="29">R$1085</f>
        <v>DELETE</v>
      </c>
    </row>
    <row r="1052" spans="2:18" ht="31.5" customHeight="1" x14ac:dyDescent="0.45">
      <c r="D1052" s="450" t="s">
        <v>451</v>
      </c>
      <c r="R1052" s="512" t="str">
        <f t="shared" si="29"/>
        <v>DELETE</v>
      </c>
    </row>
    <row r="1053" spans="2:18" ht="31.5" customHeight="1" x14ac:dyDescent="0.45">
      <c r="D1053" s="450" t="str">
        <f>Criteria!E20</f>
        <v>29 FEBRUARY 2024</v>
      </c>
      <c r="J1053" s="449" t="s">
        <v>303</v>
      </c>
      <c r="R1053" s="512" t="str">
        <f t="shared" si="29"/>
        <v>DELETE</v>
      </c>
    </row>
    <row r="1054" spans="2:18" ht="31.5" customHeight="1" x14ac:dyDescent="0.45">
      <c r="D1054" s="450"/>
      <c r="R1054" s="512" t="str">
        <f t="shared" si="29"/>
        <v>DELETE</v>
      </c>
    </row>
    <row r="1055" spans="2:18" ht="31.5" customHeight="1" x14ac:dyDescent="0.45">
      <c r="B1055" s="465"/>
      <c r="C1055" s="466"/>
      <c r="D1055" s="503"/>
      <c r="E1055" s="466"/>
      <c r="F1055" s="466"/>
      <c r="G1055" s="466"/>
      <c r="H1055" s="466"/>
      <c r="I1055" s="466"/>
      <c r="J1055" s="466"/>
      <c r="K1055" s="466"/>
      <c r="L1055" s="466"/>
      <c r="M1055" s="642"/>
      <c r="N1055" s="643"/>
      <c r="O1055" s="642"/>
      <c r="P1055" s="643"/>
      <c r="Q1055" s="467"/>
      <c r="R1055" s="512" t="str">
        <f t="shared" si="29"/>
        <v>DELETE</v>
      </c>
    </row>
    <row r="1056" spans="2:18" ht="31.5" customHeight="1" x14ac:dyDescent="0.45">
      <c r="B1056" s="468"/>
      <c r="D1056" s="450"/>
      <c r="M1056" s="633"/>
      <c r="N1056" s="634"/>
      <c r="O1056" s="549">
        <f>Criteria!E22</f>
        <v>2024</v>
      </c>
      <c r="P1056" s="634"/>
      <c r="Q1056" s="469"/>
      <c r="R1056" s="512" t="str">
        <f t="shared" si="29"/>
        <v>DELETE</v>
      </c>
    </row>
    <row r="1057" spans="2:18" ht="31.5" customHeight="1" x14ac:dyDescent="0.45">
      <c r="B1057" s="468"/>
      <c r="D1057" s="450"/>
      <c r="M1057" s="633"/>
      <c r="N1057" s="634"/>
      <c r="O1057" s="633"/>
      <c r="P1057" s="634"/>
      <c r="Q1057" s="469"/>
      <c r="R1057" s="512" t="str">
        <f t="shared" si="29"/>
        <v>DELETE</v>
      </c>
    </row>
    <row r="1058" spans="2:18" ht="31.5" customHeight="1" x14ac:dyDescent="0.45">
      <c r="B1058" s="563">
        <f>MAX($B$804:B1057)+1</f>
        <v>3</v>
      </c>
      <c r="C1058" s="450" t="s">
        <v>385</v>
      </c>
      <c r="L1058" s="452"/>
      <c r="M1058" s="527"/>
      <c r="N1058" s="449"/>
      <c r="O1058" s="548"/>
      <c r="P1058" s="634"/>
      <c r="Q1058" s="469"/>
      <c r="R1058" s="512" t="str">
        <f>R$1085</f>
        <v>DELETE</v>
      </c>
    </row>
    <row r="1059" spans="2:18" ht="31.5" customHeight="1" x14ac:dyDescent="0.45">
      <c r="B1059" s="563"/>
      <c r="C1059" s="450"/>
      <c r="D1059" s="449" t="str">
        <f>TrialBalance!C28</f>
        <v>Insurance claims - Seafront Hotel</v>
      </c>
      <c r="L1059" s="452"/>
      <c r="M1059" s="527"/>
      <c r="N1059" s="449"/>
      <c r="O1059" s="548">
        <f>-TrialBalance!L28</f>
        <v>0</v>
      </c>
      <c r="P1059" s="634"/>
      <c r="Q1059" s="469"/>
      <c r="R1059" s="512" t="str">
        <f t="shared" ref="R1059:R1081" si="30">IF(O1059=0,"DELETE"," ")</f>
        <v>DELETE</v>
      </c>
    </row>
    <row r="1060" spans="2:18" ht="31.5" customHeight="1" x14ac:dyDescent="0.45">
      <c r="B1060" s="563"/>
      <c r="C1060" s="450"/>
      <c r="D1060" s="449" t="str">
        <f>TrialBalance!C29</f>
        <v>Government grants received</v>
      </c>
      <c r="L1060" s="452"/>
      <c r="M1060" s="527"/>
      <c r="N1060" s="449"/>
      <c r="O1060" s="548">
        <f>-TrialBalance!L29</f>
        <v>0</v>
      </c>
      <c r="P1060" s="634"/>
      <c r="Q1060" s="469"/>
      <c r="R1060" s="512" t="str">
        <f t="shared" si="30"/>
        <v>DELETE</v>
      </c>
    </row>
    <row r="1061" spans="2:18" ht="31.5" customHeight="1" x14ac:dyDescent="0.45">
      <c r="B1061" s="563"/>
      <c r="C1061" s="450"/>
      <c r="D1061" s="449">
        <f>TrialBalance!C30</f>
        <v>0</v>
      </c>
      <c r="L1061" s="452"/>
      <c r="M1061" s="527"/>
      <c r="N1061" s="449"/>
      <c r="O1061" s="548">
        <f>-TrialBalance!L30</f>
        <v>0</v>
      </c>
      <c r="P1061" s="634"/>
      <c r="Q1061" s="469"/>
      <c r="R1061" s="512" t="str">
        <f t="shared" si="30"/>
        <v>DELETE</v>
      </c>
    </row>
    <row r="1062" spans="2:18" ht="31.5" customHeight="1" x14ac:dyDescent="0.45">
      <c r="B1062" s="563"/>
      <c r="C1062" s="450"/>
      <c r="D1062" s="449">
        <f>TrialBalance!C31</f>
        <v>0</v>
      </c>
      <c r="L1062" s="452"/>
      <c r="M1062" s="527"/>
      <c r="N1062" s="449"/>
      <c r="O1062" s="548">
        <f>-TrialBalance!L31</f>
        <v>0</v>
      </c>
      <c r="P1062" s="634"/>
      <c r="Q1062" s="469"/>
      <c r="R1062" s="512" t="str">
        <f t="shared" si="30"/>
        <v>DELETE</v>
      </c>
    </row>
    <row r="1063" spans="2:18" ht="31.5" customHeight="1" x14ac:dyDescent="0.45">
      <c r="B1063" s="563"/>
      <c r="C1063" s="450"/>
      <c r="D1063" s="449">
        <f>TrialBalance!C32</f>
        <v>0</v>
      </c>
      <c r="L1063" s="452"/>
      <c r="M1063" s="527"/>
      <c r="N1063" s="449"/>
      <c r="O1063" s="548">
        <f>-TrialBalance!L32</f>
        <v>0</v>
      </c>
      <c r="P1063" s="634"/>
      <c r="Q1063" s="469"/>
      <c r="R1063" s="512" t="str">
        <f t="shared" si="30"/>
        <v>DELETE</v>
      </c>
    </row>
    <row r="1064" spans="2:18" ht="31.5" customHeight="1" x14ac:dyDescent="0.45">
      <c r="B1064" s="563"/>
      <c r="C1064" s="450"/>
      <c r="D1064" s="449" t="str">
        <f>TrialBalance!C33</f>
        <v>Recoupment of depreciation</v>
      </c>
      <c r="L1064" s="452"/>
      <c r="M1064" s="527"/>
      <c r="N1064" s="449"/>
      <c r="O1064" s="548">
        <f>-TrialBalance!L33</f>
        <v>0</v>
      </c>
      <c r="P1064" s="634"/>
      <c r="Q1064" s="469"/>
      <c r="R1064" s="512" t="str">
        <f t="shared" ref="R1064" si="31">IF(O1064=0,"DELETE"," ")</f>
        <v>DELETE</v>
      </c>
    </row>
    <row r="1065" spans="2:18" ht="31.5" customHeight="1" x14ac:dyDescent="0.45">
      <c r="B1065" s="563"/>
      <c r="C1065" s="450"/>
      <c r="D1065" s="449" t="str">
        <f>TrialBalanceA!C28</f>
        <v>Insurance claims - Seafront Restaurant</v>
      </c>
      <c r="L1065" s="452"/>
      <c r="M1065" s="527"/>
      <c r="N1065" s="449"/>
      <c r="O1065" s="548">
        <f>-TrialBalanceA!I28</f>
        <v>0</v>
      </c>
      <c r="P1065" s="634"/>
      <c r="Q1065" s="469"/>
      <c r="R1065" s="512" t="str">
        <f t="shared" si="30"/>
        <v>DELETE</v>
      </c>
    </row>
    <row r="1066" spans="2:18" ht="31.5" customHeight="1" x14ac:dyDescent="0.45">
      <c r="B1066" s="563"/>
      <c r="C1066" s="450"/>
      <c r="D1066" s="449" t="str">
        <f>TrialBalanceA!C29</f>
        <v>Government grants received</v>
      </c>
      <c r="L1066" s="452"/>
      <c r="M1066" s="527"/>
      <c r="N1066" s="449"/>
      <c r="O1066" s="548">
        <f>-TrialBalanceA!I29</f>
        <v>0</v>
      </c>
      <c r="P1066" s="634"/>
      <c r="Q1066" s="469"/>
      <c r="R1066" s="512" t="str">
        <f t="shared" si="30"/>
        <v>DELETE</v>
      </c>
    </row>
    <row r="1067" spans="2:18" ht="31.5" customHeight="1" x14ac:dyDescent="0.45">
      <c r="B1067" s="563"/>
      <c r="C1067" s="450"/>
      <c r="D1067" s="449">
        <f>TrialBalanceA!C30</f>
        <v>0</v>
      </c>
      <c r="L1067" s="452"/>
      <c r="M1067" s="527"/>
      <c r="N1067" s="449"/>
      <c r="O1067" s="548">
        <f>-TrialBalanceA!I30</f>
        <v>0</v>
      </c>
      <c r="P1067" s="634"/>
      <c r="Q1067" s="469"/>
      <c r="R1067" s="512" t="str">
        <f t="shared" si="30"/>
        <v>DELETE</v>
      </c>
    </row>
    <row r="1068" spans="2:18" ht="31.5" customHeight="1" x14ac:dyDescent="0.45">
      <c r="B1068" s="563"/>
      <c r="C1068" s="450"/>
      <c r="D1068" s="449">
        <f>TrialBalanceA!C31</f>
        <v>0</v>
      </c>
      <c r="L1068" s="452"/>
      <c r="M1068" s="527"/>
      <c r="N1068" s="449"/>
      <c r="O1068" s="548">
        <f>-TrialBalanceA!I31</f>
        <v>0</v>
      </c>
      <c r="P1068" s="634"/>
      <c r="Q1068" s="469"/>
      <c r="R1068" s="512" t="str">
        <f t="shared" si="30"/>
        <v>DELETE</v>
      </c>
    </row>
    <row r="1069" spans="2:18" ht="31.5" customHeight="1" x14ac:dyDescent="0.45">
      <c r="B1069" s="563"/>
      <c r="C1069" s="450"/>
      <c r="D1069" s="449">
        <f>TrialBalanceA!C32</f>
        <v>0</v>
      </c>
      <c r="L1069" s="452"/>
      <c r="M1069" s="527"/>
      <c r="N1069" s="449"/>
      <c r="O1069" s="548">
        <f>-TrialBalanceA!I32</f>
        <v>0</v>
      </c>
      <c r="P1069" s="634"/>
      <c r="Q1069" s="469"/>
      <c r="R1069" s="512" t="str">
        <f t="shared" si="30"/>
        <v>DELETE</v>
      </c>
    </row>
    <row r="1070" spans="2:18" ht="31.5" customHeight="1" x14ac:dyDescent="0.45">
      <c r="B1070" s="563"/>
      <c r="C1070" s="450"/>
      <c r="D1070" s="449" t="str">
        <f>TrialBalanceA!C33</f>
        <v>Recoupment of depreciation</v>
      </c>
      <c r="L1070" s="452"/>
      <c r="M1070" s="527"/>
      <c r="N1070" s="449"/>
      <c r="O1070" s="548">
        <f>-TrialBalanceA!I33</f>
        <v>0</v>
      </c>
      <c r="P1070" s="634"/>
      <c r="Q1070" s="469"/>
      <c r="R1070" s="512" t="str">
        <f t="shared" ref="R1070" si="32">IF(O1070=0,"DELETE"," ")</f>
        <v>DELETE</v>
      </c>
    </row>
    <row r="1071" spans="2:18" ht="31.5" customHeight="1" x14ac:dyDescent="0.45">
      <c r="B1071" s="563"/>
      <c r="C1071" s="450"/>
      <c r="D1071" s="449" t="str">
        <f>TrialBalanceB!C28</f>
        <v>Insurance claims - Rental Properties</v>
      </c>
      <c r="L1071" s="452"/>
      <c r="M1071" s="527"/>
      <c r="N1071" s="449"/>
      <c r="O1071" s="548">
        <f>-TrialBalanceB!I28</f>
        <v>0</v>
      </c>
      <c r="P1071" s="634"/>
      <c r="Q1071" s="469"/>
      <c r="R1071" s="512" t="str">
        <f t="shared" si="30"/>
        <v>DELETE</v>
      </c>
    </row>
    <row r="1072" spans="2:18" ht="31.5" customHeight="1" x14ac:dyDescent="0.45">
      <c r="B1072" s="563"/>
      <c r="C1072" s="450"/>
      <c r="D1072" s="449" t="str">
        <f>TrialBalanceB!C29</f>
        <v>Government grants received</v>
      </c>
      <c r="L1072" s="452"/>
      <c r="M1072" s="527"/>
      <c r="N1072" s="449"/>
      <c r="O1072" s="548">
        <f>-TrialBalanceB!I29</f>
        <v>0</v>
      </c>
      <c r="P1072" s="634"/>
      <c r="Q1072" s="469"/>
      <c r="R1072" s="512" t="str">
        <f t="shared" si="30"/>
        <v>DELETE</v>
      </c>
    </row>
    <row r="1073" spans="2:18" ht="31.5" customHeight="1" x14ac:dyDescent="0.45">
      <c r="B1073" s="563"/>
      <c r="C1073" s="450"/>
      <c r="D1073" s="449">
        <f>TrialBalanceB!C30</f>
        <v>0</v>
      </c>
      <c r="L1073" s="452"/>
      <c r="M1073" s="527"/>
      <c r="N1073" s="449"/>
      <c r="O1073" s="548">
        <f>-TrialBalanceB!I30</f>
        <v>0</v>
      </c>
      <c r="P1073" s="634"/>
      <c r="Q1073" s="469"/>
      <c r="R1073" s="512" t="str">
        <f t="shared" si="30"/>
        <v>DELETE</v>
      </c>
    </row>
    <row r="1074" spans="2:18" ht="31.5" customHeight="1" x14ac:dyDescent="0.45">
      <c r="B1074" s="563"/>
      <c r="C1074" s="450"/>
      <c r="D1074" s="449">
        <f>TrialBalanceB!C31</f>
        <v>0</v>
      </c>
      <c r="L1074" s="452"/>
      <c r="M1074" s="527"/>
      <c r="N1074" s="449"/>
      <c r="O1074" s="548">
        <f>-TrialBalanceB!I31</f>
        <v>0</v>
      </c>
      <c r="P1074" s="634"/>
      <c r="Q1074" s="469"/>
      <c r="R1074" s="512" t="str">
        <f t="shared" si="30"/>
        <v>DELETE</v>
      </c>
    </row>
    <row r="1075" spans="2:18" ht="31.5" customHeight="1" x14ac:dyDescent="0.45">
      <c r="B1075" s="563"/>
      <c r="C1075" s="450"/>
      <c r="D1075" s="449">
        <f>TrialBalanceB!C32</f>
        <v>0</v>
      </c>
      <c r="L1075" s="452"/>
      <c r="M1075" s="527"/>
      <c r="N1075" s="449"/>
      <c r="O1075" s="548">
        <f>-TrialBalanceB!I32</f>
        <v>0</v>
      </c>
      <c r="P1075" s="634"/>
      <c r="Q1075" s="469"/>
      <c r="R1075" s="512" t="str">
        <f t="shared" si="30"/>
        <v>DELETE</v>
      </c>
    </row>
    <row r="1076" spans="2:18" ht="31.5" customHeight="1" x14ac:dyDescent="0.45">
      <c r="B1076" s="563"/>
      <c r="C1076" s="450"/>
      <c r="D1076" s="449" t="str">
        <f>TrialBalanceB!C33</f>
        <v>Recoupment of depreciation</v>
      </c>
      <c r="L1076" s="452"/>
      <c r="M1076" s="527"/>
      <c r="N1076" s="449"/>
      <c r="O1076" s="548">
        <f>-TrialBalanceB!I33</f>
        <v>0</v>
      </c>
      <c r="P1076" s="634"/>
      <c r="Q1076" s="469"/>
      <c r="R1076" s="512" t="str">
        <f t="shared" ref="R1076" si="33">IF(O1076=0,"DELETE"," ")</f>
        <v>DELETE</v>
      </c>
    </row>
    <row r="1077" spans="2:18" ht="31.5" customHeight="1" x14ac:dyDescent="0.45">
      <c r="B1077" s="563"/>
      <c r="C1077" s="450"/>
      <c r="D1077" s="449" t="str">
        <f>TrialBalanceC!C28</f>
        <v xml:space="preserve">Insurance claims - </v>
      </c>
      <c r="L1077" s="452"/>
      <c r="M1077" s="527"/>
      <c r="N1077" s="449"/>
      <c r="O1077" s="548">
        <f>-TrialBalanceC!I28</f>
        <v>0</v>
      </c>
      <c r="P1077" s="634"/>
      <c r="Q1077" s="469"/>
      <c r="R1077" s="512" t="str">
        <f t="shared" si="30"/>
        <v>DELETE</v>
      </c>
    </row>
    <row r="1078" spans="2:18" ht="31.5" customHeight="1" x14ac:dyDescent="0.45">
      <c r="B1078" s="563"/>
      <c r="C1078" s="450"/>
      <c r="D1078" s="449" t="str">
        <f>TrialBalanceC!C29</f>
        <v>Government grants received</v>
      </c>
      <c r="L1078" s="452"/>
      <c r="M1078" s="527"/>
      <c r="N1078" s="449"/>
      <c r="O1078" s="548">
        <f>-TrialBalanceC!I29</f>
        <v>0</v>
      </c>
      <c r="P1078" s="634"/>
      <c r="Q1078" s="469"/>
      <c r="R1078" s="512" t="str">
        <f t="shared" si="30"/>
        <v>DELETE</v>
      </c>
    </row>
    <row r="1079" spans="2:18" ht="31.5" customHeight="1" x14ac:dyDescent="0.45">
      <c r="B1079" s="563"/>
      <c r="C1079" s="450"/>
      <c r="D1079" s="449">
        <f>TrialBalanceC!C30</f>
        <v>0</v>
      </c>
      <c r="L1079" s="452"/>
      <c r="M1079" s="527"/>
      <c r="N1079" s="449"/>
      <c r="O1079" s="548">
        <f>-TrialBalanceC!I30</f>
        <v>0</v>
      </c>
      <c r="P1079" s="634"/>
      <c r="Q1079" s="469"/>
      <c r="R1079" s="512" t="str">
        <f t="shared" si="30"/>
        <v>DELETE</v>
      </c>
    </row>
    <row r="1080" spans="2:18" ht="31.5" customHeight="1" x14ac:dyDescent="0.45">
      <c r="B1080" s="563"/>
      <c r="C1080" s="450"/>
      <c r="D1080" s="449">
        <f>TrialBalanceC!C31</f>
        <v>0</v>
      </c>
      <c r="L1080" s="452"/>
      <c r="M1080" s="527"/>
      <c r="N1080" s="449"/>
      <c r="O1080" s="548">
        <f>-TrialBalanceC!I31</f>
        <v>0</v>
      </c>
      <c r="P1080" s="634"/>
      <c r="Q1080" s="469"/>
      <c r="R1080" s="512" t="str">
        <f t="shared" si="30"/>
        <v>DELETE</v>
      </c>
    </row>
    <row r="1081" spans="2:18" ht="31.5" customHeight="1" x14ac:dyDescent="0.45">
      <c r="B1081" s="563"/>
      <c r="C1081" s="450"/>
      <c r="D1081" s="449">
        <f>TrialBalanceC!C32</f>
        <v>0</v>
      </c>
      <c r="L1081" s="452"/>
      <c r="M1081" s="527"/>
      <c r="N1081" s="449"/>
      <c r="O1081" s="548">
        <f>-TrialBalanceC!I32</f>
        <v>0</v>
      </c>
      <c r="P1081" s="634"/>
      <c r="Q1081" s="469"/>
      <c r="R1081" s="512" t="str">
        <f t="shared" si="30"/>
        <v>DELETE</v>
      </c>
    </row>
    <row r="1082" spans="2:18" ht="31.5" customHeight="1" x14ac:dyDescent="0.45">
      <c r="B1082" s="563"/>
      <c r="C1082" s="450"/>
      <c r="D1082" s="449" t="str">
        <f>TrialBalanceC!C33</f>
        <v>Recoupment of depreciation</v>
      </c>
      <c r="L1082" s="452"/>
      <c r="M1082" s="527"/>
      <c r="N1082" s="449"/>
      <c r="O1082" s="548">
        <f>-TrialBalanceC!I33</f>
        <v>0</v>
      </c>
      <c r="P1082" s="634"/>
      <c r="Q1082" s="469"/>
      <c r="R1082" s="512" t="str">
        <f t="shared" ref="R1082" si="34">IF(O1082=0,"DELETE"," ")</f>
        <v>DELETE</v>
      </c>
    </row>
    <row r="1083" spans="2:18" ht="9" customHeight="1" x14ac:dyDescent="0.45">
      <c r="B1083" s="563"/>
      <c r="C1083" s="450"/>
      <c r="L1083" s="452"/>
      <c r="M1083" s="527"/>
      <c r="N1083" s="449"/>
      <c r="O1083" s="535"/>
      <c r="P1083" s="634"/>
      <c r="Q1083" s="469"/>
      <c r="R1083" s="512" t="str">
        <f>R$1085</f>
        <v>DELETE</v>
      </c>
    </row>
    <row r="1084" spans="2:18" ht="9" customHeight="1" x14ac:dyDescent="0.45">
      <c r="B1084" s="563"/>
      <c r="C1084" s="450"/>
      <c r="L1084" s="452"/>
      <c r="M1084" s="527"/>
      <c r="N1084" s="449"/>
      <c r="O1084" s="548"/>
      <c r="P1084" s="634"/>
      <c r="Q1084" s="469"/>
      <c r="R1084" s="512" t="str">
        <f>R$1085</f>
        <v>DELETE</v>
      </c>
    </row>
    <row r="1085" spans="2:18" ht="31.5" customHeight="1" x14ac:dyDescent="0.45">
      <c r="B1085" s="563"/>
      <c r="C1085" s="450"/>
      <c r="L1085" s="452"/>
      <c r="M1085" s="527"/>
      <c r="N1085" s="449"/>
      <c r="O1085" s="548">
        <f>SUM(O1059:O1084)</f>
        <v>0</v>
      </c>
      <c r="P1085" s="634"/>
      <c r="Q1085" s="469"/>
      <c r="R1085" s="512" t="str">
        <f t="shared" ref="R1085" si="35">IF(O1085=0,"DELETE"," ")</f>
        <v>DELETE</v>
      </c>
    </row>
    <row r="1086" spans="2:18" ht="9" customHeight="1" thickBot="1" x14ac:dyDescent="0.5">
      <c r="B1086" s="563"/>
      <c r="C1086" s="450"/>
      <c r="L1086" s="452"/>
      <c r="M1086" s="527"/>
      <c r="N1086" s="449"/>
      <c r="O1086" s="536"/>
      <c r="P1086" s="634"/>
      <c r="Q1086" s="469"/>
      <c r="R1086" s="512" t="str">
        <f>R$1085</f>
        <v>DELETE</v>
      </c>
    </row>
    <row r="1087" spans="2:18" ht="9" customHeight="1" thickTop="1" x14ac:dyDescent="0.45">
      <c r="B1087" s="563"/>
      <c r="C1087" s="450"/>
      <c r="L1087" s="452"/>
      <c r="M1087" s="527"/>
      <c r="N1087" s="449"/>
      <c r="O1087" s="548"/>
      <c r="P1087" s="634"/>
      <c r="Q1087" s="469"/>
      <c r="R1087" s="512" t="str">
        <f>R$1085</f>
        <v>DELETE</v>
      </c>
    </row>
    <row r="1088" spans="2:18" ht="31.5" customHeight="1" x14ac:dyDescent="0.45">
      <c r="B1088" s="563"/>
      <c r="C1088" s="450"/>
      <c r="L1088" s="452"/>
      <c r="M1088" s="527"/>
      <c r="N1088" s="449"/>
      <c r="O1088" s="548"/>
      <c r="P1088" s="634"/>
      <c r="Q1088" s="469"/>
      <c r="R1088" s="512" t="str">
        <f>R$1085</f>
        <v>DELETE</v>
      </c>
    </row>
    <row r="1089" spans="2:23" ht="31.5" customHeight="1" x14ac:dyDescent="0.45">
      <c r="B1089" s="563"/>
      <c r="C1089" s="450"/>
      <c r="L1089" s="452"/>
      <c r="M1089" s="527"/>
      <c r="N1089" s="449"/>
      <c r="O1089" s="548"/>
      <c r="P1089" s="634"/>
      <c r="Q1089" s="469"/>
      <c r="R1089" s="512" t="str">
        <f t="shared" ref="R1089:R1091" si="36">R$1085</f>
        <v>DELETE</v>
      </c>
    </row>
    <row r="1090" spans="2:23" ht="31.5" customHeight="1" x14ac:dyDescent="0.45">
      <c r="B1090" s="567"/>
      <c r="C1090" s="502"/>
      <c r="D1090" s="461"/>
      <c r="E1090" s="461"/>
      <c r="F1090" s="461"/>
      <c r="G1090" s="461"/>
      <c r="H1090" s="461"/>
      <c r="I1090" s="461"/>
      <c r="J1090" s="461"/>
      <c r="K1090" s="461"/>
      <c r="L1090" s="461"/>
      <c r="M1090" s="630"/>
      <c r="N1090" s="631"/>
      <c r="O1090" s="630"/>
      <c r="P1090" s="631"/>
      <c r="Q1090" s="479"/>
      <c r="R1090" s="512" t="str">
        <f t="shared" si="36"/>
        <v>DELETE</v>
      </c>
    </row>
    <row r="1091" spans="2:23" ht="31.5" customHeight="1" x14ac:dyDescent="0.45">
      <c r="C1091" s="450"/>
      <c r="R1091" s="512" t="str">
        <f t="shared" si="36"/>
        <v>DELETE</v>
      </c>
    </row>
    <row r="1092" spans="2:23" ht="31.5" customHeight="1" x14ac:dyDescent="0.45"/>
    <row r="1093" spans="2:23" ht="31.5" customHeight="1" x14ac:dyDescent="0.45">
      <c r="D1093" s="450" t="str">
        <f>Criteria!E9</f>
        <v>ABC COMPANY (PROPRIETARY) LIMITED</v>
      </c>
      <c r="O1093" s="529" t="s">
        <v>121</v>
      </c>
      <c r="Q1093" s="451">
        <f>MAX($Q$114:Q1092)+1</f>
        <v>24</v>
      </c>
    </row>
    <row r="1094" spans="2:23" ht="31.5" customHeight="1" x14ac:dyDescent="0.45">
      <c r="D1094" s="450" t="str">
        <f>Criteria!E10</f>
        <v>T/A SEAFRONT HOTEL, SEAFRONT RESTAURANT AND RENTAL PROPERTIES</v>
      </c>
      <c r="R1094" s="512" t="str">
        <f>IF(D1094=0,"DELETE"," ")</f>
        <v xml:space="preserve"> </v>
      </c>
    </row>
    <row r="1095" spans="2:23" ht="31.5" customHeight="1" x14ac:dyDescent="0.45"/>
    <row r="1096" spans="2:23" ht="31.5" customHeight="1" x14ac:dyDescent="0.45">
      <c r="D1096" s="450" t="s">
        <v>451</v>
      </c>
    </row>
    <row r="1097" spans="2:23" ht="31.5" customHeight="1" x14ac:dyDescent="0.45">
      <c r="D1097" s="450" t="str">
        <f>Criteria!E20</f>
        <v>29 FEBRUARY 2024</v>
      </c>
      <c r="J1097" s="449" t="s">
        <v>303</v>
      </c>
    </row>
    <row r="1098" spans="2:23" ht="31.5" customHeight="1" x14ac:dyDescent="0.45">
      <c r="D1098" s="450"/>
    </row>
    <row r="1099" spans="2:23" ht="31.5" customHeight="1" x14ac:dyDescent="0.45">
      <c r="B1099" s="465"/>
      <c r="C1099" s="466"/>
      <c r="D1099" s="503"/>
      <c r="E1099" s="466"/>
      <c r="F1099" s="466"/>
      <c r="G1099" s="466"/>
      <c r="H1099" s="466"/>
      <c r="I1099" s="466"/>
      <c r="J1099" s="466"/>
      <c r="K1099" s="466"/>
      <c r="L1099" s="466"/>
      <c r="M1099" s="642"/>
      <c r="N1099" s="643"/>
      <c r="O1099" s="642"/>
      <c r="P1099" s="643"/>
      <c r="Q1099" s="467"/>
    </row>
    <row r="1100" spans="2:23" ht="31.5" customHeight="1" x14ac:dyDescent="0.45">
      <c r="B1100" s="468"/>
      <c r="D1100" s="450"/>
      <c r="M1100" s="633"/>
      <c r="N1100" s="634"/>
      <c r="O1100" s="549">
        <f>Criteria!E22</f>
        <v>2024</v>
      </c>
      <c r="P1100" s="634"/>
      <c r="Q1100" s="469"/>
    </row>
    <row r="1101" spans="2:23" ht="31.5" customHeight="1" x14ac:dyDescent="0.45">
      <c r="B1101" s="563"/>
      <c r="C1101" s="450"/>
      <c r="L1101" s="452"/>
      <c r="M1101" s="527"/>
      <c r="N1101" s="449"/>
      <c r="O1101" s="548"/>
      <c r="P1101" s="634"/>
      <c r="Q1101" s="469"/>
    </row>
    <row r="1102" spans="2:23" ht="31.5" customHeight="1" x14ac:dyDescent="0.45">
      <c r="B1102" s="563">
        <f>MAX($B$804:B1101)+1</f>
        <v>4</v>
      </c>
      <c r="C1102" s="592" t="str">
        <f>IF(W1102=2,"OPERATING PROFIT","OPERATING LOSS")</f>
        <v>OPERATING PROFIT</v>
      </c>
      <c r="L1102" s="452"/>
      <c r="M1102" s="527"/>
      <c r="N1102" s="449"/>
      <c r="O1102" s="548"/>
      <c r="P1102" s="634"/>
      <c r="Q1102" s="469"/>
      <c r="W1102" s="513">
        <f>IF(SUM(S526:S540)&lt;0,1,2)</f>
        <v>2</v>
      </c>
    </row>
    <row r="1103" spans="2:23" ht="31.5" customHeight="1" x14ac:dyDescent="0.45">
      <c r="B1103" s="563"/>
      <c r="C1103" s="450"/>
      <c r="D1103" s="509" t="str">
        <f>IF(W1103=2,"The following items have been charged in arriving at the operating profit:","The following items have been charged in arriving at the operating loss:")</f>
        <v>The following items have been charged in arriving at the operating profit:</v>
      </c>
      <c r="L1103" s="452"/>
      <c r="M1103" s="527"/>
      <c r="N1103" s="449"/>
      <c r="O1103" s="548"/>
      <c r="P1103" s="634"/>
      <c r="Q1103" s="469"/>
      <c r="W1103" s="513">
        <f>IF(SUM(S526:S540)&lt;0,1,2)</f>
        <v>2</v>
      </c>
    </row>
    <row r="1104" spans="2:23" ht="31.5" customHeight="1" x14ac:dyDescent="0.45">
      <c r="B1104" s="563"/>
      <c r="C1104" s="450"/>
      <c r="L1104" s="452"/>
      <c r="M1104" s="527"/>
      <c r="N1104" s="449"/>
      <c r="O1104" s="548"/>
      <c r="P1104" s="634"/>
      <c r="Q1104" s="469"/>
    </row>
    <row r="1105" spans="2:21" ht="31.5" customHeight="1" x14ac:dyDescent="0.45">
      <c r="B1105" s="563"/>
      <c r="C1105" s="587">
        <f>B1102+0.1</f>
        <v>4.0999999999999996</v>
      </c>
      <c r="D1105" s="449" t="str">
        <f>IF(MAX(Criteria!I41:I45)&gt;1,"DIRECTORS' REMUNERATION","DIRECTOR'S REMUNERATION")</f>
        <v>DIRECTORS' REMUNERATION</v>
      </c>
      <c r="L1105" s="452"/>
      <c r="M1105" s="527"/>
      <c r="N1105" s="449"/>
      <c r="O1105" s="548"/>
      <c r="P1105" s="634"/>
      <c r="Q1105" s="469"/>
    </row>
    <row r="1106" spans="2:21" ht="31.5" customHeight="1" x14ac:dyDescent="0.45">
      <c r="B1106" s="563"/>
      <c r="C1106" s="584"/>
      <c r="D1106" s="510" t="str">
        <f>TrialBalance!C111</f>
        <v>A Director</v>
      </c>
      <c r="L1106" s="452"/>
      <c r="M1106" s="527"/>
      <c r="N1106" s="449"/>
      <c r="O1106" s="548">
        <f>TrialBalance!L111+TrialBalanceA!I111+TrialBalanceB!I111+TrialBalanceC!I111</f>
        <v>0</v>
      </c>
      <c r="P1106" s="634"/>
      <c r="Q1106" s="469"/>
      <c r="R1106" s="512" t="str">
        <f>IF(O1106=0,"DELETE"," ")</f>
        <v>DELETE</v>
      </c>
    </row>
    <row r="1107" spans="2:21" ht="31.5" customHeight="1" x14ac:dyDescent="0.45">
      <c r="B1107" s="563"/>
      <c r="C1107" s="584"/>
      <c r="D1107" s="510" t="str">
        <f>TrialBalance!C112</f>
        <v>C Director</v>
      </c>
      <c r="L1107" s="452"/>
      <c r="M1107" s="527"/>
      <c r="N1107" s="449"/>
      <c r="O1107" s="548">
        <f>TrialBalance!L112+TrialBalanceA!I112+TrialBalanceB!I112+TrialBalanceC!I112</f>
        <v>0</v>
      </c>
      <c r="P1107" s="634"/>
      <c r="Q1107" s="469"/>
      <c r="R1107" s="512" t="str">
        <f>IF(O1107=0,"DELETE"," ")</f>
        <v>DELETE</v>
      </c>
    </row>
    <row r="1108" spans="2:21" ht="31.5" customHeight="1" x14ac:dyDescent="0.45">
      <c r="B1108" s="563"/>
      <c r="C1108" s="584"/>
      <c r="D1108" s="510">
        <f>TrialBalance!C113</f>
        <v>0</v>
      </c>
      <c r="L1108" s="452"/>
      <c r="M1108" s="527"/>
      <c r="N1108" s="449"/>
      <c r="O1108" s="548">
        <f>TrialBalance!L113+TrialBalanceA!I113+TrialBalanceB!I113+TrialBalanceC!I113</f>
        <v>0</v>
      </c>
      <c r="P1108" s="634"/>
      <c r="Q1108" s="469"/>
      <c r="R1108" s="512" t="str">
        <f>IF(O1108=0,"DELETE"," ")</f>
        <v>DELETE</v>
      </c>
    </row>
    <row r="1109" spans="2:21" ht="31.5" customHeight="1" x14ac:dyDescent="0.45">
      <c r="B1109" s="563"/>
      <c r="C1109" s="584"/>
      <c r="D1109" s="510">
        <f>TrialBalance!C114</f>
        <v>0</v>
      </c>
      <c r="L1109" s="452"/>
      <c r="M1109" s="527"/>
      <c r="N1109" s="449"/>
      <c r="O1109" s="548">
        <f>TrialBalance!L114+TrialBalanceA!I114+TrialBalanceB!I114+TrialBalanceC!I114</f>
        <v>0</v>
      </c>
      <c r="P1109" s="634"/>
      <c r="Q1109" s="469"/>
      <c r="R1109" s="512" t="str">
        <f>IF(O1109=0,"DELETE"," ")</f>
        <v>DELETE</v>
      </c>
    </row>
    <row r="1110" spans="2:21" ht="31.5" customHeight="1" x14ac:dyDescent="0.45">
      <c r="B1110" s="563"/>
      <c r="C1110" s="584"/>
      <c r="D1110" s="510">
        <f>TrialBalance!C115</f>
        <v>0</v>
      </c>
      <c r="L1110" s="452"/>
      <c r="M1110" s="527"/>
      <c r="N1110" s="449"/>
      <c r="O1110" s="548">
        <f>TrialBalance!L115+TrialBalanceA!I115+TrialBalanceB!I115+TrialBalanceC!I115</f>
        <v>0</v>
      </c>
      <c r="P1110" s="634"/>
      <c r="Q1110" s="469"/>
      <c r="R1110" s="512" t="str">
        <f>IF(O1110=0,"DELETE"," ")</f>
        <v>DELETE</v>
      </c>
    </row>
    <row r="1111" spans="2:21" ht="9" customHeight="1" x14ac:dyDescent="0.45">
      <c r="B1111" s="563"/>
      <c r="C1111" s="584"/>
      <c r="L1111" s="452"/>
      <c r="M1111" s="527"/>
      <c r="N1111" s="449"/>
      <c r="O1111" s="535"/>
      <c r="P1111" s="634"/>
      <c r="Q1111" s="469"/>
      <c r="R1111" s="512" t="str">
        <f>R1113</f>
        <v>DELETE</v>
      </c>
    </row>
    <row r="1112" spans="2:21" ht="9" customHeight="1" x14ac:dyDescent="0.45">
      <c r="B1112" s="563"/>
      <c r="C1112" s="584"/>
      <c r="L1112" s="452"/>
      <c r="M1112" s="527"/>
      <c r="N1112" s="449"/>
      <c r="O1112" s="548"/>
      <c r="P1112" s="634"/>
      <c r="Q1112" s="469"/>
      <c r="R1112" s="512" t="str">
        <f>R1113</f>
        <v>DELETE</v>
      </c>
    </row>
    <row r="1113" spans="2:21" ht="31.5" customHeight="1" x14ac:dyDescent="0.45">
      <c r="B1113" s="563"/>
      <c r="C1113" s="584"/>
      <c r="L1113" s="452"/>
      <c r="M1113" s="527"/>
      <c r="N1113" s="449"/>
      <c r="O1113" s="548">
        <f>SUM(O1106:O1112)</f>
        <v>0</v>
      </c>
      <c r="P1113" s="634"/>
      <c r="Q1113" s="469"/>
      <c r="R1113" s="512" t="str">
        <f>IF(O1113=0,"DELETE"," ")</f>
        <v>DELETE</v>
      </c>
      <c r="U1113" s="513" t="b">
        <f>O1113=SUM(TrialBalance!L111:L115)+SUM(TrialBalanceA!I111:I115)+SUM(TrialBalanceB!I111:I115)+SUM(TrialBalanceC!I111:I115)</f>
        <v>1</v>
      </c>
    </row>
    <row r="1114" spans="2:21" ht="9" customHeight="1" thickBot="1" x14ac:dyDescent="0.5">
      <c r="B1114" s="563"/>
      <c r="C1114" s="584"/>
      <c r="L1114" s="452"/>
      <c r="M1114" s="527"/>
      <c r="N1114" s="449"/>
      <c r="O1114" s="536"/>
      <c r="P1114" s="634"/>
      <c r="Q1114" s="469"/>
      <c r="R1114" s="512" t="str">
        <f>R1113</f>
        <v>DELETE</v>
      </c>
    </row>
    <row r="1115" spans="2:21" ht="9" customHeight="1" thickTop="1" x14ac:dyDescent="0.45">
      <c r="B1115" s="563"/>
      <c r="C1115" s="584"/>
      <c r="L1115" s="452"/>
      <c r="M1115" s="527"/>
      <c r="N1115" s="449"/>
      <c r="O1115" s="548"/>
      <c r="P1115" s="634"/>
      <c r="Q1115" s="469"/>
      <c r="R1115" s="512" t="str">
        <f>R1114</f>
        <v>DELETE</v>
      </c>
    </row>
    <row r="1116" spans="2:21" ht="31.5" customHeight="1" x14ac:dyDescent="0.45">
      <c r="B1116" s="563"/>
      <c r="C1116" s="584"/>
      <c r="L1116" s="452"/>
      <c r="M1116" s="527"/>
      <c r="N1116" s="449"/>
      <c r="O1116" s="548"/>
      <c r="P1116" s="634"/>
      <c r="Q1116" s="469"/>
      <c r="R1116" s="512" t="str">
        <f>R1113</f>
        <v>DELETE</v>
      </c>
    </row>
    <row r="1117" spans="2:21" ht="31.5" customHeight="1" x14ac:dyDescent="0.45">
      <c r="B1117" s="563"/>
      <c r="C1117" s="584"/>
      <c r="D1117" s="449" t="str">
        <f>IF(SUM(TrialBalance!L111:L115)+SUM(TrialBalance!N111:N115)+SUM(TrialBalanceA!I111:I115)+SUM(TrialBalanceA!K111:K115)+SUM(TrialBalanceB!I111:I115)+SUM(TrialBalanceB!K111:K115)+SUM(TrialBalanceC!I111:I115)+SUM(TrialBalanceC!K111:K115)&gt;0," ",IF(MAX(Criteria!I41:I45)&gt;1,"No remuneration was paid to the directors during the period under review.","No remuneration was paid to the director during the period under review."))</f>
        <v>No remuneration was paid to the directors during the period under review.</v>
      </c>
      <c r="M1117" s="548"/>
      <c r="N1117" s="491"/>
      <c r="O1117" s="548"/>
      <c r="P1117" s="634"/>
      <c r="Q1117" s="469"/>
      <c r="R1117" s="512" t="str">
        <f>IF(D1117=" ","DELETE"," ")</f>
        <v xml:space="preserve"> </v>
      </c>
    </row>
    <row r="1118" spans="2:21" ht="31.5" customHeight="1" x14ac:dyDescent="0.45">
      <c r="B1118" s="563"/>
      <c r="C1118" s="584"/>
      <c r="M1118" s="548"/>
      <c r="N1118" s="491"/>
      <c r="O1118" s="548"/>
      <c r="P1118" s="634"/>
      <c r="Q1118" s="469"/>
    </row>
    <row r="1119" spans="2:21" ht="31.5" customHeight="1" x14ac:dyDescent="0.45">
      <c r="B1119" s="468"/>
      <c r="D1119" s="450"/>
      <c r="M1119" s="633"/>
      <c r="N1119" s="634"/>
      <c r="O1119" s="633"/>
      <c r="P1119" s="634"/>
      <c r="Q1119" s="469"/>
    </row>
    <row r="1120" spans="2:21" ht="31.5" customHeight="1" x14ac:dyDescent="0.45">
      <c r="B1120" s="477"/>
      <c r="C1120" s="461"/>
      <c r="D1120" s="502"/>
      <c r="E1120" s="461"/>
      <c r="F1120" s="461"/>
      <c r="G1120" s="461"/>
      <c r="H1120" s="461"/>
      <c r="I1120" s="461"/>
      <c r="J1120" s="461"/>
      <c r="K1120" s="461"/>
      <c r="L1120" s="461"/>
      <c r="M1120" s="630"/>
      <c r="N1120" s="631"/>
      <c r="O1120" s="630"/>
      <c r="P1120" s="631"/>
      <c r="Q1120" s="479"/>
    </row>
    <row r="1121" spans="2:18" ht="31.5" customHeight="1" x14ac:dyDescent="0.45">
      <c r="D1121" s="450"/>
    </row>
    <row r="1122" spans="2:18" ht="31.5" customHeight="1" x14ac:dyDescent="0.45">
      <c r="B1122" s="526"/>
      <c r="C1122" s="584"/>
      <c r="M1122" s="531"/>
      <c r="N1122" s="470"/>
      <c r="O1122" s="531"/>
      <c r="R1122" s="512" t="str">
        <f>R$1147</f>
        <v>DELETE</v>
      </c>
    </row>
    <row r="1123" spans="2:18" ht="31.5" customHeight="1" x14ac:dyDescent="0.45">
      <c r="B1123" s="527"/>
      <c r="C1123" s="583"/>
      <c r="D1123" s="450" t="str">
        <f>Criteria!E9</f>
        <v>ABC COMPANY (PROPRIETARY) LIMITED</v>
      </c>
      <c r="M1123" s="635"/>
      <c r="N1123" s="621"/>
      <c r="O1123" s="531" t="s">
        <v>121</v>
      </c>
      <c r="Q1123" s="451">
        <f>MAX($Q$114:Q1122)+1</f>
        <v>25</v>
      </c>
      <c r="R1123" s="512" t="str">
        <f>R$1147</f>
        <v>DELETE</v>
      </c>
    </row>
    <row r="1124" spans="2:18" ht="31.5" customHeight="1" x14ac:dyDescent="0.45">
      <c r="B1124" s="527"/>
      <c r="C1124" s="583"/>
      <c r="D1124" s="450" t="str">
        <f>Criteria!E10</f>
        <v>T/A SEAFRONT HOTEL, SEAFRONT RESTAURANT AND RENTAL PROPERTIES</v>
      </c>
      <c r="M1124" s="635"/>
      <c r="N1124" s="621"/>
      <c r="O1124" s="635"/>
      <c r="R1124" s="512" t="str">
        <f>IF(R$1147="DELETE","DELETE",IF(D1124=0,"DELETE"," "))</f>
        <v>DELETE</v>
      </c>
    </row>
    <row r="1125" spans="2:18" ht="31.5" customHeight="1" x14ac:dyDescent="0.45">
      <c r="B1125" s="527"/>
      <c r="C1125" s="583"/>
      <c r="M1125" s="635"/>
      <c r="N1125" s="621"/>
      <c r="O1125" s="635"/>
      <c r="R1125" s="512" t="str">
        <f t="shared" ref="R1125:R1132" si="37">R$1147</f>
        <v>DELETE</v>
      </c>
    </row>
    <row r="1126" spans="2:18" ht="31.5" customHeight="1" x14ac:dyDescent="0.45">
      <c r="B1126" s="527"/>
      <c r="C1126" s="583"/>
      <c r="D1126" s="450" t="s">
        <v>451</v>
      </c>
      <c r="M1126" s="635"/>
      <c r="N1126" s="621"/>
      <c r="O1126" s="635"/>
      <c r="R1126" s="512" t="str">
        <f t="shared" si="37"/>
        <v>DELETE</v>
      </c>
    </row>
    <row r="1127" spans="2:18" ht="31.5" customHeight="1" x14ac:dyDescent="0.45">
      <c r="B1127" s="527"/>
      <c r="C1127" s="583"/>
      <c r="D1127" s="450" t="str">
        <f>Criteria!E20</f>
        <v>29 FEBRUARY 2024</v>
      </c>
      <c r="J1127" s="449" t="s">
        <v>303</v>
      </c>
      <c r="M1127" s="635"/>
      <c r="N1127" s="621"/>
      <c r="O1127" s="635"/>
      <c r="R1127" s="512" t="str">
        <f t="shared" si="37"/>
        <v>DELETE</v>
      </c>
    </row>
    <row r="1128" spans="2:18" ht="31.5" customHeight="1" x14ac:dyDescent="0.45">
      <c r="B1128" s="527"/>
      <c r="C1128" s="583"/>
      <c r="D1128" s="450"/>
      <c r="M1128" s="635"/>
      <c r="N1128" s="621"/>
      <c r="O1128" s="635"/>
      <c r="R1128" s="512" t="str">
        <f t="shared" si="37"/>
        <v>DELETE</v>
      </c>
    </row>
    <row r="1129" spans="2:18" ht="31.5" customHeight="1" x14ac:dyDescent="0.45">
      <c r="B1129" s="565"/>
      <c r="C1129" s="586"/>
      <c r="D1129" s="466"/>
      <c r="E1129" s="466"/>
      <c r="F1129" s="466"/>
      <c r="G1129" s="466"/>
      <c r="H1129" s="466"/>
      <c r="I1129" s="466"/>
      <c r="J1129" s="466"/>
      <c r="K1129" s="466"/>
      <c r="L1129" s="466"/>
      <c r="M1129" s="546"/>
      <c r="N1129" s="471"/>
      <c r="O1129" s="546"/>
      <c r="P1129" s="643"/>
      <c r="Q1129" s="467"/>
      <c r="R1129" s="512" t="str">
        <f t="shared" si="37"/>
        <v>DELETE</v>
      </c>
    </row>
    <row r="1130" spans="2:18" ht="31.5" customHeight="1" x14ac:dyDescent="0.45">
      <c r="B1130" s="563"/>
      <c r="C1130" s="584"/>
      <c r="L1130" s="452"/>
      <c r="M1130" s="527"/>
      <c r="N1130" s="449"/>
      <c r="O1130" s="525">
        <f>Criteria!E22</f>
        <v>2024</v>
      </c>
      <c r="Q1130" s="469"/>
      <c r="R1130" s="512" t="str">
        <f t="shared" si="37"/>
        <v>DELETE</v>
      </c>
    </row>
    <row r="1131" spans="2:18" ht="31.5" customHeight="1" x14ac:dyDescent="0.45">
      <c r="B1131" s="563"/>
      <c r="C1131" s="584"/>
      <c r="L1131" s="452"/>
      <c r="M1131" s="527"/>
      <c r="N1131" s="449"/>
      <c r="O1131" s="531"/>
      <c r="Q1131" s="469"/>
      <c r="R1131" s="512" t="str">
        <f t="shared" si="37"/>
        <v>DELETE</v>
      </c>
    </row>
    <row r="1132" spans="2:18" ht="31.5" customHeight="1" x14ac:dyDescent="0.45">
      <c r="B1132" s="563"/>
      <c r="C1132" s="587">
        <f>MAX(C1103:C1131)+0.1</f>
        <v>4.1999999999999993</v>
      </c>
      <c r="D1132" s="449" t="s">
        <v>322</v>
      </c>
      <c r="L1132" s="452"/>
      <c r="M1132" s="527"/>
      <c r="N1132" s="449"/>
      <c r="O1132" s="531"/>
      <c r="Q1132" s="469"/>
      <c r="R1132" s="512" t="str">
        <f t="shared" si="37"/>
        <v>DELETE</v>
      </c>
    </row>
    <row r="1133" spans="2:18" ht="31.5" customHeight="1" x14ac:dyDescent="0.45">
      <c r="B1133" s="563"/>
      <c r="C1133" s="587"/>
      <c r="D1133" s="449" t="str">
        <f>TrialBalance!C61</f>
        <v>Premises</v>
      </c>
      <c r="L1133" s="452"/>
      <c r="M1133" s="527"/>
      <c r="N1133" s="449"/>
      <c r="O1133" s="531">
        <f>TrialBalance!L61</f>
        <v>0</v>
      </c>
      <c r="Q1133" s="469"/>
      <c r="R1133" s="512" t="str">
        <f t="shared" ref="R1133:R1144" si="38">IF(O1133=0,"DELETE"," ")</f>
        <v>DELETE</v>
      </c>
    </row>
    <row r="1134" spans="2:18" ht="31.5" customHeight="1" x14ac:dyDescent="0.45">
      <c r="B1134" s="563"/>
      <c r="C1134" s="587"/>
      <c r="D1134" s="449">
        <f>TrialBalance!C62</f>
        <v>0</v>
      </c>
      <c r="L1134" s="452"/>
      <c r="M1134" s="527"/>
      <c r="N1134" s="449"/>
      <c r="O1134" s="531">
        <f>TrialBalance!L62</f>
        <v>0</v>
      </c>
      <c r="Q1134" s="469"/>
      <c r="R1134" s="512" t="str">
        <f t="shared" si="38"/>
        <v>DELETE</v>
      </c>
    </row>
    <row r="1135" spans="2:18" ht="31.5" customHeight="1" x14ac:dyDescent="0.45">
      <c r="B1135" s="563"/>
      <c r="C1135" s="587"/>
      <c r="D1135" s="449">
        <f>TrialBalance!C63</f>
        <v>0</v>
      </c>
      <c r="L1135" s="452"/>
      <c r="M1135" s="527"/>
      <c r="N1135" s="449"/>
      <c r="O1135" s="531">
        <f>TrialBalance!L63</f>
        <v>0</v>
      </c>
      <c r="Q1135" s="469"/>
      <c r="R1135" s="512" t="str">
        <f t="shared" si="38"/>
        <v>DELETE</v>
      </c>
    </row>
    <row r="1136" spans="2:18" ht="31.5" customHeight="1" x14ac:dyDescent="0.45">
      <c r="B1136" s="563"/>
      <c r="C1136" s="587"/>
      <c r="D1136" s="449">
        <f>TrialBalanceA!C61</f>
        <v>0</v>
      </c>
      <c r="L1136" s="452"/>
      <c r="M1136" s="527"/>
      <c r="N1136" s="449"/>
      <c r="O1136" s="531">
        <f>TrialBalanceA!I61</f>
        <v>0</v>
      </c>
      <c r="Q1136" s="469"/>
      <c r="R1136" s="512" t="str">
        <f t="shared" si="38"/>
        <v>DELETE</v>
      </c>
    </row>
    <row r="1137" spans="2:21" ht="31.5" customHeight="1" x14ac:dyDescent="0.45">
      <c r="B1137" s="563"/>
      <c r="C1137" s="587"/>
      <c r="D1137" s="449">
        <f>TrialBalanceA!C62</f>
        <v>0</v>
      </c>
      <c r="L1137" s="452"/>
      <c r="M1137" s="527"/>
      <c r="N1137" s="449"/>
      <c r="O1137" s="531">
        <f>TrialBalanceA!I62</f>
        <v>0</v>
      </c>
      <c r="Q1137" s="469"/>
      <c r="R1137" s="512" t="str">
        <f t="shared" si="38"/>
        <v>DELETE</v>
      </c>
    </row>
    <row r="1138" spans="2:21" ht="31.5" customHeight="1" x14ac:dyDescent="0.45">
      <c r="B1138" s="563"/>
      <c r="C1138" s="587"/>
      <c r="D1138" s="449">
        <f>TrialBalanceA!C63</f>
        <v>0</v>
      </c>
      <c r="L1138" s="452"/>
      <c r="M1138" s="527"/>
      <c r="N1138" s="449"/>
      <c r="O1138" s="531">
        <f>TrialBalanceA!I63</f>
        <v>0</v>
      </c>
      <c r="Q1138" s="469"/>
      <c r="R1138" s="512" t="str">
        <f t="shared" si="38"/>
        <v>DELETE</v>
      </c>
    </row>
    <row r="1139" spans="2:21" ht="31.5" customHeight="1" x14ac:dyDescent="0.45">
      <c r="B1139" s="563"/>
      <c r="C1139" s="587"/>
      <c r="D1139" s="449">
        <f>TrialBalanceB!C61</f>
        <v>0</v>
      </c>
      <c r="L1139" s="452"/>
      <c r="M1139" s="527"/>
      <c r="N1139" s="449"/>
      <c r="O1139" s="531">
        <f>TrialBalanceB!I61</f>
        <v>0</v>
      </c>
      <c r="Q1139" s="469"/>
      <c r="R1139" s="512" t="str">
        <f t="shared" si="38"/>
        <v>DELETE</v>
      </c>
    </row>
    <row r="1140" spans="2:21" ht="31.5" customHeight="1" x14ac:dyDescent="0.45">
      <c r="B1140" s="563"/>
      <c r="C1140" s="587"/>
      <c r="D1140" s="449">
        <f>TrialBalanceB!C62</f>
        <v>0</v>
      </c>
      <c r="L1140" s="452"/>
      <c r="M1140" s="527"/>
      <c r="N1140" s="449"/>
      <c r="O1140" s="531">
        <f>TrialBalanceB!I62</f>
        <v>0</v>
      </c>
      <c r="Q1140" s="469"/>
      <c r="R1140" s="512" t="str">
        <f t="shared" si="38"/>
        <v>DELETE</v>
      </c>
    </row>
    <row r="1141" spans="2:21" ht="31.5" customHeight="1" x14ac:dyDescent="0.45">
      <c r="B1141" s="563"/>
      <c r="C1141" s="587"/>
      <c r="D1141" s="449">
        <f>TrialBalanceB!C63</f>
        <v>0</v>
      </c>
      <c r="L1141" s="452"/>
      <c r="M1141" s="527"/>
      <c r="N1141" s="449"/>
      <c r="O1141" s="531">
        <f>TrialBalanceB!I63</f>
        <v>0</v>
      </c>
      <c r="Q1141" s="469"/>
      <c r="R1141" s="512" t="str">
        <f t="shared" si="38"/>
        <v>DELETE</v>
      </c>
    </row>
    <row r="1142" spans="2:21" ht="31.5" customHeight="1" x14ac:dyDescent="0.45">
      <c r="B1142" s="563"/>
      <c r="C1142" s="587"/>
      <c r="D1142" s="449">
        <f>TrialBalanceC!C61</f>
        <v>0</v>
      </c>
      <c r="L1142" s="452"/>
      <c r="M1142" s="527"/>
      <c r="N1142" s="449"/>
      <c r="O1142" s="531">
        <f>TrialBalanceC!I61</f>
        <v>0</v>
      </c>
      <c r="Q1142" s="469"/>
      <c r="R1142" s="512" t="str">
        <f t="shared" si="38"/>
        <v>DELETE</v>
      </c>
    </row>
    <row r="1143" spans="2:21" ht="31.5" customHeight="1" x14ac:dyDescent="0.45">
      <c r="B1143" s="563"/>
      <c r="C1143" s="587"/>
      <c r="D1143" s="449">
        <f>TrialBalanceC!C62</f>
        <v>0</v>
      </c>
      <c r="L1143" s="452"/>
      <c r="M1143" s="527"/>
      <c r="N1143" s="449"/>
      <c r="O1143" s="531">
        <f>TrialBalanceC!I62</f>
        <v>0</v>
      </c>
      <c r="Q1143" s="469"/>
      <c r="R1143" s="512" t="str">
        <f t="shared" si="38"/>
        <v>DELETE</v>
      </c>
    </row>
    <row r="1144" spans="2:21" ht="31.5" customHeight="1" x14ac:dyDescent="0.45">
      <c r="B1144" s="563"/>
      <c r="C1144" s="587"/>
      <c r="D1144" s="449">
        <f>TrialBalanceC!C63</f>
        <v>0</v>
      </c>
      <c r="L1144" s="452"/>
      <c r="M1144" s="527"/>
      <c r="N1144" s="449"/>
      <c r="O1144" s="531">
        <f>TrialBalanceC!I63</f>
        <v>0</v>
      </c>
      <c r="Q1144" s="469"/>
      <c r="R1144" s="512" t="str">
        <f t="shared" si="38"/>
        <v>DELETE</v>
      </c>
    </row>
    <row r="1145" spans="2:21" ht="9" customHeight="1" x14ac:dyDescent="0.45">
      <c r="B1145" s="563"/>
      <c r="C1145" s="587"/>
      <c r="L1145" s="452"/>
      <c r="M1145" s="527"/>
      <c r="N1145" s="449"/>
      <c r="O1145" s="535"/>
      <c r="Q1145" s="469"/>
      <c r="R1145" s="512" t="str">
        <f>R$1147</f>
        <v>DELETE</v>
      </c>
    </row>
    <row r="1146" spans="2:21" ht="9" customHeight="1" x14ac:dyDescent="0.45">
      <c r="B1146" s="563"/>
      <c r="C1146" s="587"/>
      <c r="L1146" s="452"/>
      <c r="M1146" s="527"/>
      <c r="N1146" s="449"/>
      <c r="O1146" s="531"/>
      <c r="Q1146" s="469"/>
      <c r="R1146" s="512" t="str">
        <f>R$1147</f>
        <v>DELETE</v>
      </c>
    </row>
    <row r="1147" spans="2:21" ht="31.5" customHeight="1" x14ac:dyDescent="0.45">
      <c r="B1147" s="563"/>
      <c r="C1147" s="587"/>
      <c r="L1147" s="452"/>
      <c r="M1147" s="527"/>
      <c r="N1147" s="449"/>
      <c r="O1147" s="531">
        <f>SUM(O1133:O1146)</f>
        <v>0</v>
      </c>
      <c r="Q1147" s="469"/>
      <c r="R1147" s="512" t="str">
        <f t="shared" ref="R1147" si="39">IF(O1147=0,"DELETE"," ")</f>
        <v>DELETE</v>
      </c>
      <c r="U1147" s="513" t="b">
        <f>O1147=SUM(TrialBalance!L61:L63)+SUM(TrialBalanceA!I61:I63)+SUM(TrialBalanceB!I61:I63)+SUM(TrialBalanceC!I61:I63)</f>
        <v>1</v>
      </c>
    </row>
    <row r="1148" spans="2:21" ht="9" customHeight="1" thickBot="1" x14ac:dyDescent="0.5">
      <c r="B1148" s="563"/>
      <c r="C1148" s="587"/>
      <c r="L1148" s="452"/>
      <c r="M1148" s="527"/>
      <c r="N1148" s="449"/>
      <c r="O1148" s="536"/>
      <c r="Q1148" s="469"/>
      <c r="R1148" s="512" t="str">
        <f t="shared" ref="R1148:R1153" si="40">R$1147</f>
        <v>DELETE</v>
      </c>
    </row>
    <row r="1149" spans="2:21" ht="9" customHeight="1" thickTop="1" x14ac:dyDescent="0.45">
      <c r="B1149" s="563"/>
      <c r="C1149" s="587"/>
      <c r="L1149" s="452"/>
      <c r="M1149" s="527"/>
      <c r="N1149" s="449"/>
      <c r="O1149" s="548"/>
      <c r="Q1149" s="469"/>
      <c r="R1149" s="512" t="str">
        <f t="shared" si="40"/>
        <v>DELETE</v>
      </c>
    </row>
    <row r="1150" spans="2:21" ht="31.5" customHeight="1" x14ac:dyDescent="0.45">
      <c r="B1150" s="563"/>
      <c r="C1150" s="587"/>
      <c r="L1150" s="452"/>
      <c r="M1150" s="527"/>
      <c r="N1150" s="449"/>
      <c r="O1150" s="531"/>
      <c r="Q1150" s="469"/>
      <c r="R1150" s="512" t="str">
        <f t="shared" si="40"/>
        <v>DELETE</v>
      </c>
    </row>
    <row r="1151" spans="2:21" ht="31.5" customHeight="1" x14ac:dyDescent="0.45">
      <c r="B1151" s="563"/>
      <c r="C1151" s="587"/>
      <c r="M1151" s="531"/>
      <c r="N1151" s="470"/>
      <c r="O1151" s="531"/>
      <c r="Q1151" s="469"/>
      <c r="R1151" s="512" t="str">
        <f t="shared" si="40"/>
        <v>DELETE</v>
      </c>
    </row>
    <row r="1152" spans="2:21" ht="31.5" customHeight="1" x14ac:dyDescent="0.45">
      <c r="B1152" s="564"/>
      <c r="C1152" s="588"/>
      <c r="D1152" s="461"/>
      <c r="E1152" s="461"/>
      <c r="F1152" s="461"/>
      <c r="G1152" s="461"/>
      <c r="H1152" s="461"/>
      <c r="I1152" s="461"/>
      <c r="J1152" s="461"/>
      <c r="K1152" s="461"/>
      <c r="L1152" s="461"/>
      <c r="M1152" s="535"/>
      <c r="N1152" s="473"/>
      <c r="O1152" s="535"/>
      <c r="P1152" s="631"/>
      <c r="Q1152" s="479"/>
      <c r="R1152" s="512" t="str">
        <f t="shared" si="40"/>
        <v>DELETE</v>
      </c>
    </row>
    <row r="1153" spans="2:18" ht="31.5" customHeight="1" x14ac:dyDescent="0.45">
      <c r="B1153" s="526"/>
      <c r="C1153" s="587"/>
      <c r="M1153" s="531"/>
      <c r="N1153" s="470"/>
      <c r="O1153" s="531"/>
      <c r="R1153" s="512" t="str">
        <f t="shared" si="40"/>
        <v>DELETE</v>
      </c>
    </row>
    <row r="1154" spans="2:18" ht="31.5" customHeight="1" x14ac:dyDescent="0.45">
      <c r="B1154" s="526"/>
      <c r="C1154" s="587"/>
      <c r="M1154" s="531"/>
      <c r="N1154" s="470"/>
      <c r="O1154" s="531"/>
      <c r="R1154" s="512" t="str">
        <f>R$1172</f>
        <v>DELETE</v>
      </c>
    </row>
    <row r="1155" spans="2:18" ht="31.5" customHeight="1" x14ac:dyDescent="0.45">
      <c r="B1155" s="527"/>
      <c r="C1155" s="583"/>
      <c r="D1155" s="450" t="str">
        <f>Criteria!E9</f>
        <v>ABC COMPANY (PROPRIETARY) LIMITED</v>
      </c>
      <c r="M1155" s="635"/>
      <c r="N1155" s="621"/>
      <c r="O1155" s="531" t="s">
        <v>121</v>
      </c>
      <c r="Q1155" s="451">
        <f>MAX($Q$114:Q1154)+1</f>
        <v>26</v>
      </c>
      <c r="R1155" s="512" t="str">
        <f>R$1172</f>
        <v>DELETE</v>
      </c>
    </row>
    <row r="1156" spans="2:18" ht="31.5" customHeight="1" x14ac:dyDescent="0.45">
      <c r="B1156" s="527"/>
      <c r="C1156" s="583"/>
      <c r="D1156" s="450" t="str">
        <f>Criteria!E10</f>
        <v>T/A SEAFRONT HOTEL, SEAFRONT RESTAURANT AND RENTAL PROPERTIES</v>
      </c>
      <c r="M1156" s="635"/>
      <c r="N1156" s="621"/>
      <c r="O1156" s="635"/>
      <c r="R1156" s="512" t="str">
        <f>IF(R$1172="DELETE","DELETE",IF(D1156=0,"DELETE"," "))</f>
        <v>DELETE</v>
      </c>
    </row>
    <row r="1157" spans="2:18" ht="31.5" customHeight="1" x14ac:dyDescent="0.45">
      <c r="B1157" s="527"/>
      <c r="C1157" s="583"/>
      <c r="M1157" s="635"/>
      <c r="N1157" s="621"/>
      <c r="O1157" s="635"/>
      <c r="R1157" s="512" t="str">
        <f t="shared" ref="R1157:R1164" si="41">R$1172</f>
        <v>DELETE</v>
      </c>
    </row>
    <row r="1158" spans="2:18" ht="31.5" customHeight="1" x14ac:dyDescent="0.45">
      <c r="B1158" s="527"/>
      <c r="C1158" s="583"/>
      <c r="D1158" s="450" t="s">
        <v>451</v>
      </c>
      <c r="M1158" s="635"/>
      <c r="N1158" s="621"/>
      <c r="O1158" s="635"/>
      <c r="R1158" s="512" t="str">
        <f t="shared" si="41"/>
        <v>DELETE</v>
      </c>
    </row>
    <row r="1159" spans="2:18" ht="31.5" customHeight="1" x14ac:dyDescent="0.45">
      <c r="B1159" s="527"/>
      <c r="C1159" s="583"/>
      <c r="D1159" s="450" t="str">
        <f>Criteria!E20</f>
        <v>29 FEBRUARY 2024</v>
      </c>
      <c r="J1159" s="449" t="s">
        <v>303</v>
      </c>
      <c r="M1159" s="635"/>
      <c r="N1159" s="621"/>
      <c r="O1159" s="635"/>
      <c r="R1159" s="512" t="str">
        <f t="shared" si="41"/>
        <v>DELETE</v>
      </c>
    </row>
    <row r="1160" spans="2:18" ht="31.5" customHeight="1" x14ac:dyDescent="0.45">
      <c r="B1160" s="527"/>
      <c r="C1160" s="583"/>
      <c r="D1160" s="450"/>
      <c r="M1160" s="635"/>
      <c r="N1160" s="621"/>
      <c r="O1160" s="635"/>
      <c r="R1160" s="512" t="str">
        <f t="shared" si="41"/>
        <v>DELETE</v>
      </c>
    </row>
    <row r="1161" spans="2:18" ht="31.5" customHeight="1" x14ac:dyDescent="0.45">
      <c r="B1161" s="565"/>
      <c r="C1161" s="589"/>
      <c r="D1161" s="466"/>
      <c r="E1161" s="466"/>
      <c r="F1161" s="466"/>
      <c r="G1161" s="466"/>
      <c r="H1161" s="466"/>
      <c r="I1161" s="466"/>
      <c r="J1161" s="466"/>
      <c r="K1161" s="466"/>
      <c r="L1161" s="466"/>
      <c r="M1161" s="546"/>
      <c r="N1161" s="471"/>
      <c r="O1161" s="546"/>
      <c r="P1161" s="643"/>
      <c r="Q1161" s="467"/>
      <c r="R1161" s="512" t="str">
        <f t="shared" si="41"/>
        <v>DELETE</v>
      </c>
    </row>
    <row r="1162" spans="2:18" ht="31.5" customHeight="1" x14ac:dyDescent="0.45">
      <c r="B1162" s="563"/>
      <c r="C1162" s="587"/>
      <c r="L1162" s="452"/>
      <c r="M1162" s="527"/>
      <c r="N1162" s="449"/>
      <c r="O1162" s="525">
        <f>Criteria!E22</f>
        <v>2024</v>
      </c>
      <c r="Q1162" s="469"/>
      <c r="R1162" s="512" t="str">
        <f t="shared" si="41"/>
        <v>DELETE</v>
      </c>
    </row>
    <row r="1163" spans="2:18" ht="31.5" customHeight="1" x14ac:dyDescent="0.45">
      <c r="B1163" s="563"/>
      <c r="C1163" s="587"/>
      <c r="L1163" s="452"/>
      <c r="M1163" s="527"/>
      <c r="N1163" s="449"/>
      <c r="O1163" s="531"/>
      <c r="Q1163" s="469"/>
      <c r="R1163" s="512" t="str">
        <f t="shared" si="41"/>
        <v>DELETE</v>
      </c>
    </row>
    <row r="1164" spans="2:18" ht="31.5" customHeight="1" x14ac:dyDescent="0.45">
      <c r="B1164" s="563"/>
      <c r="C1164" s="587">
        <f>MAX(C1103:C1163)+0.1</f>
        <v>4.2999999999999989</v>
      </c>
      <c r="D1164" s="449" t="s">
        <v>323</v>
      </c>
      <c r="L1164" s="452"/>
      <c r="M1164" s="527"/>
      <c r="N1164" s="449"/>
      <c r="O1164" s="531"/>
      <c r="Q1164" s="469"/>
      <c r="R1164" s="512" t="str">
        <f t="shared" si="41"/>
        <v>DELETE</v>
      </c>
    </row>
    <row r="1165" spans="2:18" ht="31.5" customHeight="1" x14ac:dyDescent="0.45">
      <c r="B1165" s="563"/>
      <c r="C1165" s="587"/>
      <c r="D1165" s="449" t="s">
        <v>1379</v>
      </c>
      <c r="L1165" s="452"/>
      <c r="M1165" s="527"/>
      <c r="N1165" s="449"/>
      <c r="O1165" s="531">
        <f>TrialBalance!L44+TrialBalanceA!I44+TrialBalanceB!I44+TrialBalanceC!I44</f>
        <v>0</v>
      </c>
      <c r="Q1165" s="469"/>
      <c r="R1165" s="512" t="str">
        <f t="shared" ref="R1165:R1168" si="42">IF(O1165=0,"DELETE"," ")</f>
        <v>DELETE</v>
      </c>
    </row>
    <row r="1166" spans="2:18" ht="31.5" customHeight="1" x14ac:dyDescent="0.45">
      <c r="B1166" s="563"/>
      <c r="C1166" s="587"/>
      <c r="D1166" s="449" t="s">
        <v>939</v>
      </c>
      <c r="L1166" s="452"/>
      <c r="M1166" s="527"/>
      <c r="N1166" s="449"/>
      <c r="O1166" s="531">
        <f>TrialBalance!L45+TrialBalanceA!I45+TrialBalanceB!I45+TrialBalanceC!I45</f>
        <v>0</v>
      </c>
      <c r="Q1166" s="469"/>
      <c r="R1166" s="512" t="str">
        <f t="shared" si="42"/>
        <v>DELETE</v>
      </c>
    </row>
    <row r="1167" spans="2:18" ht="31.5" customHeight="1" x14ac:dyDescent="0.45">
      <c r="B1167" s="563"/>
      <c r="C1167" s="587"/>
      <c r="D1167" s="449" t="s">
        <v>666</v>
      </c>
      <c r="L1167" s="452"/>
      <c r="M1167" s="527"/>
      <c r="N1167" s="449"/>
      <c r="O1167" s="531">
        <f>TrialBalance!L46+TrialBalanceA!I46+TrialBalanceB!I46+TrialBalanceC!I46</f>
        <v>0</v>
      </c>
      <c r="Q1167" s="469"/>
      <c r="R1167" s="512" t="str">
        <f t="shared" si="42"/>
        <v>DELETE</v>
      </c>
    </row>
    <row r="1168" spans="2:18" ht="31.5" customHeight="1" x14ac:dyDescent="0.45">
      <c r="B1168" s="563"/>
      <c r="C1168" s="587"/>
      <c r="D1168" s="449" t="s">
        <v>667</v>
      </c>
      <c r="L1168" s="452"/>
      <c r="M1168" s="527"/>
      <c r="N1168" s="449"/>
      <c r="O1168" s="531">
        <f>TrialBalance!L108+TrialBalanceA!I108+TrialBalanceB!I108+TrialBalanceC!I108</f>
        <v>0</v>
      </c>
      <c r="Q1168" s="469"/>
      <c r="R1168" s="512" t="str">
        <f t="shared" si="42"/>
        <v>DELETE</v>
      </c>
    </row>
    <row r="1169" spans="2:21" ht="31.5" customHeight="1" x14ac:dyDescent="0.45">
      <c r="B1169" s="563"/>
      <c r="C1169" s="587"/>
      <c r="D1169" s="449" t="s">
        <v>943</v>
      </c>
      <c r="L1169" s="452"/>
      <c r="M1169" s="527"/>
      <c r="N1169" s="449"/>
      <c r="O1169" s="531">
        <f>TrialBalance!L109+TrialBalanceA!I109+TrialBalanceB!I109+TrialBalanceC!I109</f>
        <v>0</v>
      </c>
      <c r="Q1169" s="469"/>
      <c r="R1169" s="512" t="str">
        <f>IF(O1169=0,"DELETE"," ")</f>
        <v>DELETE</v>
      </c>
    </row>
    <row r="1170" spans="2:21" ht="9" customHeight="1" x14ac:dyDescent="0.45">
      <c r="B1170" s="563"/>
      <c r="C1170" s="587"/>
      <c r="L1170" s="452"/>
      <c r="M1170" s="527"/>
      <c r="N1170" s="449"/>
      <c r="O1170" s="535"/>
      <c r="Q1170" s="469"/>
      <c r="R1170" s="512" t="str">
        <f>R$1172</f>
        <v>DELETE</v>
      </c>
    </row>
    <row r="1171" spans="2:21" ht="9" customHeight="1" x14ac:dyDescent="0.45">
      <c r="B1171" s="563"/>
      <c r="C1171" s="587"/>
      <c r="L1171" s="452"/>
      <c r="M1171" s="527"/>
      <c r="N1171" s="449"/>
      <c r="O1171" s="531"/>
      <c r="Q1171" s="469"/>
      <c r="R1171" s="512" t="str">
        <f>R$1172</f>
        <v>DELETE</v>
      </c>
    </row>
    <row r="1172" spans="2:21" ht="31.5" customHeight="1" x14ac:dyDescent="0.45">
      <c r="B1172" s="563"/>
      <c r="C1172" s="587"/>
      <c r="L1172" s="452"/>
      <c r="M1172" s="527"/>
      <c r="N1172" s="449"/>
      <c r="O1172" s="531">
        <f>SUM(O1165:O1171)</f>
        <v>0</v>
      </c>
      <c r="Q1172" s="469"/>
      <c r="R1172" s="512" t="str">
        <f t="shared" ref="R1172" si="43">IF(O1172=0,"DELETE"," ")</f>
        <v>DELETE</v>
      </c>
      <c r="U1172" s="513" t="b">
        <f>O1172=SUM(TrialBalance!L44:L46)+SUM(TrialBalance!L108:L109)+SUM(TrialBalanceA!I44:I46)+SUM(TrialBalanceA!I108:I109)+SUM(TrialBalanceB!I44:I46)+SUM(TrialBalanceB!I108:I109)+SUM(TrialBalanceC!I44:I46)+SUM(TrialBalanceC!I108:I109)</f>
        <v>1</v>
      </c>
    </row>
    <row r="1173" spans="2:21" ht="9" customHeight="1" thickBot="1" x14ac:dyDescent="0.5">
      <c r="B1173" s="563"/>
      <c r="C1173" s="587"/>
      <c r="L1173" s="452"/>
      <c r="M1173" s="527"/>
      <c r="N1173" s="449"/>
      <c r="O1173" s="536"/>
      <c r="Q1173" s="469"/>
      <c r="R1173" s="512" t="str">
        <f t="shared" ref="R1173:R1178" si="44">R$1172</f>
        <v>DELETE</v>
      </c>
    </row>
    <row r="1174" spans="2:21" ht="9" customHeight="1" thickTop="1" x14ac:dyDescent="0.45">
      <c r="B1174" s="563"/>
      <c r="C1174" s="587"/>
      <c r="L1174" s="452"/>
      <c r="M1174" s="527"/>
      <c r="N1174" s="449"/>
      <c r="O1174" s="548"/>
      <c r="Q1174" s="469"/>
      <c r="R1174" s="512" t="str">
        <f t="shared" si="44"/>
        <v>DELETE</v>
      </c>
    </row>
    <row r="1175" spans="2:21" ht="31.5" customHeight="1" x14ac:dyDescent="0.45">
      <c r="B1175" s="563"/>
      <c r="C1175" s="584"/>
      <c r="L1175" s="452"/>
      <c r="M1175" s="527"/>
      <c r="N1175" s="449"/>
      <c r="O1175" s="531"/>
      <c r="Q1175" s="469"/>
      <c r="R1175" s="512" t="str">
        <f t="shared" si="44"/>
        <v>DELETE</v>
      </c>
    </row>
    <row r="1176" spans="2:21" ht="31.5" customHeight="1" x14ac:dyDescent="0.45">
      <c r="B1176" s="563"/>
      <c r="C1176" s="584"/>
      <c r="M1176" s="531"/>
      <c r="N1176" s="470"/>
      <c r="O1176" s="531"/>
      <c r="Q1176" s="469"/>
      <c r="R1176" s="512" t="str">
        <f t="shared" si="44"/>
        <v>DELETE</v>
      </c>
    </row>
    <row r="1177" spans="2:21" ht="31.5" customHeight="1" x14ac:dyDescent="0.45">
      <c r="B1177" s="564"/>
      <c r="C1177" s="585"/>
      <c r="D1177" s="461"/>
      <c r="E1177" s="461"/>
      <c r="F1177" s="461"/>
      <c r="G1177" s="461"/>
      <c r="H1177" s="461"/>
      <c r="I1177" s="461"/>
      <c r="J1177" s="461"/>
      <c r="K1177" s="461"/>
      <c r="L1177" s="461"/>
      <c r="M1177" s="535"/>
      <c r="N1177" s="473"/>
      <c r="O1177" s="535"/>
      <c r="P1177" s="631"/>
      <c r="Q1177" s="479"/>
      <c r="R1177" s="512" t="str">
        <f t="shared" si="44"/>
        <v>DELETE</v>
      </c>
    </row>
    <row r="1178" spans="2:21" ht="31.5" customHeight="1" x14ac:dyDescent="0.45">
      <c r="B1178" s="526"/>
      <c r="C1178" s="450"/>
      <c r="M1178" s="531"/>
      <c r="N1178" s="470"/>
      <c r="O1178" s="531"/>
      <c r="R1178" s="512" t="str">
        <f t="shared" si="44"/>
        <v>DELETE</v>
      </c>
    </row>
    <row r="1179" spans="2:21" ht="31.5" customHeight="1" x14ac:dyDescent="0.45">
      <c r="B1179" s="526"/>
      <c r="C1179" s="450"/>
      <c r="M1179" s="531"/>
      <c r="N1179" s="470"/>
      <c r="O1179" s="531"/>
      <c r="R1179" s="512" t="str">
        <f>R$1231</f>
        <v>DELETE</v>
      </c>
    </row>
    <row r="1180" spans="2:21" ht="31.5" customHeight="1" x14ac:dyDescent="0.45">
      <c r="B1180" s="527"/>
      <c r="D1180" s="450" t="str">
        <f>Criteria!E9</f>
        <v>ABC COMPANY (PROPRIETARY) LIMITED</v>
      </c>
      <c r="M1180" s="635"/>
      <c r="N1180" s="621"/>
      <c r="O1180" s="531" t="s">
        <v>121</v>
      </c>
      <c r="Q1180" s="451">
        <f>MAX($Q$114:Q1179)+1</f>
        <v>27</v>
      </c>
      <c r="R1180" s="512" t="str">
        <f>R$1231</f>
        <v>DELETE</v>
      </c>
    </row>
    <row r="1181" spans="2:21" ht="31.5" customHeight="1" x14ac:dyDescent="0.45">
      <c r="B1181" s="527"/>
      <c r="D1181" s="450" t="str">
        <f>Criteria!E10</f>
        <v>T/A SEAFRONT HOTEL, SEAFRONT RESTAURANT AND RENTAL PROPERTIES</v>
      </c>
      <c r="M1181" s="635"/>
      <c r="N1181" s="621"/>
      <c r="O1181" s="635"/>
      <c r="R1181" s="512" t="str">
        <f>IF(R$1231="DELETE","DELETE",IF(D1181=0,"DELETE"," "))</f>
        <v>DELETE</v>
      </c>
    </row>
    <row r="1182" spans="2:21" ht="31.5" customHeight="1" x14ac:dyDescent="0.45">
      <c r="B1182" s="527"/>
      <c r="M1182" s="635"/>
      <c r="N1182" s="621"/>
      <c r="O1182" s="635"/>
      <c r="R1182" s="512" t="str">
        <f t="shared" ref="R1182:R1189" si="45">R$1231</f>
        <v>DELETE</v>
      </c>
    </row>
    <row r="1183" spans="2:21" ht="31.5" customHeight="1" x14ac:dyDescent="0.45">
      <c r="B1183" s="527"/>
      <c r="D1183" s="450" t="s">
        <v>451</v>
      </c>
      <c r="M1183" s="635"/>
      <c r="N1183" s="621"/>
      <c r="O1183" s="635"/>
      <c r="R1183" s="512" t="str">
        <f t="shared" si="45"/>
        <v>DELETE</v>
      </c>
    </row>
    <row r="1184" spans="2:21" ht="31.5" customHeight="1" x14ac:dyDescent="0.45">
      <c r="B1184" s="527"/>
      <c r="D1184" s="450" t="str">
        <f>Criteria!E20</f>
        <v>29 FEBRUARY 2024</v>
      </c>
      <c r="J1184" s="449" t="s">
        <v>303</v>
      </c>
      <c r="M1184" s="635"/>
      <c r="N1184" s="621"/>
      <c r="O1184" s="635"/>
      <c r="R1184" s="512" t="str">
        <f t="shared" si="45"/>
        <v>DELETE</v>
      </c>
    </row>
    <row r="1185" spans="2:22" ht="31.5" customHeight="1" x14ac:dyDescent="0.45">
      <c r="B1185" s="527"/>
      <c r="D1185" s="450"/>
      <c r="M1185" s="635"/>
      <c r="N1185" s="621"/>
      <c r="O1185" s="635"/>
      <c r="R1185" s="512" t="str">
        <f t="shared" si="45"/>
        <v>DELETE</v>
      </c>
    </row>
    <row r="1186" spans="2:22" ht="31.5" customHeight="1" x14ac:dyDescent="0.45">
      <c r="B1186" s="565"/>
      <c r="C1186" s="503"/>
      <c r="D1186" s="466"/>
      <c r="E1186" s="466"/>
      <c r="F1186" s="466"/>
      <c r="G1186" s="466"/>
      <c r="H1186" s="466"/>
      <c r="I1186" s="466"/>
      <c r="J1186" s="466"/>
      <c r="K1186" s="466"/>
      <c r="L1186" s="466"/>
      <c r="M1186" s="546"/>
      <c r="N1186" s="471"/>
      <c r="O1186" s="546"/>
      <c r="P1186" s="643"/>
      <c r="Q1186" s="467"/>
      <c r="R1186" s="512" t="str">
        <f t="shared" si="45"/>
        <v>DELETE</v>
      </c>
    </row>
    <row r="1187" spans="2:22" ht="31.5" customHeight="1" x14ac:dyDescent="0.45">
      <c r="B1187" s="563"/>
      <c r="C1187" s="450"/>
      <c r="L1187" s="452"/>
      <c r="M1187" s="527"/>
      <c r="N1187" s="449"/>
      <c r="O1187" s="525">
        <f>Criteria!E22</f>
        <v>2024</v>
      </c>
      <c r="Q1187" s="469"/>
      <c r="R1187" s="512" t="str">
        <f t="shared" si="45"/>
        <v>DELETE</v>
      </c>
    </row>
    <row r="1188" spans="2:22" ht="31.5" customHeight="1" x14ac:dyDescent="0.45">
      <c r="B1188" s="563"/>
      <c r="C1188" s="450"/>
      <c r="L1188" s="452"/>
      <c r="M1188" s="527"/>
      <c r="N1188" s="449"/>
      <c r="O1188" s="531"/>
      <c r="Q1188" s="469"/>
      <c r="R1188" s="512" t="str">
        <f t="shared" si="45"/>
        <v>DELETE</v>
      </c>
    </row>
    <row r="1189" spans="2:22" ht="31.5" customHeight="1" x14ac:dyDescent="0.45">
      <c r="B1189" s="563">
        <f>MAX($B$804:B1188)+1</f>
        <v>5</v>
      </c>
      <c r="C1189" s="450" t="s">
        <v>139</v>
      </c>
      <c r="L1189" s="452"/>
      <c r="M1189" s="527"/>
      <c r="N1189" s="449"/>
      <c r="O1189" s="531"/>
      <c r="Q1189" s="469"/>
      <c r="R1189" s="512" t="str">
        <f t="shared" si="45"/>
        <v>DELETE</v>
      </c>
    </row>
    <row r="1190" spans="2:22" ht="31.5" hidden="1" customHeight="1" x14ac:dyDescent="0.45">
      <c r="B1190" s="563"/>
      <c r="C1190" s="450">
        <f>B1189</f>
        <v>5</v>
      </c>
      <c r="L1190" s="452"/>
      <c r="M1190" s="527"/>
      <c r="N1190" s="449"/>
      <c r="O1190" s="531"/>
      <c r="Q1190" s="469"/>
      <c r="R1190" s="512" t="str">
        <f>R1189</f>
        <v>DELETE</v>
      </c>
    </row>
    <row r="1191" spans="2:22" ht="31.5" customHeight="1" x14ac:dyDescent="0.45">
      <c r="B1191" s="563"/>
      <c r="C1191" s="587">
        <f>MAX(C$1189:C1190)+0.1</f>
        <v>5.0999999999999996</v>
      </c>
      <c r="D1191" s="449" t="s">
        <v>324</v>
      </c>
      <c r="L1191" s="452"/>
      <c r="M1191" s="527"/>
      <c r="N1191" s="449"/>
      <c r="O1191" s="531">
        <f>SUM(O1194:O1196)</f>
        <v>0</v>
      </c>
      <c r="Q1191" s="469"/>
      <c r="R1191" s="512" t="str">
        <f t="shared" ref="R1191" si="46">IF(O1191=0,"DELETE"," ")</f>
        <v>DELETE</v>
      </c>
      <c r="S1191" s="518">
        <f>O1191</f>
        <v>0</v>
      </c>
      <c r="T1191" s="518"/>
      <c r="U1191" s="518"/>
      <c r="V1191" s="518"/>
    </row>
    <row r="1192" spans="2:22" ht="9" customHeight="1" x14ac:dyDescent="0.45">
      <c r="B1192" s="563"/>
      <c r="C1192" s="584"/>
      <c r="L1192" s="452"/>
      <c r="M1192" s="527"/>
      <c r="N1192" s="449"/>
      <c r="O1192" s="531"/>
      <c r="Q1192" s="469"/>
      <c r="R1192" s="512" t="str">
        <f>R1191</f>
        <v>DELETE</v>
      </c>
    </row>
    <row r="1193" spans="2:22" ht="9" customHeight="1" x14ac:dyDescent="0.45">
      <c r="B1193" s="563"/>
      <c r="C1193" s="584"/>
      <c r="L1193" s="452"/>
      <c r="M1193" s="527"/>
      <c r="N1193" s="449"/>
      <c r="O1193" s="558"/>
      <c r="Q1193" s="469"/>
      <c r="R1193" s="512" t="str">
        <f>R1191</f>
        <v>DELETE</v>
      </c>
    </row>
    <row r="1194" spans="2:22" ht="31.5" customHeight="1" x14ac:dyDescent="0.45">
      <c r="B1194" s="563"/>
      <c r="C1194" s="584"/>
      <c r="D1194" s="449" t="s">
        <v>325</v>
      </c>
      <c r="L1194" s="452"/>
      <c r="M1194" s="527"/>
      <c r="N1194" s="449"/>
      <c r="O1194" s="559">
        <f>-TrialBalance!L90-TrialBalanceA!I90-TrialBalanceB!I90-TrialBalanceC!I90</f>
        <v>0</v>
      </c>
      <c r="Q1194" s="469"/>
      <c r="R1194" s="512" t="str">
        <f t="shared" ref="R1194:R1196" si="47">IF(O1194=0,"DELETE"," ")</f>
        <v>DELETE</v>
      </c>
    </row>
    <row r="1195" spans="2:22" ht="31.5" customHeight="1" x14ac:dyDescent="0.45">
      <c r="B1195" s="563"/>
      <c r="C1195" s="584"/>
      <c r="D1195" s="449" t="s">
        <v>1323</v>
      </c>
      <c r="L1195" s="452"/>
      <c r="M1195" s="527"/>
      <c r="N1195" s="449"/>
      <c r="O1195" s="559">
        <f>-TrialBalance!L91-TrialBalanceA!I91-TrialBalanceB!I91-TrialBalanceC!I91</f>
        <v>0</v>
      </c>
      <c r="Q1195" s="469"/>
      <c r="R1195" s="512" t="str">
        <f t="shared" ref="R1195" si="48">IF(O1195=0,"DELETE"," ")</f>
        <v>DELETE</v>
      </c>
    </row>
    <row r="1196" spans="2:22" ht="31.5" customHeight="1" x14ac:dyDescent="0.45">
      <c r="B1196" s="563"/>
      <c r="C1196" s="584"/>
      <c r="D1196" s="449" t="s">
        <v>668</v>
      </c>
      <c r="L1196" s="452"/>
      <c r="M1196" s="527"/>
      <c r="N1196" s="449"/>
      <c r="O1196" s="559">
        <f>-TrialBalance!L92-TrialBalanceA!I92-TrialBalanceB!I92-TrialBalanceC!I92</f>
        <v>0</v>
      </c>
      <c r="Q1196" s="469"/>
      <c r="R1196" s="512" t="str">
        <f t="shared" si="47"/>
        <v>DELETE</v>
      </c>
    </row>
    <row r="1197" spans="2:22" ht="9" customHeight="1" x14ac:dyDescent="0.45">
      <c r="B1197" s="563"/>
      <c r="C1197" s="584"/>
      <c r="L1197" s="452"/>
      <c r="M1197" s="527"/>
      <c r="N1197" s="449"/>
      <c r="O1197" s="560"/>
      <c r="Q1197" s="469"/>
      <c r="R1197" s="512" t="str">
        <f>R1191</f>
        <v>DELETE</v>
      </c>
    </row>
    <row r="1198" spans="2:22" ht="9" customHeight="1" x14ac:dyDescent="0.45">
      <c r="B1198" s="563"/>
      <c r="C1198" s="584"/>
      <c r="L1198" s="452"/>
      <c r="M1198" s="527"/>
      <c r="N1198" s="449"/>
      <c r="O1198" s="531"/>
      <c r="Q1198" s="469"/>
      <c r="R1198" s="512" t="str">
        <f>R1191</f>
        <v>DELETE</v>
      </c>
    </row>
    <row r="1199" spans="2:22" ht="31.5" customHeight="1" x14ac:dyDescent="0.45">
      <c r="B1199" s="563"/>
      <c r="C1199" s="587">
        <f>MAX(C$1189:C1198)+0.1</f>
        <v>5.1999999999999993</v>
      </c>
      <c r="D1199" s="449" t="s">
        <v>326</v>
      </c>
      <c r="L1199" s="452"/>
      <c r="M1199" s="527"/>
      <c r="N1199" s="449"/>
      <c r="O1199" s="531">
        <f>SUM(O1201:O1218)</f>
        <v>0</v>
      </c>
      <c r="Q1199" s="469"/>
      <c r="R1199" s="512" t="str">
        <f t="shared" ref="R1199" si="49">IF(O1199=0,"DELETE"," ")</f>
        <v>DELETE</v>
      </c>
      <c r="S1199" s="518">
        <f>O1199</f>
        <v>0</v>
      </c>
      <c r="T1199" s="518"/>
      <c r="U1199" s="518"/>
      <c r="V1199" s="518"/>
    </row>
    <row r="1200" spans="2:22" ht="9" customHeight="1" x14ac:dyDescent="0.45">
      <c r="B1200" s="563"/>
      <c r="C1200" s="584"/>
      <c r="L1200" s="452"/>
      <c r="M1200" s="527"/>
      <c r="N1200" s="449"/>
      <c r="O1200" s="531"/>
      <c r="Q1200" s="469"/>
      <c r="R1200" s="512" t="str">
        <f>R1199</f>
        <v>DELETE</v>
      </c>
    </row>
    <row r="1201" spans="2:18" ht="9" customHeight="1" x14ac:dyDescent="0.45">
      <c r="B1201" s="563"/>
      <c r="C1201" s="584"/>
      <c r="L1201" s="452"/>
      <c r="M1201" s="527"/>
      <c r="N1201" s="449"/>
      <c r="O1201" s="558"/>
      <c r="Q1201" s="469"/>
      <c r="R1201" s="512" t="str">
        <f>R1199</f>
        <v>DELETE</v>
      </c>
    </row>
    <row r="1202" spans="2:18" ht="31.5" customHeight="1" x14ac:dyDescent="0.45">
      <c r="B1202" s="563"/>
      <c r="C1202" s="584"/>
      <c r="D1202" s="510">
        <f>TrialBalance!C85</f>
        <v>0</v>
      </c>
      <c r="L1202" s="452"/>
      <c r="M1202" s="527"/>
      <c r="N1202" s="449"/>
      <c r="O1202" s="559">
        <f>-TrialBalance!L85</f>
        <v>0</v>
      </c>
      <c r="Q1202" s="469"/>
      <c r="R1202" s="512" t="str">
        <f t="shared" ref="R1202:R1217" si="50">IF(O1202=0,"DELETE"," ")</f>
        <v>DELETE</v>
      </c>
    </row>
    <row r="1203" spans="2:18" ht="31.5" customHeight="1" x14ac:dyDescent="0.45">
      <c r="B1203" s="563"/>
      <c r="C1203" s="584"/>
      <c r="D1203" s="510">
        <f>TrialBalance!C86</f>
        <v>0</v>
      </c>
      <c r="L1203" s="452"/>
      <c r="M1203" s="527"/>
      <c r="N1203" s="449"/>
      <c r="O1203" s="559">
        <f>-TrialBalance!L86</f>
        <v>0</v>
      </c>
      <c r="Q1203" s="469"/>
      <c r="R1203" s="512" t="str">
        <f t="shared" si="50"/>
        <v>DELETE</v>
      </c>
    </row>
    <row r="1204" spans="2:18" ht="31.5" customHeight="1" x14ac:dyDescent="0.45">
      <c r="B1204" s="563"/>
      <c r="C1204" s="584"/>
      <c r="D1204" s="510">
        <f>TrialBalance!C87</f>
        <v>0</v>
      </c>
      <c r="L1204" s="452"/>
      <c r="M1204" s="527"/>
      <c r="N1204" s="449"/>
      <c r="O1204" s="559">
        <f>-TrialBalance!L87</f>
        <v>0</v>
      </c>
      <c r="Q1204" s="469"/>
      <c r="R1204" s="512" t="str">
        <f t="shared" si="50"/>
        <v>DELETE</v>
      </c>
    </row>
    <row r="1205" spans="2:18" ht="31.5" customHeight="1" x14ac:dyDescent="0.45">
      <c r="B1205" s="563"/>
      <c r="C1205" s="584"/>
      <c r="D1205" s="510">
        <f>TrialBalance!C88</f>
        <v>0</v>
      </c>
      <c r="L1205" s="452"/>
      <c r="M1205" s="527"/>
      <c r="N1205" s="449"/>
      <c r="O1205" s="559">
        <f>-TrialBalance!L88</f>
        <v>0</v>
      </c>
      <c r="Q1205" s="469"/>
      <c r="R1205" s="512" t="str">
        <f t="shared" si="50"/>
        <v>DELETE</v>
      </c>
    </row>
    <row r="1206" spans="2:18" ht="31.5" customHeight="1" x14ac:dyDescent="0.45">
      <c r="B1206" s="563"/>
      <c r="C1206" s="584"/>
      <c r="D1206" s="510">
        <f>TrialBalanceA!C85</f>
        <v>0</v>
      </c>
      <c r="L1206" s="452"/>
      <c r="M1206" s="527"/>
      <c r="N1206" s="449"/>
      <c r="O1206" s="559">
        <f>-TrialBalanceA!I85</f>
        <v>0</v>
      </c>
      <c r="Q1206" s="469"/>
      <c r="R1206" s="512" t="str">
        <f t="shared" si="50"/>
        <v>DELETE</v>
      </c>
    </row>
    <row r="1207" spans="2:18" ht="31.5" customHeight="1" x14ac:dyDescent="0.45">
      <c r="B1207" s="563"/>
      <c r="C1207" s="584"/>
      <c r="D1207" s="510">
        <f>TrialBalanceA!C86</f>
        <v>0</v>
      </c>
      <c r="L1207" s="452"/>
      <c r="M1207" s="527"/>
      <c r="N1207" s="449"/>
      <c r="O1207" s="559">
        <f>-TrialBalanceA!I86</f>
        <v>0</v>
      </c>
      <c r="Q1207" s="469"/>
      <c r="R1207" s="512" t="str">
        <f t="shared" si="50"/>
        <v>DELETE</v>
      </c>
    </row>
    <row r="1208" spans="2:18" ht="31.5" customHeight="1" x14ac:dyDescent="0.45">
      <c r="B1208" s="563"/>
      <c r="C1208" s="584"/>
      <c r="D1208" s="510">
        <f>TrialBalanceA!C87</f>
        <v>0</v>
      </c>
      <c r="L1208" s="452"/>
      <c r="M1208" s="527"/>
      <c r="N1208" s="449"/>
      <c r="O1208" s="559">
        <f>-TrialBalanceA!I87</f>
        <v>0</v>
      </c>
      <c r="Q1208" s="469"/>
      <c r="R1208" s="512" t="str">
        <f t="shared" si="50"/>
        <v>DELETE</v>
      </c>
    </row>
    <row r="1209" spans="2:18" ht="31.5" customHeight="1" x14ac:dyDescent="0.45">
      <c r="B1209" s="563"/>
      <c r="C1209" s="584"/>
      <c r="D1209" s="510">
        <f>TrialBalanceA!C88</f>
        <v>0</v>
      </c>
      <c r="L1209" s="452"/>
      <c r="M1209" s="527"/>
      <c r="N1209" s="449"/>
      <c r="O1209" s="559">
        <f>-TrialBalanceA!I88</f>
        <v>0</v>
      </c>
      <c r="Q1209" s="469"/>
      <c r="R1209" s="512" t="str">
        <f t="shared" si="50"/>
        <v>DELETE</v>
      </c>
    </row>
    <row r="1210" spans="2:18" ht="31.5" customHeight="1" x14ac:dyDescent="0.45">
      <c r="B1210" s="563"/>
      <c r="C1210" s="584"/>
      <c r="D1210" s="510">
        <f>TrialBalanceB!C85</f>
        <v>0</v>
      </c>
      <c r="L1210" s="452"/>
      <c r="M1210" s="527"/>
      <c r="N1210" s="449"/>
      <c r="O1210" s="559">
        <f>-TrialBalanceB!I85</f>
        <v>0</v>
      </c>
      <c r="Q1210" s="469"/>
      <c r="R1210" s="512" t="str">
        <f t="shared" si="50"/>
        <v>DELETE</v>
      </c>
    </row>
    <row r="1211" spans="2:18" ht="31.5" customHeight="1" x14ac:dyDescent="0.45">
      <c r="B1211" s="563"/>
      <c r="C1211" s="584"/>
      <c r="D1211" s="510">
        <f>TrialBalanceB!C86</f>
        <v>0</v>
      </c>
      <c r="L1211" s="452"/>
      <c r="M1211" s="527"/>
      <c r="N1211" s="449"/>
      <c r="O1211" s="559">
        <f>-TrialBalanceB!I86</f>
        <v>0</v>
      </c>
      <c r="Q1211" s="469"/>
      <c r="R1211" s="512" t="str">
        <f t="shared" si="50"/>
        <v>DELETE</v>
      </c>
    </row>
    <row r="1212" spans="2:18" ht="31.5" customHeight="1" x14ac:dyDescent="0.45">
      <c r="B1212" s="563"/>
      <c r="C1212" s="584"/>
      <c r="D1212" s="510">
        <f>TrialBalanceB!C87</f>
        <v>0</v>
      </c>
      <c r="L1212" s="452"/>
      <c r="M1212" s="527"/>
      <c r="N1212" s="449"/>
      <c r="O1212" s="559">
        <f>-TrialBalanceB!I87</f>
        <v>0</v>
      </c>
      <c r="Q1212" s="469"/>
      <c r="R1212" s="512" t="str">
        <f t="shared" si="50"/>
        <v>DELETE</v>
      </c>
    </row>
    <row r="1213" spans="2:18" ht="31.5" customHeight="1" x14ac:dyDescent="0.45">
      <c r="B1213" s="563"/>
      <c r="C1213" s="584"/>
      <c r="D1213" s="510">
        <f>TrialBalanceB!C88</f>
        <v>0</v>
      </c>
      <c r="L1213" s="452"/>
      <c r="M1213" s="527"/>
      <c r="N1213" s="449"/>
      <c r="O1213" s="559">
        <f>-TrialBalanceB!I88</f>
        <v>0</v>
      </c>
      <c r="Q1213" s="469"/>
      <c r="R1213" s="512" t="str">
        <f t="shared" si="50"/>
        <v>DELETE</v>
      </c>
    </row>
    <row r="1214" spans="2:18" ht="31.5" customHeight="1" x14ac:dyDescent="0.45">
      <c r="B1214" s="563"/>
      <c r="C1214" s="584"/>
      <c r="D1214" s="510">
        <f>TrialBalanceC!C85</f>
        <v>0</v>
      </c>
      <c r="L1214" s="452"/>
      <c r="M1214" s="527"/>
      <c r="N1214" s="449"/>
      <c r="O1214" s="559">
        <f>-TrialBalanceC!I85</f>
        <v>0</v>
      </c>
      <c r="Q1214" s="469"/>
      <c r="R1214" s="512" t="str">
        <f t="shared" si="50"/>
        <v>DELETE</v>
      </c>
    </row>
    <row r="1215" spans="2:18" ht="31.5" customHeight="1" x14ac:dyDescent="0.45">
      <c r="B1215" s="563"/>
      <c r="C1215" s="584"/>
      <c r="D1215" s="510">
        <f>TrialBalanceC!C86</f>
        <v>0</v>
      </c>
      <c r="L1215" s="452"/>
      <c r="M1215" s="527"/>
      <c r="N1215" s="449"/>
      <c r="O1215" s="559">
        <f>-TrialBalanceC!I86</f>
        <v>0</v>
      </c>
      <c r="Q1215" s="469"/>
      <c r="R1215" s="512" t="str">
        <f t="shared" si="50"/>
        <v>DELETE</v>
      </c>
    </row>
    <row r="1216" spans="2:18" ht="31.5" customHeight="1" x14ac:dyDescent="0.45">
      <c r="B1216" s="563"/>
      <c r="C1216" s="584"/>
      <c r="D1216" s="510">
        <f>TrialBalanceC!C87</f>
        <v>0</v>
      </c>
      <c r="L1216" s="452"/>
      <c r="M1216" s="527"/>
      <c r="N1216" s="449"/>
      <c r="O1216" s="559">
        <f>-TrialBalanceC!I87</f>
        <v>0</v>
      </c>
      <c r="Q1216" s="469"/>
      <c r="R1216" s="512" t="str">
        <f t="shared" si="50"/>
        <v>DELETE</v>
      </c>
    </row>
    <row r="1217" spans="2:22" ht="31.5" customHeight="1" x14ac:dyDescent="0.45">
      <c r="B1217" s="563"/>
      <c r="C1217" s="584"/>
      <c r="D1217" s="510">
        <f>TrialBalanceC!C88</f>
        <v>0</v>
      </c>
      <c r="L1217" s="452"/>
      <c r="M1217" s="527"/>
      <c r="N1217" s="449"/>
      <c r="O1217" s="559">
        <f>-TrialBalanceC!I88</f>
        <v>0</v>
      </c>
      <c r="Q1217" s="469"/>
      <c r="R1217" s="512" t="str">
        <f t="shared" si="50"/>
        <v>DELETE</v>
      </c>
    </row>
    <row r="1218" spans="2:22" ht="9" customHeight="1" x14ac:dyDescent="0.45">
      <c r="B1218" s="563"/>
      <c r="C1218" s="584"/>
      <c r="L1218" s="452"/>
      <c r="M1218" s="527"/>
      <c r="N1218" s="449"/>
      <c r="O1218" s="560"/>
      <c r="Q1218" s="469"/>
      <c r="R1218" s="512" t="str">
        <f>R1199</f>
        <v>DELETE</v>
      </c>
    </row>
    <row r="1219" spans="2:22" ht="9" customHeight="1" x14ac:dyDescent="0.45">
      <c r="B1219" s="563"/>
      <c r="C1219" s="584"/>
      <c r="L1219" s="452"/>
      <c r="M1219" s="527"/>
      <c r="N1219" s="449"/>
      <c r="O1219" s="531"/>
      <c r="Q1219" s="469"/>
      <c r="R1219" s="512" t="str">
        <f>R1199</f>
        <v>DELETE</v>
      </c>
    </row>
    <row r="1220" spans="2:22" ht="31.5" customHeight="1" x14ac:dyDescent="0.45">
      <c r="B1220" s="563"/>
      <c r="C1220" s="587">
        <f>MAX(C$1189:C1219)+0.1</f>
        <v>5.2999999999999989</v>
      </c>
      <c r="D1220" s="449" t="s">
        <v>416</v>
      </c>
      <c r="L1220" s="452"/>
      <c r="M1220" s="527"/>
      <c r="N1220" s="449"/>
      <c r="O1220" s="531">
        <f>SUM(O1222:O1228)</f>
        <v>0</v>
      </c>
      <c r="Q1220" s="469"/>
      <c r="R1220" s="512" t="str">
        <f>IF(SUM(O1223:O1227)=0,"DELETE"," ")</f>
        <v>DELETE</v>
      </c>
      <c r="S1220" s="517">
        <f>O1220</f>
        <v>0</v>
      </c>
    </row>
    <row r="1221" spans="2:22" ht="9" customHeight="1" x14ac:dyDescent="0.45">
      <c r="B1221" s="563"/>
      <c r="C1221" s="587"/>
      <c r="L1221" s="452"/>
      <c r="M1221" s="527"/>
      <c r="N1221" s="449"/>
      <c r="O1221" s="531"/>
      <c r="Q1221" s="469"/>
      <c r="R1221" s="512" t="str">
        <f>R1220</f>
        <v>DELETE</v>
      </c>
    </row>
    <row r="1222" spans="2:22" ht="9" customHeight="1" x14ac:dyDescent="0.45">
      <c r="B1222" s="563"/>
      <c r="C1222" s="587"/>
      <c r="L1222" s="452"/>
      <c r="M1222" s="527"/>
      <c r="N1222" s="449"/>
      <c r="O1222" s="558"/>
      <c r="Q1222" s="469"/>
      <c r="R1222" s="512" t="str">
        <f>R1220</f>
        <v>DELETE</v>
      </c>
    </row>
    <row r="1223" spans="2:22" ht="31.5" customHeight="1" x14ac:dyDescent="0.45">
      <c r="B1223" s="563"/>
      <c r="C1223" s="584"/>
      <c r="D1223" s="449" t="s">
        <v>634</v>
      </c>
      <c r="L1223" s="452"/>
      <c r="M1223" s="527"/>
      <c r="N1223" s="449"/>
      <c r="O1223" s="559">
        <f>IF(TrialBalance!L93&lt;0,-TrialBalance!L93,0)+IF(TrialBalanceA!I93&lt;0,-TrialBalanceA!I93,0)+IF(TrialBalanceB!I93&lt;0,-TrialBalanceB!I93,0)+IF(TrialBalanceC!I93&lt;0,-TrialBalanceC!I93,0)</f>
        <v>0</v>
      </c>
      <c r="Q1223" s="469"/>
      <c r="R1223" s="512" t="str">
        <f t="shared" ref="R1223:R1226" si="51">IF(O1223=0,"DELETE"," ")</f>
        <v>DELETE</v>
      </c>
      <c r="S1223" s="518"/>
      <c r="T1223" s="518"/>
      <c r="U1223" s="518"/>
      <c r="V1223" s="518"/>
    </row>
    <row r="1224" spans="2:22" ht="31.5" customHeight="1" x14ac:dyDescent="0.45">
      <c r="B1224" s="563"/>
      <c r="C1224" s="584"/>
      <c r="D1224" s="449" t="s">
        <v>433</v>
      </c>
      <c r="L1224" s="452"/>
      <c r="M1224" s="527"/>
      <c r="N1224" s="449"/>
      <c r="O1224" s="559">
        <f>-TrialBalance!L83-TrialBalanceA!I83-TrialBalanceB!I83-TrialBalanceC!I83</f>
        <v>0</v>
      </c>
      <c r="Q1224" s="469"/>
      <c r="R1224" s="512" t="str">
        <f t="shared" si="51"/>
        <v>DELETE</v>
      </c>
      <c r="S1224" s="518"/>
      <c r="T1224" s="518"/>
      <c r="U1224" s="518"/>
      <c r="V1224" s="518"/>
    </row>
    <row r="1225" spans="2:22" ht="31.5" customHeight="1" x14ac:dyDescent="0.45">
      <c r="B1225" s="563"/>
      <c r="C1225" s="584"/>
      <c r="D1225" s="449" t="s">
        <v>243</v>
      </c>
      <c r="L1225" s="452"/>
      <c r="M1225" s="527"/>
      <c r="N1225" s="449"/>
      <c r="O1225" s="559">
        <f>-TrialBalance!L94-TrialBalanceA!I94-TrialBalanceB!I94-TrialBalanceC!I94</f>
        <v>0</v>
      </c>
      <c r="Q1225" s="469"/>
      <c r="R1225" s="512" t="str">
        <f t="shared" si="51"/>
        <v>DELETE</v>
      </c>
      <c r="S1225" s="518"/>
      <c r="T1225" s="518"/>
      <c r="U1225" s="518"/>
      <c r="V1225" s="518"/>
    </row>
    <row r="1226" spans="2:22" ht="31.5" customHeight="1" x14ac:dyDescent="0.45">
      <c r="B1226" s="563"/>
      <c r="C1226" s="584"/>
      <c r="D1226" s="449" t="s">
        <v>498</v>
      </c>
      <c r="L1226" s="452"/>
      <c r="M1226" s="527"/>
      <c r="N1226" s="449"/>
      <c r="O1226" s="559">
        <f>-TrialBalance!L95-TrialBalanceA!I95-TrialBalanceB!I95-TrialBalanceC!I95</f>
        <v>0</v>
      </c>
      <c r="Q1226" s="469"/>
      <c r="R1226" s="512" t="str">
        <f t="shared" si="51"/>
        <v>DELETE</v>
      </c>
      <c r="S1226" s="518"/>
      <c r="T1226" s="518"/>
      <c r="U1226" s="518"/>
      <c r="V1226" s="518"/>
    </row>
    <row r="1227" spans="2:22" ht="31.5" customHeight="1" x14ac:dyDescent="0.45">
      <c r="B1227" s="563"/>
      <c r="C1227" s="584"/>
      <c r="D1227" s="449" t="str">
        <f>TrialBalance!C96</f>
        <v>Revaluation of investment property</v>
      </c>
      <c r="L1227" s="452"/>
      <c r="M1227" s="527"/>
      <c r="N1227" s="449"/>
      <c r="O1227" s="559">
        <f>-TrialBalance!L96-TrialBalanceA!I96-TrialBalanceB!I96-TrialBalanceC!I96</f>
        <v>0</v>
      </c>
      <c r="Q1227" s="469"/>
      <c r="R1227" s="512" t="str">
        <f t="shared" ref="R1227" si="52">IF(O1227=0,"DELETE"," ")</f>
        <v>DELETE</v>
      </c>
      <c r="S1227" s="518"/>
      <c r="T1227" s="518"/>
      <c r="U1227" s="518"/>
      <c r="V1227" s="518"/>
    </row>
    <row r="1228" spans="2:22" ht="9" customHeight="1" x14ac:dyDescent="0.45">
      <c r="B1228" s="563"/>
      <c r="C1228" s="584"/>
      <c r="L1228" s="452"/>
      <c r="M1228" s="527"/>
      <c r="N1228" s="449"/>
      <c r="O1228" s="560"/>
      <c r="Q1228" s="469"/>
      <c r="R1228" s="512" t="str">
        <f>R1220</f>
        <v>DELETE</v>
      </c>
      <c r="S1228" s="518"/>
      <c r="T1228" s="518"/>
      <c r="U1228" s="518"/>
      <c r="V1228" s="518"/>
    </row>
    <row r="1229" spans="2:22" ht="9" customHeight="1" x14ac:dyDescent="0.45">
      <c r="B1229" s="563"/>
      <c r="C1229" s="584"/>
      <c r="L1229" s="452"/>
      <c r="M1229" s="527"/>
      <c r="N1229" s="449"/>
      <c r="O1229" s="535"/>
      <c r="Q1229" s="469"/>
      <c r="R1229" s="512" t="str">
        <f>R1231</f>
        <v>DELETE</v>
      </c>
    </row>
    <row r="1230" spans="2:22" ht="9" customHeight="1" x14ac:dyDescent="0.45">
      <c r="B1230" s="563"/>
      <c r="C1230" s="584"/>
      <c r="L1230" s="452"/>
      <c r="M1230" s="527"/>
      <c r="N1230" s="449"/>
      <c r="O1230" s="531"/>
      <c r="Q1230" s="469"/>
      <c r="R1230" s="512" t="str">
        <f>R1231</f>
        <v>DELETE</v>
      </c>
    </row>
    <row r="1231" spans="2:22" ht="31.5" customHeight="1" x14ac:dyDescent="0.45">
      <c r="B1231" s="563"/>
      <c r="C1231" s="584"/>
      <c r="D1231" s="449" t="s">
        <v>669</v>
      </c>
      <c r="L1231" s="452"/>
      <c r="M1231" s="527"/>
      <c r="N1231" s="449"/>
      <c r="O1231" s="531">
        <f>SUM(S1191:S1229)</f>
        <v>0</v>
      </c>
      <c r="Q1231" s="469"/>
      <c r="R1231" s="512" t="str">
        <f t="shared" ref="R1231" si="53">IF(O1231=0,"DELETE"," ")</f>
        <v>DELETE</v>
      </c>
      <c r="U1231" s="522"/>
      <c r="V1231" s="522"/>
    </row>
    <row r="1232" spans="2:22" ht="9" customHeight="1" thickBot="1" x14ac:dyDescent="0.5">
      <c r="B1232" s="563"/>
      <c r="C1232" s="584"/>
      <c r="L1232" s="452"/>
      <c r="M1232" s="527"/>
      <c r="N1232" s="449"/>
      <c r="O1232" s="536"/>
      <c r="Q1232" s="469"/>
      <c r="R1232" s="512" t="str">
        <f t="shared" ref="R1232:R1237" si="54">R$1231</f>
        <v>DELETE</v>
      </c>
    </row>
    <row r="1233" spans="2:18" ht="9" customHeight="1" thickTop="1" x14ac:dyDescent="0.45">
      <c r="B1233" s="563"/>
      <c r="C1233" s="584"/>
      <c r="L1233" s="452"/>
      <c r="M1233" s="527"/>
      <c r="N1233" s="449"/>
      <c r="O1233" s="548"/>
      <c r="Q1233" s="469"/>
      <c r="R1233" s="512" t="str">
        <f t="shared" si="54"/>
        <v>DELETE</v>
      </c>
    </row>
    <row r="1234" spans="2:18" ht="31.5" customHeight="1" x14ac:dyDescent="0.45">
      <c r="B1234" s="563"/>
      <c r="C1234" s="584"/>
      <c r="L1234" s="452"/>
      <c r="M1234" s="527"/>
      <c r="N1234" s="449"/>
      <c r="O1234" s="531"/>
      <c r="Q1234" s="469"/>
      <c r="R1234" s="512" t="str">
        <f t="shared" si="54"/>
        <v>DELETE</v>
      </c>
    </row>
    <row r="1235" spans="2:18" ht="31.5" customHeight="1" x14ac:dyDescent="0.45">
      <c r="B1235" s="563"/>
      <c r="C1235" s="584"/>
      <c r="M1235" s="531"/>
      <c r="N1235" s="470"/>
      <c r="O1235" s="531"/>
      <c r="Q1235" s="469"/>
      <c r="R1235" s="512" t="str">
        <f t="shared" si="54"/>
        <v>DELETE</v>
      </c>
    </row>
    <row r="1236" spans="2:18" ht="31.5" customHeight="1" x14ac:dyDescent="0.45">
      <c r="B1236" s="564"/>
      <c r="C1236" s="585"/>
      <c r="D1236" s="461"/>
      <c r="E1236" s="461"/>
      <c r="F1236" s="461"/>
      <c r="G1236" s="461"/>
      <c r="H1236" s="461"/>
      <c r="I1236" s="461"/>
      <c r="J1236" s="461"/>
      <c r="K1236" s="461"/>
      <c r="L1236" s="461"/>
      <c r="M1236" s="535"/>
      <c r="N1236" s="473"/>
      <c r="O1236" s="535"/>
      <c r="P1236" s="631"/>
      <c r="Q1236" s="479"/>
      <c r="R1236" s="512" t="str">
        <f t="shared" si="54"/>
        <v>DELETE</v>
      </c>
    </row>
    <row r="1237" spans="2:18" ht="31.5" customHeight="1" x14ac:dyDescent="0.45">
      <c r="B1237" s="526"/>
      <c r="C1237" s="450"/>
      <c r="M1237" s="531"/>
      <c r="N1237" s="470"/>
      <c r="O1237" s="531"/>
      <c r="R1237" s="512" t="str">
        <f t="shared" si="54"/>
        <v>DELETE</v>
      </c>
    </row>
    <row r="1238" spans="2:18" ht="31.5" customHeight="1" x14ac:dyDescent="0.45">
      <c r="B1238" s="527"/>
      <c r="M1238" s="635"/>
      <c r="N1238" s="621"/>
      <c r="O1238" s="635"/>
      <c r="R1238" s="512" t="str">
        <f>R$1295</f>
        <v>DELETE</v>
      </c>
    </row>
    <row r="1239" spans="2:18" ht="31.5" customHeight="1" x14ac:dyDescent="0.45">
      <c r="B1239" s="527"/>
      <c r="D1239" s="450" t="str">
        <f>Criteria!E9</f>
        <v>ABC COMPANY (PROPRIETARY) LIMITED</v>
      </c>
      <c r="M1239" s="635"/>
      <c r="N1239" s="621"/>
      <c r="O1239" s="531" t="s">
        <v>121</v>
      </c>
      <c r="Q1239" s="451">
        <f>MAX($Q$114:Q1238)+1</f>
        <v>28</v>
      </c>
      <c r="R1239" s="512" t="str">
        <f>R$1295</f>
        <v>DELETE</v>
      </c>
    </row>
    <row r="1240" spans="2:18" ht="31.5" customHeight="1" x14ac:dyDescent="0.45">
      <c r="B1240" s="527"/>
      <c r="D1240" s="450" t="str">
        <f>Criteria!E10</f>
        <v>T/A SEAFRONT HOTEL, SEAFRONT RESTAURANT AND RENTAL PROPERTIES</v>
      </c>
      <c r="M1240" s="635"/>
      <c r="N1240" s="621"/>
      <c r="O1240" s="635"/>
      <c r="R1240" s="512" t="str">
        <f>IF(R$1295="DELETE","DELETE",IF(D1240=0,"DELETE"," "))</f>
        <v>DELETE</v>
      </c>
    </row>
    <row r="1241" spans="2:18" ht="31.5" customHeight="1" x14ac:dyDescent="0.45">
      <c r="B1241" s="527"/>
      <c r="M1241" s="635"/>
      <c r="N1241" s="621"/>
      <c r="O1241" s="635"/>
      <c r="R1241" s="512" t="str">
        <f t="shared" ref="R1241:R1248" si="55">R$1295</f>
        <v>DELETE</v>
      </c>
    </row>
    <row r="1242" spans="2:18" ht="31.5" customHeight="1" x14ac:dyDescent="0.45">
      <c r="B1242" s="527"/>
      <c r="D1242" s="450" t="s">
        <v>451</v>
      </c>
      <c r="M1242" s="635"/>
      <c r="N1242" s="621"/>
      <c r="O1242" s="635"/>
      <c r="R1242" s="512" t="str">
        <f t="shared" si="55"/>
        <v>DELETE</v>
      </c>
    </row>
    <row r="1243" spans="2:18" ht="31.5" customHeight="1" x14ac:dyDescent="0.45">
      <c r="B1243" s="527"/>
      <c r="D1243" s="450" t="str">
        <f>Criteria!E20</f>
        <v>29 FEBRUARY 2024</v>
      </c>
      <c r="J1243" s="449" t="s">
        <v>303</v>
      </c>
      <c r="M1243" s="635"/>
      <c r="N1243" s="621"/>
      <c r="O1243" s="635"/>
      <c r="R1243" s="512" t="str">
        <f t="shared" si="55"/>
        <v>DELETE</v>
      </c>
    </row>
    <row r="1244" spans="2:18" ht="31.5" customHeight="1" x14ac:dyDescent="0.45">
      <c r="B1244" s="527"/>
      <c r="M1244" s="640"/>
      <c r="N1244" s="646"/>
      <c r="O1244" s="640"/>
      <c r="R1244" s="512" t="str">
        <f t="shared" si="55"/>
        <v>DELETE</v>
      </c>
    </row>
    <row r="1245" spans="2:18" ht="31.5" customHeight="1" x14ac:dyDescent="0.45">
      <c r="B1245" s="566"/>
      <c r="C1245" s="466"/>
      <c r="D1245" s="466"/>
      <c r="E1245" s="466"/>
      <c r="F1245" s="466"/>
      <c r="G1245" s="466"/>
      <c r="H1245" s="466"/>
      <c r="I1245" s="466"/>
      <c r="J1245" s="466"/>
      <c r="K1245" s="466"/>
      <c r="L1245" s="466"/>
      <c r="M1245" s="648"/>
      <c r="N1245" s="649"/>
      <c r="O1245" s="648"/>
      <c r="P1245" s="643"/>
      <c r="Q1245" s="467"/>
      <c r="R1245" s="512" t="str">
        <f t="shared" si="55"/>
        <v>DELETE</v>
      </c>
    </row>
    <row r="1246" spans="2:18" ht="31.5" customHeight="1" x14ac:dyDescent="0.45">
      <c r="B1246" s="582"/>
      <c r="L1246" s="452"/>
      <c r="M1246" s="527"/>
      <c r="N1246" s="449"/>
      <c r="O1246" s="525">
        <f>Criteria!E22</f>
        <v>2024</v>
      </c>
      <c r="Q1246" s="469"/>
      <c r="R1246" s="512" t="str">
        <f t="shared" si="55"/>
        <v>DELETE</v>
      </c>
    </row>
    <row r="1247" spans="2:18" ht="31.5" customHeight="1" x14ac:dyDescent="0.45">
      <c r="B1247" s="563"/>
      <c r="C1247" s="450"/>
      <c r="L1247" s="452"/>
      <c r="M1247" s="527"/>
      <c r="N1247" s="449"/>
      <c r="O1247" s="531"/>
      <c r="Q1247" s="469"/>
      <c r="R1247" s="512" t="str">
        <f t="shared" si="55"/>
        <v>DELETE</v>
      </c>
    </row>
    <row r="1248" spans="2:18" ht="31.5" customHeight="1" x14ac:dyDescent="0.45">
      <c r="B1248" s="563">
        <f>MAX($B$804:B1247)+1</f>
        <v>6</v>
      </c>
      <c r="C1248" s="450" t="s">
        <v>140</v>
      </c>
      <c r="L1248" s="452"/>
      <c r="M1248" s="527"/>
      <c r="N1248" s="449"/>
      <c r="O1248" s="531"/>
      <c r="Q1248" s="469"/>
      <c r="R1248" s="512" t="str">
        <f t="shared" si="55"/>
        <v>DELETE</v>
      </c>
    </row>
    <row r="1249" spans="2:18" ht="31.5" customHeight="1" x14ac:dyDescent="0.45">
      <c r="B1249" s="563"/>
      <c r="C1249" s="450"/>
      <c r="D1249" s="449">
        <f>TrialBalance!C142</f>
        <v>0</v>
      </c>
      <c r="L1249" s="452"/>
      <c r="M1249" s="527"/>
      <c r="N1249" s="449"/>
      <c r="O1249" s="531">
        <f>TrialBalance!L142</f>
        <v>0</v>
      </c>
      <c r="Q1249" s="469"/>
      <c r="R1249" s="512" t="str">
        <f t="shared" ref="R1249:R1292" si="56">IF(O1249=0,"DELETE"," ")</f>
        <v>DELETE</v>
      </c>
    </row>
    <row r="1250" spans="2:18" ht="31.5" customHeight="1" x14ac:dyDescent="0.45">
      <c r="B1250" s="563"/>
      <c r="C1250" s="450"/>
      <c r="D1250" s="449">
        <f>TrialBalance!C143</f>
        <v>0</v>
      </c>
      <c r="L1250" s="452"/>
      <c r="M1250" s="527"/>
      <c r="N1250" s="449"/>
      <c r="O1250" s="531">
        <f>TrialBalance!L143</f>
        <v>0</v>
      </c>
      <c r="Q1250" s="469"/>
      <c r="R1250" s="512" t="str">
        <f t="shared" si="56"/>
        <v>DELETE</v>
      </c>
    </row>
    <row r="1251" spans="2:18" ht="31.5" customHeight="1" x14ac:dyDescent="0.45">
      <c r="B1251" s="563"/>
      <c r="C1251" s="450"/>
      <c r="D1251" s="449">
        <f>TrialBalance!C144</f>
        <v>0</v>
      </c>
      <c r="L1251" s="452"/>
      <c r="M1251" s="527"/>
      <c r="N1251" s="449"/>
      <c r="O1251" s="531">
        <f>TrialBalance!L144</f>
        <v>0</v>
      </c>
      <c r="Q1251" s="469"/>
      <c r="R1251" s="512" t="str">
        <f t="shared" si="56"/>
        <v>DELETE</v>
      </c>
    </row>
    <row r="1252" spans="2:18" ht="31.5" customHeight="1" x14ac:dyDescent="0.45">
      <c r="B1252" s="563"/>
      <c r="C1252" s="450"/>
      <c r="D1252" s="449">
        <f>TrialBalance!C145</f>
        <v>0</v>
      </c>
      <c r="L1252" s="452"/>
      <c r="M1252" s="527"/>
      <c r="N1252" s="449"/>
      <c r="O1252" s="531">
        <f>TrialBalance!L145</f>
        <v>0</v>
      </c>
      <c r="Q1252" s="469"/>
      <c r="R1252" s="512" t="str">
        <f t="shared" si="56"/>
        <v>DELETE</v>
      </c>
    </row>
    <row r="1253" spans="2:18" ht="31.5" customHeight="1" x14ac:dyDescent="0.45">
      <c r="B1253" s="563"/>
      <c r="C1253" s="450"/>
      <c r="D1253" s="449">
        <f>TrialBalance!C146</f>
        <v>0</v>
      </c>
      <c r="L1253" s="452"/>
      <c r="M1253" s="527"/>
      <c r="N1253" s="449"/>
      <c r="O1253" s="531">
        <f>TrialBalance!L146</f>
        <v>0</v>
      </c>
      <c r="Q1253" s="469"/>
      <c r="R1253" s="512" t="str">
        <f t="shared" si="56"/>
        <v>DELETE</v>
      </c>
    </row>
    <row r="1254" spans="2:18" ht="31.5" customHeight="1" x14ac:dyDescent="0.45">
      <c r="B1254" s="563"/>
      <c r="C1254" s="450"/>
      <c r="D1254" s="449">
        <f>TrialBalance!C147</f>
        <v>0</v>
      </c>
      <c r="L1254" s="452"/>
      <c r="M1254" s="527"/>
      <c r="N1254" s="449"/>
      <c r="O1254" s="531">
        <f>TrialBalance!L147</f>
        <v>0</v>
      </c>
      <c r="Q1254" s="469"/>
      <c r="R1254" s="512" t="str">
        <f t="shared" si="56"/>
        <v>DELETE</v>
      </c>
    </row>
    <row r="1255" spans="2:18" ht="31.5" customHeight="1" x14ac:dyDescent="0.45">
      <c r="B1255" s="563"/>
      <c r="C1255" s="450"/>
      <c r="D1255" s="449">
        <f>TrialBalance!C148</f>
        <v>0</v>
      </c>
      <c r="L1255" s="452"/>
      <c r="M1255" s="527"/>
      <c r="N1255" s="449"/>
      <c r="O1255" s="531">
        <f>TrialBalance!L148</f>
        <v>0</v>
      </c>
      <c r="Q1255" s="469"/>
      <c r="R1255" s="512" t="str">
        <f t="shared" si="56"/>
        <v>DELETE</v>
      </c>
    </row>
    <row r="1256" spans="2:18" ht="31.5" customHeight="1" x14ac:dyDescent="0.45">
      <c r="B1256" s="563"/>
      <c r="C1256" s="450"/>
      <c r="D1256" s="449">
        <f>TrialBalance!C149</f>
        <v>0</v>
      </c>
      <c r="L1256" s="452"/>
      <c r="M1256" s="527"/>
      <c r="N1256" s="449"/>
      <c r="O1256" s="531">
        <f>TrialBalance!L149</f>
        <v>0</v>
      </c>
      <c r="Q1256" s="469"/>
      <c r="R1256" s="512" t="str">
        <f t="shared" si="56"/>
        <v>DELETE</v>
      </c>
    </row>
    <row r="1257" spans="2:18" ht="31.5" customHeight="1" x14ac:dyDescent="0.45">
      <c r="B1257" s="563"/>
      <c r="C1257" s="450"/>
      <c r="D1257" s="449">
        <f>TrialBalance!C150</f>
        <v>0</v>
      </c>
      <c r="L1257" s="452"/>
      <c r="M1257" s="527"/>
      <c r="N1257" s="449"/>
      <c r="O1257" s="531">
        <f>TrialBalance!L150</f>
        <v>0</v>
      </c>
      <c r="Q1257" s="469"/>
      <c r="R1257" s="512" t="str">
        <f t="shared" si="56"/>
        <v>DELETE</v>
      </c>
    </row>
    <row r="1258" spans="2:18" ht="31.5" customHeight="1" x14ac:dyDescent="0.45">
      <c r="B1258" s="563"/>
      <c r="C1258" s="450"/>
      <c r="D1258" s="449">
        <f>TrialBalance!C151</f>
        <v>0</v>
      </c>
      <c r="L1258" s="452"/>
      <c r="M1258" s="527"/>
      <c r="N1258" s="449"/>
      <c r="O1258" s="531">
        <f>TrialBalance!L151</f>
        <v>0</v>
      </c>
      <c r="Q1258" s="469"/>
      <c r="R1258" s="512" t="str">
        <f t="shared" si="56"/>
        <v>DELETE</v>
      </c>
    </row>
    <row r="1259" spans="2:18" ht="31.5" customHeight="1" x14ac:dyDescent="0.45">
      <c r="B1259" s="563"/>
      <c r="C1259" s="450"/>
      <c r="D1259" s="449" t="str">
        <f>TrialBalance!C152</f>
        <v>Interest on finance leases - Seafront Hotel</v>
      </c>
      <c r="L1259" s="452"/>
      <c r="M1259" s="527"/>
      <c r="N1259" s="449"/>
      <c r="O1259" s="531">
        <f>TrialBalance!L152</f>
        <v>0</v>
      </c>
      <c r="Q1259" s="469"/>
      <c r="R1259" s="512" t="str">
        <f t="shared" si="56"/>
        <v>DELETE</v>
      </c>
    </row>
    <row r="1260" spans="2:18" ht="31.5" customHeight="1" x14ac:dyDescent="0.45">
      <c r="B1260" s="563"/>
      <c r="C1260" s="450"/>
      <c r="D1260" s="449">
        <f>TrialBalanceA!C142</f>
        <v>0</v>
      </c>
      <c r="L1260" s="452"/>
      <c r="M1260" s="527"/>
      <c r="N1260" s="449"/>
      <c r="O1260" s="531">
        <f>TrialBalanceA!I142</f>
        <v>0</v>
      </c>
      <c r="Q1260" s="469"/>
      <c r="R1260" s="512" t="str">
        <f t="shared" si="56"/>
        <v>DELETE</v>
      </c>
    </row>
    <row r="1261" spans="2:18" ht="31.5" customHeight="1" x14ac:dyDescent="0.45">
      <c r="B1261" s="563"/>
      <c r="C1261" s="450"/>
      <c r="D1261" s="449">
        <f>TrialBalanceA!C143</f>
        <v>0</v>
      </c>
      <c r="L1261" s="452"/>
      <c r="M1261" s="527"/>
      <c r="N1261" s="449"/>
      <c r="O1261" s="531">
        <f>TrialBalanceA!I143</f>
        <v>0</v>
      </c>
      <c r="Q1261" s="469"/>
      <c r="R1261" s="512" t="str">
        <f t="shared" si="56"/>
        <v>DELETE</v>
      </c>
    </row>
    <row r="1262" spans="2:18" ht="31.5" customHeight="1" x14ac:dyDescent="0.45">
      <c r="B1262" s="563"/>
      <c r="C1262" s="450"/>
      <c r="D1262" s="449">
        <f>TrialBalanceA!C144</f>
        <v>0</v>
      </c>
      <c r="L1262" s="452"/>
      <c r="M1262" s="527"/>
      <c r="N1262" s="449"/>
      <c r="O1262" s="531">
        <f>TrialBalanceA!I144</f>
        <v>0</v>
      </c>
      <c r="Q1262" s="469"/>
      <c r="R1262" s="512" t="str">
        <f t="shared" si="56"/>
        <v>DELETE</v>
      </c>
    </row>
    <row r="1263" spans="2:18" ht="31.5" customHeight="1" x14ac:dyDescent="0.45">
      <c r="B1263" s="563"/>
      <c r="C1263" s="450"/>
      <c r="D1263" s="449">
        <f>TrialBalanceA!C145</f>
        <v>0</v>
      </c>
      <c r="L1263" s="452"/>
      <c r="M1263" s="527"/>
      <c r="N1263" s="449"/>
      <c r="O1263" s="531">
        <f>TrialBalanceA!I145</f>
        <v>0</v>
      </c>
      <c r="Q1263" s="469"/>
      <c r="R1263" s="512" t="str">
        <f t="shared" si="56"/>
        <v>DELETE</v>
      </c>
    </row>
    <row r="1264" spans="2:18" ht="31.5" customHeight="1" x14ac:dyDescent="0.45">
      <c r="B1264" s="563"/>
      <c r="C1264" s="450"/>
      <c r="D1264" s="449">
        <f>TrialBalanceA!C146</f>
        <v>0</v>
      </c>
      <c r="L1264" s="452"/>
      <c r="M1264" s="527"/>
      <c r="N1264" s="449"/>
      <c r="O1264" s="531">
        <f>TrialBalanceA!I146</f>
        <v>0</v>
      </c>
      <c r="Q1264" s="469"/>
      <c r="R1264" s="512" t="str">
        <f t="shared" si="56"/>
        <v>DELETE</v>
      </c>
    </row>
    <row r="1265" spans="2:18" ht="31.5" customHeight="1" x14ac:dyDescent="0.45">
      <c r="B1265" s="563"/>
      <c r="C1265" s="450"/>
      <c r="D1265" s="449">
        <f>TrialBalanceA!C147</f>
        <v>0</v>
      </c>
      <c r="L1265" s="452"/>
      <c r="M1265" s="527"/>
      <c r="N1265" s="449"/>
      <c r="O1265" s="531">
        <f>TrialBalanceA!I147</f>
        <v>0</v>
      </c>
      <c r="Q1265" s="469"/>
      <c r="R1265" s="512" t="str">
        <f t="shared" si="56"/>
        <v>DELETE</v>
      </c>
    </row>
    <row r="1266" spans="2:18" ht="31.5" customHeight="1" x14ac:dyDescent="0.45">
      <c r="B1266" s="563"/>
      <c r="C1266" s="450"/>
      <c r="D1266" s="449">
        <f>TrialBalanceA!C148</f>
        <v>0</v>
      </c>
      <c r="L1266" s="452"/>
      <c r="M1266" s="527"/>
      <c r="N1266" s="449"/>
      <c r="O1266" s="531">
        <f>TrialBalanceA!I148</f>
        <v>0</v>
      </c>
      <c r="Q1266" s="469"/>
      <c r="R1266" s="512" t="str">
        <f t="shared" si="56"/>
        <v>DELETE</v>
      </c>
    </row>
    <row r="1267" spans="2:18" ht="31.5" customHeight="1" x14ac:dyDescent="0.45">
      <c r="B1267" s="563"/>
      <c r="C1267" s="450"/>
      <c r="D1267" s="449">
        <f>TrialBalanceA!C149</f>
        <v>0</v>
      </c>
      <c r="L1267" s="452"/>
      <c r="M1267" s="527"/>
      <c r="N1267" s="449"/>
      <c r="O1267" s="531">
        <f>TrialBalanceA!I149</f>
        <v>0</v>
      </c>
      <c r="Q1267" s="469"/>
      <c r="R1267" s="512" t="str">
        <f t="shared" si="56"/>
        <v>DELETE</v>
      </c>
    </row>
    <row r="1268" spans="2:18" ht="31.5" customHeight="1" x14ac:dyDescent="0.45">
      <c r="B1268" s="563"/>
      <c r="C1268" s="450"/>
      <c r="D1268" s="449">
        <f>TrialBalanceA!C150</f>
        <v>0</v>
      </c>
      <c r="L1268" s="452"/>
      <c r="M1268" s="527"/>
      <c r="N1268" s="449"/>
      <c r="O1268" s="531">
        <f>TrialBalanceA!I150</f>
        <v>0</v>
      </c>
      <c r="Q1268" s="469"/>
      <c r="R1268" s="512" t="str">
        <f t="shared" si="56"/>
        <v>DELETE</v>
      </c>
    </row>
    <row r="1269" spans="2:18" ht="31.5" customHeight="1" x14ac:dyDescent="0.45">
      <c r="B1269" s="563"/>
      <c r="C1269" s="450"/>
      <c r="D1269" s="449">
        <f>TrialBalanceA!C151</f>
        <v>0</v>
      </c>
      <c r="L1269" s="452"/>
      <c r="M1269" s="527"/>
      <c r="N1269" s="449"/>
      <c r="O1269" s="531">
        <f>TrialBalanceA!I151</f>
        <v>0</v>
      </c>
      <c r="Q1269" s="469"/>
      <c r="R1269" s="512" t="str">
        <f t="shared" si="56"/>
        <v>DELETE</v>
      </c>
    </row>
    <row r="1270" spans="2:18" ht="31.5" customHeight="1" x14ac:dyDescent="0.45">
      <c r="B1270" s="563"/>
      <c r="C1270" s="450"/>
      <c r="D1270" s="449" t="str">
        <f>TrialBalanceA!C152</f>
        <v>Interest on finance leases - Seafront Restaurant</v>
      </c>
      <c r="L1270" s="452"/>
      <c r="M1270" s="527"/>
      <c r="N1270" s="449"/>
      <c r="O1270" s="531">
        <f>TrialBalanceA!I152</f>
        <v>0</v>
      </c>
      <c r="Q1270" s="469"/>
      <c r="R1270" s="512" t="str">
        <f t="shared" si="56"/>
        <v>DELETE</v>
      </c>
    </row>
    <row r="1271" spans="2:18" ht="31.5" customHeight="1" x14ac:dyDescent="0.45">
      <c r="B1271" s="563"/>
      <c r="C1271" s="450"/>
      <c r="D1271" s="449">
        <f>TrialBalanceB!C142</f>
        <v>0</v>
      </c>
      <c r="L1271" s="452"/>
      <c r="M1271" s="527"/>
      <c r="N1271" s="449"/>
      <c r="O1271" s="531">
        <f>TrialBalanceB!I142</f>
        <v>0</v>
      </c>
      <c r="Q1271" s="469"/>
      <c r="R1271" s="512" t="str">
        <f t="shared" si="56"/>
        <v>DELETE</v>
      </c>
    </row>
    <row r="1272" spans="2:18" ht="31.5" customHeight="1" x14ac:dyDescent="0.45">
      <c r="B1272" s="563"/>
      <c r="C1272" s="450"/>
      <c r="D1272" s="449">
        <f>TrialBalanceB!C143</f>
        <v>0</v>
      </c>
      <c r="L1272" s="452"/>
      <c r="M1272" s="527"/>
      <c r="N1272" s="449"/>
      <c r="O1272" s="531">
        <f>TrialBalanceB!I143</f>
        <v>0</v>
      </c>
      <c r="Q1272" s="469"/>
      <c r="R1272" s="512" t="str">
        <f t="shared" si="56"/>
        <v>DELETE</v>
      </c>
    </row>
    <row r="1273" spans="2:18" ht="31.5" customHeight="1" x14ac:dyDescent="0.45">
      <c r="B1273" s="563"/>
      <c r="C1273" s="450"/>
      <c r="D1273" s="449">
        <f>TrialBalanceB!C144</f>
        <v>0</v>
      </c>
      <c r="L1273" s="452"/>
      <c r="M1273" s="527"/>
      <c r="N1273" s="449"/>
      <c r="O1273" s="531">
        <f>TrialBalanceB!I144</f>
        <v>0</v>
      </c>
      <c r="Q1273" s="469"/>
      <c r="R1273" s="512" t="str">
        <f t="shared" si="56"/>
        <v>DELETE</v>
      </c>
    </row>
    <row r="1274" spans="2:18" ht="31.5" customHeight="1" x14ac:dyDescent="0.45">
      <c r="B1274" s="563"/>
      <c r="C1274" s="450"/>
      <c r="D1274" s="449">
        <f>TrialBalanceB!C145</f>
        <v>0</v>
      </c>
      <c r="L1274" s="452"/>
      <c r="M1274" s="527"/>
      <c r="N1274" s="449"/>
      <c r="O1274" s="531">
        <f>TrialBalanceB!I145</f>
        <v>0</v>
      </c>
      <c r="Q1274" s="469"/>
      <c r="R1274" s="512" t="str">
        <f t="shared" si="56"/>
        <v>DELETE</v>
      </c>
    </row>
    <row r="1275" spans="2:18" ht="31.5" customHeight="1" x14ac:dyDescent="0.45">
      <c r="B1275" s="563"/>
      <c r="C1275" s="450"/>
      <c r="D1275" s="449">
        <f>TrialBalanceB!C146</f>
        <v>0</v>
      </c>
      <c r="L1275" s="452"/>
      <c r="M1275" s="527"/>
      <c r="N1275" s="449"/>
      <c r="O1275" s="531">
        <f>TrialBalanceB!I146</f>
        <v>0</v>
      </c>
      <c r="Q1275" s="469"/>
      <c r="R1275" s="512" t="str">
        <f t="shared" si="56"/>
        <v>DELETE</v>
      </c>
    </row>
    <row r="1276" spans="2:18" ht="31.5" customHeight="1" x14ac:dyDescent="0.45">
      <c r="B1276" s="563"/>
      <c r="C1276" s="450"/>
      <c r="D1276" s="449">
        <f>TrialBalanceB!C147</f>
        <v>0</v>
      </c>
      <c r="L1276" s="452"/>
      <c r="M1276" s="527"/>
      <c r="N1276" s="449"/>
      <c r="O1276" s="531">
        <f>TrialBalanceB!I147</f>
        <v>0</v>
      </c>
      <c r="Q1276" s="469"/>
      <c r="R1276" s="512" t="str">
        <f t="shared" si="56"/>
        <v>DELETE</v>
      </c>
    </row>
    <row r="1277" spans="2:18" ht="31.5" customHeight="1" x14ac:dyDescent="0.45">
      <c r="B1277" s="563"/>
      <c r="C1277" s="450"/>
      <c r="D1277" s="449">
        <f>TrialBalanceB!C148</f>
        <v>0</v>
      </c>
      <c r="L1277" s="452"/>
      <c r="M1277" s="527"/>
      <c r="N1277" s="449"/>
      <c r="O1277" s="531">
        <f>TrialBalanceB!I148</f>
        <v>0</v>
      </c>
      <c r="Q1277" s="469"/>
      <c r="R1277" s="512" t="str">
        <f t="shared" si="56"/>
        <v>DELETE</v>
      </c>
    </row>
    <row r="1278" spans="2:18" ht="31.5" customHeight="1" x14ac:dyDescent="0.45">
      <c r="B1278" s="563"/>
      <c r="C1278" s="450"/>
      <c r="D1278" s="449">
        <f>TrialBalanceB!C149</f>
        <v>0</v>
      </c>
      <c r="L1278" s="452"/>
      <c r="M1278" s="527"/>
      <c r="N1278" s="449"/>
      <c r="O1278" s="531">
        <f>TrialBalanceB!I149</f>
        <v>0</v>
      </c>
      <c r="Q1278" s="469"/>
      <c r="R1278" s="512" t="str">
        <f t="shared" si="56"/>
        <v>DELETE</v>
      </c>
    </row>
    <row r="1279" spans="2:18" ht="31.5" customHeight="1" x14ac:dyDescent="0.45">
      <c r="B1279" s="563"/>
      <c r="C1279" s="450"/>
      <c r="D1279" s="449">
        <f>TrialBalanceB!C150</f>
        <v>0</v>
      </c>
      <c r="L1279" s="452"/>
      <c r="M1279" s="527"/>
      <c r="N1279" s="449"/>
      <c r="O1279" s="531">
        <f>TrialBalanceB!I150</f>
        <v>0</v>
      </c>
      <c r="Q1279" s="469"/>
      <c r="R1279" s="512" t="str">
        <f t="shared" si="56"/>
        <v>DELETE</v>
      </c>
    </row>
    <row r="1280" spans="2:18" ht="31.5" customHeight="1" x14ac:dyDescent="0.45">
      <c r="B1280" s="563"/>
      <c r="C1280" s="450"/>
      <c r="D1280" s="449">
        <f>TrialBalanceB!C151</f>
        <v>0</v>
      </c>
      <c r="L1280" s="452"/>
      <c r="M1280" s="527"/>
      <c r="N1280" s="449"/>
      <c r="O1280" s="531">
        <f>TrialBalanceB!I151</f>
        <v>0</v>
      </c>
      <c r="Q1280" s="469"/>
      <c r="R1280" s="512" t="str">
        <f t="shared" si="56"/>
        <v>DELETE</v>
      </c>
    </row>
    <row r="1281" spans="2:18" ht="31.5" customHeight="1" x14ac:dyDescent="0.45">
      <c r="B1281" s="563"/>
      <c r="C1281" s="450"/>
      <c r="D1281" s="449" t="str">
        <f>TrialBalanceB!C152</f>
        <v>Interest on finance leases - Rental Properties</v>
      </c>
      <c r="L1281" s="452"/>
      <c r="M1281" s="527"/>
      <c r="N1281" s="449"/>
      <c r="O1281" s="531">
        <f>TrialBalanceB!I152</f>
        <v>0</v>
      </c>
      <c r="Q1281" s="469"/>
      <c r="R1281" s="512" t="str">
        <f t="shared" si="56"/>
        <v>DELETE</v>
      </c>
    </row>
    <row r="1282" spans="2:18" ht="31.5" customHeight="1" x14ac:dyDescent="0.45">
      <c r="B1282" s="563"/>
      <c r="C1282" s="450"/>
      <c r="D1282" s="449">
        <f>TrialBalanceC!C142</f>
        <v>0</v>
      </c>
      <c r="L1282" s="452"/>
      <c r="M1282" s="527"/>
      <c r="N1282" s="449"/>
      <c r="O1282" s="531">
        <f>TrialBalanceC!I142</f>
        <v>0</v>
      </c>
      <c r="Q1282" s="469"/>
      <c r="R1282" s="512" t="str">
        <f t="shared" si="56"/>
        <v>DELETE</v>
      </c>
    </row>
    <row r="1283" spans="2:18" ht="31.5" customHeight="1" x14ac:dyDescent="0.45">
      <c r="B1283" s="563"/>
      <c r="C1283" s="450"/>
      <c r="D1283" s="449">
        <f>TrialBalanceC!C143</f>
        <v>0</v>
      </c>
      <c r="L1283" s="452"/>
      <c r="M1283" s="527"/>
      <c r="N1283" s="449"/>
      <c r="O1283" s="531">
        <f>TrialBalanceC!I143</f>
        <v>0</v>
      </c>
      <c r="Q1283" s="469"/>
      <c r="R1283" s="512" t="str">
        <f t="shared" si="56"/>
        <v>DELETE</v>
      </c>
    </row>
    <row r="1284" spans="2:18" ht="31.5" customHeight="1" x14ac:dyDescent="0.45">
      <c r="B1284" s="563"/>
      <c r="C1284" s="450"/>
      <c r="D1284" s="449">
        <f>TrialBalanceC!C144</f>
        <v>0</v>
      </c>
      <c r="L1284" s="452"/>
      <c r="M1284" s="527"/>
      <c r="N1284" s="449"/>
      <c r="O1284" s="531">
        <f>TrialBalanceC!I144</f>
        <v>0</v>
      </c>
      <c r="Q1284" s="469"/>
      <c r="R1284" s="512" t="str">
        <f t="shared" si="56"/>
        <v>DELETE</v>
      </c>
    </row>
    <row r="1285" spans="2:18" ht="31.5" customHeight="1" x14ac:dyDescent="0.45">
      <c r="B1285" s="563"/>
      <c r="C1285" s="450"/>
      <c r="D1285" s="449">
        <f>TrialBalanceC!C145</f>
        <v>0</v>
      </c>
      <c r="L1285" s="452"/>
      <c r="M1285" s="527"/>
      <c r="N1285" s="449"/>
      <c r="O1285" s="531">
        <f>TrialBalanceC!I145</f>
        <v>0</v>
      </c>
      <c r="Q1285" s="469"/>
      <c r="R1285" s="512" t="str">
        <f t="shared" si="56"/>
        <v>DELETE</v>
      </c>
    </row>
    <row r="1286" spans="2:18" ht="31.5" customHeight="1" x14ac:dyDescent="0.45">
      <c r="B1286" s="563"/>
      <c r="C1286" s="450"/>
      <c r="D1286" s="449">
        <f>TrialBalanceC!C146</f>
        <v>0</v>
      </c>
      <c r="L1286" s="452"/>
      <c r="M1286" s="527"/>
      <c r="N1286" s="449"/>
      <c r="O1286" s="531">
        <f>TrialBalanceC!I146</f>
        <v>0</v>
      </c>
      <c r="Q1286" s="469"/>
      <c r="R1286" s="512" t="str">
        <f t="shared" si="56"/>
        <v>DELETE</v>
      </c>
    </row>
    <row r="1287" spans="2:18" ht="31.5" customHeight="1" x14ac:dyDescent="0.45">
      <c r="B1287" s="563"/>
      <c r="C1287" s="450"/>
      <c r="D1287" s="449">
        <f>TrialBalanceC!C147</f>
        <v>0</v>
      </c>
      <c r="L1287" s="452"/>
      <c r="M1287" s="527"/>
      <c r="N1287" s="449"/>
      <c r="O1287" s="531">
        <f>TrialBalanceC!I147</f>
        <v>0</v>
      </c>
      <c r="Q1287" s="469"/>
      <c r="R1287" s="512" t="str">
        <f t="shared" si="56"/>
        <v>DELETE</v>
      </c>
    </row>
    <row r="1288" spans="2:18" ht="31.5" customHeight="1" x14ac:dyDescent="0.45">
      <c r="B1288" s="563"/>
      <c r="C1288" s="450"/>
      <c r="D1288" s="449">
        <f>TrialBalanceC!C148</f>
        <v>0</v>
      </c>
      <c r="L1288" s="452"/>
      <c r="M1288" s="527"/>
      <c r="N1288" s="449"/>
      <c r="O1288" s="531">
        <f>TrialBalanceC!I148</f>
        <v>0</v>
      </c>
      <c r="Q1288" s="469"/>
      <c r="R1288" s="512" t="str">
        <f t="shared" si="56"/>
        <v>DELETE</v>
      </c>
    </row>
    <row r="1289" spans="2:18" ht="31.5" customHeight="1" x14ac:dyDescent="0.45">
      <c r="B1289" s="563"/>
      <c r="C1289" s="450"/>
      <c r="D1289" s="449">
        <f>TrialBalanceC!C149</f>
        <v>0</v>
      </c>
      <c r="L1289" s="452"/>
      <c r="M1289" s="527"/>
      <c r="N1289" s="449"/>
      <c r="O1289" s="531">
        <f>TrialBalanceC!I149</f>
        <v>0</v>
      </c>
      <c r="Q1289" s="469"/>
      <c r="R1289" s="512" t="str">
        <f t="shared" si="56"/>
        <v>DELETE</v>
      </c>
    </row>
    <row r="1290" spans="2:18" ht="31.5" customHeight="1" x14ac:dyDescent="0.45">
      <c r="B1290" s="563"/>
      <c r="C1290" s="450"/>
      <c r="D1290" s="449">
        <f>TrialBalanceC!C150</f>
        <v>0</v>
      </c>
      <c r="L1290" s="452"/>
      <c r="M1290" s="527"/>
      <c r="N1290" s="449"/>
      <c r="O1290" s="531">
        <f>TrialBalanceC!I150</f>
        <v>0</v>
      </c>
      <c r="Q1290" s="469"/>
      <c r="R1290" s="512" t="str">
        <f t="shared" si="56"/>
        <v>DELETE</v>
      </c>
    </row>
    <row r="1291" spans="2:18" ht="31.5" customHeight="1" x14ac:dyDescent="0.45">
      <c r="B1291" s="563"/>
      <c r="C1291" s="450"/>
      <c r="D1291" s="449">
        <f>TrialBalanceC!C151</f>
        <v>0</v>
      </c>
      <c r="L1291" s="452"/>
      <c r="M1291" s="527"/>
      <c r="N1291" s="449"/>
      <c r="O1291" s="531">
        <f>TrialBalanceC!I151</f>
        <v>0</v>
      </c>
      <c r="Q1291" s="469"/>
      <c r="R1291" s="512" t="str">
        <f t="shared" si="56"/>
        <v>DELETE</v>
      </c>
    </row>
    <row r="1292" spans="2:18" ht="31.5" customHeight="1" x14ac:dyDescent="0.45">
      <c r="B1292" s="563"/>
      <c r="C1292" s="450"/>
      <c r="D1292" s="449" t="str">
        <f>TrialBalanceC!C152</f>
        <v xml:space="preserve">Interest on finance leases - </v>
      </c>
      <c r="L1292" s="452"/>
      <c r="M1292" s="527"/>
      <c r="N1292" s="449"/>
      <c r="O1292" s="531">
        <f>TrialBalanceC!I152</f>
        <v>0</v>
      </c>
      <c r="Q1292" s="469"/>
      <c r="R1292" s="512" t="str">
        <f t="shared" si="56"/>
        <v>DELETE</v>
      </c>
    </row>
    <row r="1293" spans="2:18" ht="9" customHeight="1" x14ac:dyDescent="0.45">
      <c r="B1293" s="563"/>
      <c r="C1293" s="450"/>
      <c r="L1293" s="452"/>
      <c r="M1293" s="527"/>
      <c r="N1293" s="449"/>
      <c r="O1293" s="535"/>
      <c r="Q1293" s="469"/>
      <c r="R1293" s="512" t="str">
        <f>R$1295</f>
        <v>DELETE</v>
      </c>
    </row>
    <row r="1294" spans="2:18" ht="9" customHeight="1" x14ac:dyDescent="0.45">
      <c r="B1294" s="563"/>
      <c r="C1294" s="450"/>
      <c r="L1294" s="452"/>
      <c r="M1294" s="527"/>
      <c r="N1294" s="449"/>
      <c r="O1294" s="531"/>
      <c r="Q1294" s="469"/>
      <c r="R1294" s="512" t="str">
        <f>R$1295</f>
        <v>DELETE</v>
      </c>
    </row>
    <row r="1295" spans="2:18" ht="31.5" customHeight="1" x14ac:dyDescent="0.45">
      <c r="B1295" s="563"/>
      <c r="C1295" s="450"/>
      <c r="L1295" s="452"/>
      <c r="M1295" s="527"/>
      <c r="N1295" s="449"/>
      <c r="O1295" s="531">
        <f>SUM(O1249:O1294)</f>
        <v>0</v>
      </c>
      <c r="Q1295" s="469"/>
      <c r="R1295" s="512" t="str">
        <f t="shared" ref="R1295" si="57">IF(O1295=0,"DELETE"," ")</f>
        <v>DELETE</v>
      </c>
    </row>
    <row r="1296" spans="2:18" ht="9" customHeight="1" thickBot="1" x14ac:dyDescent="0.5">
      <c r="B1296" s="563"/>
      <c r="C1296" s="450"/>
      <c r="L1296" s="452"/>
      <c r="M1296" s="527"/>
      <c r="N1296" s="449"/>
      <c r="O1296" s="536"/>
      <c r="Q1296" s="469"/>
      <c r="R1296" s="512" t="str">
        <f t="shared" ref="R1296:R1301" si="58">R$1295</f>
        <v>DELETE</v>
      </c>
    </row>
    <row r="1297" spans="2:18" ht="9" customHeight="1" thickTop="1" x14ac:dyDescent="0.45">
      <c r="B1297" s="563"/>
      <c r="C1297" s="450"/>
      <c r="L1297" s="452"/>
      <c r="M1297" s="527"/>
      <c r="N1297" s="449"/>
      <c r="O1297" s="548"/>
      <c r="Q1297" s="469"/>
      <c r="R1297" s="512" t="str">
        <f t="shared" si="58"/>
        <v>DELETE</v>
      </c>
    </row>
    <row r="1298" spans="2:18" ht="31.5" customHeight="1" x14ac:dyDescent="0.45">
      <c r="B1298" s="563"/>
      <c r="C1298" s="450"/>
      <c r="L1298" s="452"/>
      <c r="M1298" s="527"/>
      <c r="N1298" s="449"/>
      <c r="O1298" s="548"/>
      <c r="Q1298" s="469"/>
      <c r="R1298" s="512" t="str">
        <f t="shared" si="58"/>
        <v>DELETE</v>
      </c>
    </row>
    <row r="1299" spans="2:18" ht="31.5" customHeight="1" x14ac:dyDescent="0.45">
      <c r="B1299" s="563"/>
      <c r="C1299" s="450"/>
      <c r="M1299" s="548"/>
      <c r="N1299" s="491"/>
      <c r="O1299" s="548"/>
      <c r="Q1299" s="469"/>
      <c r="R1299" s="512" t="str">
        <f t="shared" si="58"/>
        <v>DELETE</v>
      </c>
    </row>
    <row r="1300" spans="2:18" ht="31.5" customHeight="1" x14ac:dyDescent="0.45">
      <c r="B1300" s="564"/>
      <c r="C1300" s="502"/>
      <c r="D1300" s="461"/>
      <c r="E1300" s="461"/>
      <c r="F1300" s="461"/>
      <c r="G1300" s="461"/>
      <c r="H1300" s="461"/>
      <c r="I1300" s="461"/>
      <c r="J1300" s="461"/>
      <c r="K1300" s="461"/>
      <c r="L1300" s="461"/>
      <c r="M1300" s="535"/>
      <c r="N1300" s="473"/>
      <c r="O1300" s="535"/>
      <c r="P1300" s="631"/>
      <c r="Q1300" s="479"/>
      <c r="R1300" s="512" t="str">
        <f t="shared" si="58"/>
        <v>DELETE</v>
      </c>
    </row>
    <row r="1301" spans="2:18" ht="31.5" customHeight="1" x14ac:dyDescent="0.45">
      <c r="B1301" s="526"/>
      <c r="C1301" s="450"/>
      <c r="M1301" s="531"/>
      <c r="N1301" s="470"/>
      <c r="O1301" s="531"/>
      <c r="R1301" s="512" t="str">
        <f t="shared" si="58"/>
        <v>DELETE</v>
      </c>
    </row>
    <row r="1302" spans="2:18" ht="31.5" customHeight="1" x14ac:dyDescent="0.45">
      <c r="B1302" s="526"/>
      <c r="C1302" s="450"/>
      <c r="M1302" s="531"/>
      <c r="N1302" s="470"/>
      <c r="O1302" s="531"/>
    </row>
    <row r="1303" spans="2:18" ht="31.5" customHeight="1" x14ac:dyDescent="0.45">
      <c r="B1303" s="527"/>
      <c r="D1303" s="450" t="str">
        <f>Criteria!E9</f>
        <v>ABC COMPANY (PROPRIETARY) LIMITED</v>
      </c>
      <c r="M1303" s="635"/>
      <c r="N1303" s="621"/>
      <c r="O1303" s="531" t="s">
        <v>121</v>
      </c>
      <c r="Q1303" s="451">
        <f>MAX($Q$114:Q1302)+1</f>
        <v>29</v>
      </c>
    </row>
    <row r="1304" spans="2:18" ht="31.5" customHeight="1" x14ac:dyDescent="0.45">
      <c r="B1304" s="527"/>
      <c r="D1304" s="450" t="str">
        <f>Criteria!E10</f>
        <v>T/A SEAFRONT HOTEL, SEAFRONT RESTAURANT AND RENTAL PROPERTIES</v>
      </c>
      <c r="M1304" s="635"/>
      <c r="N1304" s="621"/>
      <c r="O1304" s="635"/>
      <c r="R1304" s="512" t="str">
        <f>IF(D1304=0,"DELETE"," ")</f>
        <v xml:space="preserve"> </v>
      </c>
    </row>
    <row r="1305" spans="2:18" ht="31.5" customHeight="1" x14ac:dyDescent="0.45">
      <c r="B1305" s="527"/>
      <c r="M1305" s="635"/>
      <c r="N1305" s="621"/>
      <c r="O1305" s="635"/>
    </row>
    <row r="1306" spans="2:18" ht="31.5" customHeight="1" x14ac:dyDescent="0.45">
      <c r="B1306" s="527"/>
      <c r="D1306" s="450" t="s">
        <v>451</v>
      </c>
      <c r="M1306" s="635"/>
      <c r="N1306" s="621"/>
      <c r="O1306" s="635"/>
    </row>
    <row r="1307" spans="2:18" ht="31.5" customHeight="1" x14ac:dyDescent="0.45">
      <c r="B1307" s="527"/>
      <c r="D1307" s="450" t="str">
        <f>Criteria!E20</f>
        <v>29 FEBRUARY 2024</v>
      </c>
      <c r="J1307" s="449" t="s">
        <v>303</v>
      </c>
      <c r="M1307" s="635"/>
      <c r="N1307" s="621"/>
      <c r="O1307" s="635"/>
    </row>
    <row r="1308" spans="2:18" ht="31.5" customHeight="1" x14ac:dyDescent="0.45">
      <c r="B1308" s="527"/>
      <c r="D1308" s="450"/>
      <c r="M1308" s="635"/>
      <c r="N1308" s="621"/>
      <c r="O1308" s="635"/>
    </row>
    <row r="1309" spans="2:18" ht="31.5" customHeight="1" x14ac:dyDescent="0.45">
      <c r="B1309" s="565"/>
      <c r="C1309" s="503"/>
      <c r="D1309" s="466"/>
      <c r="E1309" s="466"/>
      <c r="F1309" s="466"/>
      <c r="G1309" s="466"/>
      <c r="H1309" s="466"/>
      <c r="I1309" s="466"/>
      <c r="J1309" s="466"/>
      <c r="K1309" s="466"/>
      <c r="L1309" s="466"/>
      <c r="M1309" s="546"/>
      <c r="N1309" s="471"/>
      <c r="O1309" s="546"/>
      <c r="P1309" s="643"/>
      <c r="Q1309" s="467"/>
    </row>
    <row r="1310" spans="2:18" ht="31.5" customHeight="1" x14ac:dyDescent="0.45">
      <c r="B1310" s="563"/>
      <c r="C1310" s="450"/>
      <c r="L1310" s="452"/>
      <c r="M1310" s="527"/>
      <c r="N1310" s="449"/>
      <c r="O1310" s="525">
        <f>Criteria!E22</f>
        <v>2024</v>
      </c>
      <c r="Q1310" s="469"/>
    </row>
    <row r="1311" spans="2:18" ht="31.5" customHeight="1" x14ac:dyDescent="0.45">
      <c r="B1311" s="563"/>
      <c r="C1311" s="450"/>
      <c r="L1311" s="452"/>
      <c r="M1311" s="527"/>
      <c r="N1311" s="449"/>
      <c r="O1311" s="531"/>
      <c r="Q1311" s="469"/>
    </row>
    <row r="1312" spans="2:18" ht="31.5" customHeight="1" x14ac:dyDescent="0.45">
      <c r="B1312" s="563">
        <f>MAX($B$804:B1311)+1</f>
        <v>7</v>
      </c>
      <c r="C1312" s="450" t="s">
        <v>141</v>
      </c>
      <c r="L1312" s="452"/>
      <c r="M1312" s="527"/>
      <c r="N1312" s="449"/>
      <c r="O1312" s="531"/>
      <c r="Q1312" s="469"/>
    </row>
    <row r="1313" spans="2:22" ht="31.5" customHeight="1" x14ac:dyDescent="0.45">
      <c r="B1313" s="563"/>
      <c r="C1313" s="583">
        <f>B1312+0.1</f>
        <v>7.1</v>
      </c>
      <c r="D1313" s="449" t="s">
        <v>348</v>
      </c>
      <c r="L1313" s="452"/>
      <c r="M1313" s="527"/>
      <c r="N1313" s="449"/>
      <c r="O1313" s="531"/>
      <c r="Q1313" s="469"/>
    </row>
    <row r="1314" spans="2:22" ht="31.5" customHeight="1" x14ac:dyDescent="0.45">
      <c r="B1314" s="563"/>
      <c r="C1314" s="584"/>
      <c r="D1314" s="449" t="s">
        <v>946</v>
      </c>
      <c r="L1314" s="452"/>
      <c r="M1314" s="527"/>
      <c r="N1314" s="449"/>
      <c r="O1314" s="531">
        <f>SUM(O1317:O1318)</f>
        <v>0</v>
      </c>
      <c r="Q1314" s="469"/>
      <c r="S1314" s="517">
        <f>O1314</f>
        <v>0</v>
      </c>
      <c r="T1314" s="517"/>
      <c r="U1314" s="517"/>
      <c r="V1314" s="517"/>
    </row>
    <row r="1315" spans="2:22" ht="9" customHeight="1" x14ac:dyDescent="0.45">
      <c r="B1315" s="563"/>
      <c r="C1315" s="584"/>
      <c r="L1315" s="452"/>
      <c r="M1315" s="527"/>
      <c r="N1315" s="449"/>
      <c r="O1315" s="531"/>
      <c r="Q1315" s="469"/>
    </row>
    <row r="1316" spans="2:22" ht="9" customHeight="1" x14ac:dyDescent="0.45">
      <c r="B1316" s="563"/>
      <c r="C1316" s="584"/>
      <c r="L1316" s="452"/>
      <c r="M1316" s="527"/>
      <c r="N1316" s="449"/>
      <c r="O1316" s="558"/>
      <c r="Q1316" s="469"/>
    </row>
    <row r="1317" spans="2:22" ht="31.5" customHeight="1" x14ac:dyDescent="0.45">
      <c r="B1317" s="563"/>
      <c r="C1317" s="584"/>
      <c r="D1317" s="449" t="s">
        <v>663</v>
      </c>
      <c r="L1317" s="452"/>
      <c r="M1317" s="527"/>
      <c r="N1317" s="449"/>
      <c r="O1317" s="559">
        <f>TrialBalance!L157</f>
        <v>0</v>
      </c>
      <c r="Q1317" s="469"/>
    </row>
    <row r="1318" spans="2:22" ht="31.5" customHeight="1" x14ac:dyDescent="0.45">
      <c r="B1318" s="563"/>
      <c r="C1318" s="584"/>
      <c r="D1318" s="449" t="s">
        <v>664</v>
      </c>
      <c r="L1318" s="452"/>
      <c r="M1318" s="527"/>
      <c r="N1318" s="449"/>
      <c r="O1318" s="559">
        <f>TrialBalance!L158</f>
        <v>0</v>
      </c>
      <c r="Q1318" s="469"/>
      <c r="R1318" s="512" t="str">
        <f t="shared" ref="R1318" si="59">IF(O1318=0,"DELETE"," ")</f>
        <v>DELETE</v>
      </c>
    </row>
    <row r="1319" spans="2:22" ht="9" customHeight="1" x14ac:dyDescent="0.45">
      <c r="B1319" s="563"/>
      <c r="C1319" s="584"/>
      <c r="L1319" s="452"/>
      <c r="M1319" s="527"/>
      <c r="N1319" s="449"/>
      <c r="O1319" s="560"/>
      <c r="Q1319" s="469"/>
    </row>
    <row r="1320" spans="2:22" ht="9" customHeight="1" x14ac:dyDescent="0.45">
      <c r="B1320" s="563"/>
      <c r="C1320" s="584"/>
      <c r="L1320" s="452"/>
      <c r="M1320" s="527"/>
      <c r="N1320" s="449"/>
      <c r="O1320" s="531"/>
      <c r="Q1320" s="469"/>
    </row>
    <row r="1321" spans="2:22" ht="31.5" customHeight="1" x14ac:dyDescent="0.45">
      <c r="B1321" s="563"/>
      <c r="C1321" s="584"/>
      <c r="D1321" s="449" t="s">
        <v>665</v>
      </c>
      <c r="L1321" s="452"/>
      <c r="M1321" s="527"/>
      <c r="N1321" s="449"/>
      <c r="O1321" s="531">
        <f>SUM(O1324:O1326)</f>
        <v>0</v>
      </c>
      <c r="Q1321" s="469"/>
      <c r="R1321" s="512" t="str">
        <f>IF(R1324=" "," ",IF(R1326=" "," ",IF(R1325=" "," ","DELETE")))</f>
        <v>DELETE</v>
      </c>
      <c r="S1321" s="517">
        <f>O1321</f>
        <v>0</v>
      </c>
      <c r="T1321" s="517"/>
      <c r="U1321" s="517"/>
      <c r="V1321" s="517"/>
    </row>
    <row r="1322" spans="2:22" ht="9" customHeight="1" x14ac:dyDescent="0.45">
      <c r="B1322" s="563"/>
      <c r="C1322" s="584"/>
      <c r="L1322" s="452"/>
      <c r="M1322" s="527"/>
      <c r="N1322" s="449"/>
      <c r="O1322" s="531"/>
      <c r="Q1322" s="469"/>
      <c r="R1322" s="512" t="str">
        <f>R1321</f>
        <v>DELETE</v>
      </c>
    </row>
    <row r="1323" spans="2:22" ht="9" customHeight="1" x14ac:dyDescent="0.45">
      <c r="B1323" s="563"/>
      <c r="C1323" s="584"/>
      <c r="L1323" s="452"/>
      <c r="M1323" s="527"/>
      <c r="N1323" s="449"/>
      <c r="O1323" s="558"/>
      <c r="Q1323" s="469"/>
      <c r="R1323" s="512" t="str">
        <f>R1321</f>
        <v>DELETE</v>
      </c>
    </row>
    <row r="1324" spans="2:22" ht="31.5" customHeight="1" x14ac:dyDescent="0.45">
      <c r="B1324" s="563"/>
      <c r="C1324" s="584"/>
      <c r="D1324" s="449" t="s">
        <v>663</v>
      </c>
      <c r="L1324" s="452"/>
      <c r="M1324" s="527"/>
      <c r="N1324" s="449"/>
      <c r="O1324" s="559">
        <f>TrialBalance!L160</f>
        <v>0</v>
      </c>
      <c r="Q1324" s="469"/>
      <c r="R1324" s="512" t="str">
        <f t="shared" ref="R1324:R1326" si="60">IF(O1324=0,"DELETE"," ")</f>
        <v>DELETE</v>
      </c>
    </row>
    <row r="1325" spans="2:22" ht="31.5" customHeight="1" x14ac:dyDescent="0.45">
      <c r="B1325" s="563"/>
      <c r="C1325" s="584"/>
      <c r="D1325" s="449" t="s">
        <v>1604</v>
      </c>
      <c r="L1325" s="452"/>
      <c r="M1325" s="527"/>
      <c r="N1325" s="449"/>
      <c r="O1325" s="559">
        <f>TrialBalance!L161</f>
        <v>0</v>
      </c>
      <c r="Q1325" s="469"/>
      <c r="R1325" s="512" t="str">
        <f t="shared" si="60"/>
        <v>DELETE</v>
      </c>
    </row>
    <row r="1326" spans="2:22" ht="31.5" customHeight="1" x14ac:dyDescent="0.45">
      <c r="B1326" s="563"/>
      <c r="C1326" s="584"/>
      <c r="D1326" s="449" t="s">
        <v>664</v>
      </c>
      <c r="L1326" s="452"/>
      <c r="M1326" s="527"/>
      <c r="N1326" s="449"/>
      <c r="O1326" s="559">
        <f>TrialBalance!L162</f>
        <v>0</v>
      </c>
      <c r="Q1326" s="469"/>
      <c r="R1326" s="512" t="str">
        <f t="shared" si="60"/>
        <v>DELETE</v>
      </c>
    </row>
    <row r="1327" spans="2:22" ht="9" customHeight="1" x14ac:dyDescent="0.45">
      <c r="B1327" s="563"/>
      <c r="C1327" s="584"/>
      <c r="L1327" s="452"/>
      <c r="M1327" s="527"/>
      <c r="N1327" s="449"/>
      <c r="O1327" s="560"/>
      <c r="Q1327" s="469"/>
      <c r="R1327" s="512" t="str">
        <f>R1321</f>
        <v>DELETE</v>
      </c>
    </row>
    <row r="1328" spans="2:22" ht="9" customHeight="1" x14ac:dyDescent="0.45">
      <c r="B1328" s="563"/>
      <c r="C1328" s="584"/>
      <c r="L1328" s="452"/>
      <c r="M1328" s="527"/>
      <c r="N1328" s="449"/>
      <c r="O1328" s="531"/>
      <c r="Q1328" s="469"/>
      <c r="R1328" s="512" t="str">
        <f>R1321</f>
        <v>DELETE</v>
      </c>
    </row>
    <row r="1329" spans="2:18" ht="9" customHeight="1" x14ac:dyDescent="0.45">
      <c r="B1329" s="563"/>
      <c r="C1329" s="584"/>
      <c r="L1329" s="452"/>
      <c r="M1329" s="527"/>
      <c r="N1329" s="449"/>
      <c r="O1329" s="535"/>
      <c r="Q1329" s="469"/>
    </row>
    <row r="1330" spans="2:18" ht="9" customHeight="1" x14ac:dyDescent="0.45">
      <c r="B1330" s="563"/>
      <c r="C1330" s="584"/>
      <c r="L1330" s="452"/>
      <c r="M1330" s="527"/>
      <c r="N1330" s="449"/>
      <c r="O1330" s="531"/>
      <c r="Q1330" s="469"/>
    </row>
    <row r="1331" spans="2:18" ht="31.5" customHeight="1" x14ac:dyDescent="0.45">
      <c r="B1331" s="563"/>
      <c r="C1331" s="584"/>
      <c r="D1331" s="449" t="s">
        <v>947</v>
      </c>
      <c r="L1331" s="452"/>
      <c r="M1331" s="527"/>
      <c r="N1331" s="449"/>
      <c r="O1331" s="531">
        <f>SUM(S1314:S1328)</f>
        <v>0</v>
      </c>
      <c r="Q1331" s="469"/>
    </row>
    <row r="1332" spans="2:18" ht="9" customHeight="1" thickBot="1" x14ac:dyDescent="0.5">
      <c r="B1332" s="563"/>
      <c r="C1332" s="584"/>
      <c r="L1332" s="452"/>
      <c r="M1332" s="527"/>
      <c r="N1332" s="449"/>
      <c r="O1332" s="536"/>
      <c r="Q1332" s="469"/>
    </row>
    <row r="1333" spans="2:18" ht="9" customHeight="1" thickTop="1" x14ac:dyDescent="0.45">
      <c r="B1333" s="563"/>
      <c r="C1333" s="584"/>
      <c r="L1333" s="452"/>
      <c r="M1333" s="527"/>
      <c r="N1333" s="449"/>
      <c r="O1333" s="548"/>
      <c r="Q1333" s="469"/>
    </row>
    <row r="1334" spans="2:18" ht="31.5" customHeight="1" x14ac:dyDescent="0.45">
      <c r="B1334" s="563"/>
      <c r="C1334" s="584"/>
      <c r="L1334" s="452"/>
      <c r="M1334" s="527"/>
      <c r="N1334" s="449"/>
      <c r="O1334" s="531"/>
      <c r="Q1334" s="469"/>
    </row>
    <row r="1335" spans="2:18" ht="31.5" customHeight="1" x14ac:dyDescent="0.45">
      <c r="B1335" s="563"/>
      <c r="C1335" s="584"/>
      <c r="D1335" s="449" t="str">
        <f>IF(TrialBalance!L157=0,"No provision has been made for normal taxation as the company had no taxable"," ")</f>
        <v>No provision has been made for normal taxation as the company had no taxable</v>
      </c>
      <c r="L1335" s="452"/>
      <c r="M1335" s="527"/>
      <c r="N1335" s="449"/>
      <c r="O1335" s="531"/>
      <c r="Q1335" s="469"/>
      <c r="R1335" s="512" t="str">
        <f>IF(D1335=" ","DELETE"," ")</f>
        <v xml:space="preserve"> </v>
      </c>
    </row>
    <row r="1336" spans="2:18" ht="31.5" customHeight="1" x14ac:dyDescent="0.45">
      <c r="B1336" s="563"/>
      <c r="C1336" s="584"/>
      <c r="D1336" s="449" t="str">
        <f>IF(TrialBalance!L157=0,"income for the period under review."," ")</f>
        <v>income for the period under review.</v>
      </c>
      <c r="M1336" s="531"/>
      <c r="N1336" s="470"/>
      <c r="O1336" s="531"/>
      <c r="Q1336" s="469"/>
      <c r="R1336" s="512" t="str">
        <f>IF(D1336=" ","DELETE"," ")</f>
        <v xml:space="preserve"> </v>
      </c>
    </row>
    <row r="1337" spans="2:18" ht="31.5" customHeight="1" x14ac:dyDescent="0.45">
      <c r="B1337" s="563"/>
      <c r="C1337" s="584"/>
      <c r="M1337" s="531"/>
      <c r="N1337" s="470"/>
      <c r="O1337" s="531"/>
      <c r="Q1337" s="469"/>
    </row>
    <row r="1338" spans="2:18" ht="31.5" customHeight="1" x14ac:dyDescent="0.45">
      <c r="B1338" s="563"/>
      <c r="C1338" s="584"/>
      <c r="M1338" s="531"/>
      <c r="N1338" s="470"/>
      <c r="O1338" s="531"/>
      <c r="Q1338" s="469"/>
    </row>
    <row r="1339" spans="2:18" ht="31.5" customHeight="1" x14ac:dyDescent="0.45">
      <c r="B1339" s="564"/>
      <c r="C1339" s="585"/>
      <c r="D1339" s="461"/>
      <c r="E1339" s="461"/>
      <c r="F1339" s="461"/>
      <c r="G1339" s="461"/>
      <c r="H1339" s="461"/>
      <c r="I1339" s="461"/>
      <c r="J1339" s="461"/>
      <c r="K1339" s="461"/>
      <c r="L1339" s="461"/>
      <c r="M1339" s="535"/>
      <c r="N1339" s="473"/>
      <c r="O1339" s="535"/>
      <c r="P1339" s="631"/>
      <c r="Q1339" s="479"/>
    </row>
    <row r="1340" spans="2:18" ht="31.5" customHeight="1" x14ac:dyDescent="0.45">
      <c r="B1340" s="526"/>
      <c r="C1340" s="584"/>
      <c r="M1340" s="531"/>
      <c r="N1340" s="470"/>
      <c r="O1340" s="531"/>
    </row>
    <row r="1341" spans="2:18" ht="31.5" customHeight="1" x14ac:dyDescent="0.45">
      <c r="B1341" s="526"/>
      <c r="C1341" s="584"/>
      <c r="M1341" s="531"/>
      <c r="N1341" s="470"/>
      <c r="O1341" s="531"/>
    </row>
    <row r="1342" spans="2:18" ht="31.5" customHeight="1" x14ac:dyDescent="0.45">
      <c r="B1342" s="527"/>
      <c r="C1342" s="583"/>
      <c r="D1342" s="450" t="str">
        <f>Criteria!E9</f>
        <v>ABC COMPANY (PROPRIETARY) LIMITED</v>
      </c>
      <c r="M1342" s="635"/>
      <c r="N1342" s="621"/>
      <c r="O1342" s="531" t="s">
        <v>121</v>
      </c>
      <c r="Q1342" s="451">
        <f>MAX($Q$114:Q1341)+1</f>
        <v>30</v>
      </c>
    </row>
    <row r="1343" spans="2:18" ht="31.5" customHeight="1" x14ac:dyDescent="0.45">
      <c r="B1343" s="527"/>
      <c r="C1343" s="583"/>
      <c r="D1343" s="450" t="str">
        <f>Criteria!E10</f>
        <v>T/A SEAFRONT HOTEL, SEAFRONT RESTAURANT AND RENTAL PROPERTIES</v>
      </c>
      <c r="M1343" s="635"/>
      <c r="N1343" s="621"/>
      <c r="O1343" s="635"/>
      <c r="R1343" s="512" t="str">
        <f>IF(D1343=0,"DELETE"," ")</f>
        <v xml:space="preserve"> </v>
      </c>
    </row>
    <row r="1344" spans="2:18" ht="31.5" customHeight="1" x14ac:dyDescent="0.45">
      <c r="B1344" s="527"/>
      <c r="C1344" s="583"/>
      <c r="M1344" s="635"/>
      <c r="N1344" s="621"/>
      <c r="O1344" s="635"/>
    </row>
    <row r="1345" spans="2:21" ht="31.5" customHeight="1" x14ac:dyDescent="0.45">
      <c r="B1345" s="527"/>
      <c r="C1345" s="583"/>
      <c r="D1345" s="450" t="s">
        <v>451</v>
      </c>
      <c r="M1345" s="635"/>
      <c r="N1345" s="621"/>
      <c r="O1345" s="635"/>
    </row>
    <row r="1346" spans="2:21" ht="31.5" customHeight="1" x14ac:dyDescent="0.45">
      <c r="B1346" s="527"/>
      <c r="C1346" s="583"/>
      <c r="D1346" s="450" t="str">
        <f>Criteria!E20</f>
        <v>29 FEBRUARY 2024</v>
      </c>
      <c r="J1346" s="449" t="s">
        <v>303</v>
      </c>
      <c r="M1346" s="635"/>
      <c r="N1346" s="621"/>
      <c r="O1346" s="635"/>
    </row>
    <row r="1347" spans="2:21" ht="31.5" customHeight="1" x14ac:dyDescent="0.45">
      <c r="B1347" s="527"/>
      <c r="C1347" s="583"/>
      <c r="D1347" s="450"/>
      <c r="M1347" s="635"/>
      <c r="N1347" s="621"/>
      <c r="O1347" s="635"/>
    </row>
    <row r="1348" spans="2:21" ht="31.5" customHeight="1" x14ac:dyDescent="0.45">
      <c r="B1348" s="565"/>
      <c r="C1348" s="586"/>
      <c r="D1348" s="466"/>
      <c r="E1348" s="466"/>
      <c r="F1348" s="466"/>
      <c r="G1348" s="466"/>
      <c r="H1348" s="466"/>
      <c r="I1348" s="466"/>
      <c r="J1348" s="466"/>
      <c r="K1348" s="466"/>
      <c r="L1348" s="466"/>
      <c r="M1348" s="546"/>
      <c r="N1348" s="471"/>
      <c r="O1348" s="546"/>
      <c r="P1348" s="643"/>
      <c r="Q1348" s="467"/>
    </row>
    <row r="1349" spans="2:21" ht="31.5" customHeight="1" x14ac:dyDescent="0.45">
      <c r="B1349" s="563"/>
      <c r="C1349" s="584"/>
      <c r="L1349" s="452"/>
      <c r="M1349" s="527"/>
      <c r="N1349" s="449"/>
      <c r="O1349" s="549">
        <f>Criteria!E22</f>
        <v>2024</v>
      </c>
      <c r="P1349" s="634"/>
      <c r="Q1349" s="469"/>
    </row>
    <row r="1350" spans="2:21" ht="31.5" customHeight="1" x14ac:dyDescent="0.45">
      <c r="B1350" s="582"/>
      <c r="C1350" s="583"/>
      <c r="L1350" s="452"/>
      <c r="M1350" s="527"/>
      <c r="N1350" s="449"/>
      <c r="O1350" s="548"/>
      <c r="P1350" s="634"/>
      <c r="Q1350" s="469"/>
    </row>
    <row r="1351" spans="2:21" ht="31.5" customHeight="1" x14ac:dyDescent="0.45">
      <c r="B1351" s="563"/>
      <c r="C1351" s="583">
        <f>MAX(C1313:C1350)+0.1</f>
        <v>7.1999999999999993</v>
      </c>
      <c r="D1351" s="449" t="s">
        <v>332</v>
      </c>
      <c r="L1351" s="452"/>
      <c r="M1351" s="527"/>
      <c r="N1351" s="449"/>
      <c r="O1351" s="548"/>
      <c r="P1351" s="634"/>
      <c r="Q1351" s="469"/>
    </row>
    <row r="1352" spans="2:21" ht="31.5" customHeight="1" x14ac:dyDescent="0.45">
      <c r="B1352" s="563"/>
      <c r="C1352" s="584"/>
      <c r="D1352" s="449" t="s">
        <v>949</v>
      </c>
      <c r="L1352" s="452"/>
      <c r="M1352" s="527"/>
      <c r="N1352" s="449"/>
      <c r="O1352" s="548">
        <f>SUM(TrialBalance!L156:L158)</f>
        <v>0</v>
      </c>
      <c r="P1352" s="634"/>
      <c r="Q1352" s="469"/>
    </row>
    <row r="1353" spans="2:21" ht="31.5" customHeight="1" x14ac:dyDescent="0.45">
      <c r="B1353" s="563"/>
      <c r="C1353" s="584"/>
      <c r="D1353" s="449" t="s">
        <v>948</v>
      </c>
      <c r="L1353" s="452"/>
      <c r="M1353" s="527"/>
      <c r="N1353" s="449"/>
      <c r="O1353" s="548">
        <f>SUM(TrialBalance!L386:L391)</f>
        <v>0</v>
      </c>
      <c r="P1353" s="634"/>
      <c r="Q1353" s="469"/>
    </row>
    <row r="1354" spans="2:21" ht="9" customHeight="1" x14ac:dyDescent="0.45">
      <c r="B1354" s="563"/>
      <c r="C1354" s="584"/>
      <c r="L1354" s="452"/>
      <c r="M1354" s="527"/>
      <c r="N1354" s="449"/>
      <c r="O1354" s="535"/>
      <c r="P1354" s="634"/>
      <c r="Q1354" s="469"/>
    </row>
    <row r="1355" spans="2:21" ht="9" customHeight="1" x14ac:dyDescent="0.45">
      <c r="B1355" s="563"/>
      <c r="C1355" s="584"/>
      <c r="L1355" s="452"/>
      <c r="M1355" s="527"/>
      <c r="N1355" s="449"/>
      <c r="O1355" s="548"/>
      <c r="P1355" s="634"/>
      <c r="Q1355" s="469"/>
    </row>
    <row r="1356" spans="2:21" ht="31.5" customHeight="1" x14ac:dyDescent="0.45">
      <c r="B1356" s="563"/>
      <c r="C1356" s="584"/>
      <c r="L1356" s="452"/>
      <c r="M1356" s="527"/>
      <c r="N1356" s="449"/>
      <c r="O1356" s="548">
        <f>SUM(O1352:O1355)</f>
        <v>0</v>
      </c>
      <c r="P1356" s="634"/>
      <c r="Q1356" s="469"/>
      <c r="U1356" s="513" t="b">
        <f>O1356=O755</f>
        <v>1</v>
      </c>
    </row>
    <row r="1357" spans="2:21" ht="9" customHeight="1" thickBot="1" x14ac:dyDescent="0.5">
      <c r="B1357" s="563"/>
      <c r="C1357" s="584"/>
      <c r="L1357" s="452"/>
      <c r="M1357" s="527"/>
      <c r="N1357" s="449"/>
      <c r="O1357" s="536"/>
      <c r="P1357" s="634"/>
      <c r="Q1357" s="469"/>
    </row>
    <row r="1358" spans="2:21" ht="9" customHeight="1" thickTop="1" x14ac:dyDescent="0.45">
      <c r="B1358" s="563"/>
      <c r="C1358" s="584"/>
      <c r="L1358" s="452"/>
      <c r="M1358" s="527"/>
      <c r="N1358" s="449"/>
      <c r="O1358" s="548"/>
      <c r="P1358" s="634"/>
      <c r="Q1358" s="469"/>
    </row>
    <row r="1359" spans="2:21" ht="31.5" customHeight="1" x14ac:dyDescent="0.45">
      <c r="B1359" s="563"/>
      <c r="C1359" s="584"/>
      <c r="D1359" s="452"/>
      <c r="M1359" s="548"/>
      <c r="N1359" s="491"/>
      <c r="O1359" s="548"/>
      <c r="P1359" s="634"/>
      <c r="Q1359" s="469"/>
    </row>
    <row r="1360" spans="2:21" ht="31.5" customHeight="1" x14ac:dyDescent="0.45">
      <c r="B1360" s="563"/>
      <c r="C1360" s="584"/>
      <c r="M1360" s="548"/>
      <c r="N1360" s="491"/>
      <c r="O1360" s="548"/>
      <c r="P1360" s="634"/>
      <c r="Q1360" s="469"/>
    </row>
    <row r="1361" spans="2:18" ht="31.5" customHeight="1" x14ac:dyDescent="0.45">
      <c r="B1361" s="564"/>
      <c r="C1361" s="585"/>
      <c r="D1361" s="461"/>
      <c r="E1361" s="461"/>
      <c r="F1361" s="461"/>
      <c r="G1361" s="461"/>
      <c r="H1361" s="461"/>
      <c r="I1361" s="461"/>
      <c r="J1361" s="461"/>
      <c r="K1361" s="461"/>
      <c r="L1361" s="461"/>
      <c r="M1361" s="535"/>
      <c r="N1361" s="473"/>
      <c r="O1361" s="535"/>
      <c r="P1361" s="631"/>
      <c r="Q1361" s="479"/>
    </row>
    <row r="1362" spans="2:18" ht="31.5" customHeight="1" x14ac:dyDescent="0.45">
      <c r="B1362" s="526"/>
      <c r="C1362" s="584"/>
      <c r="M1362" s="548"/>
      <c r="N1362" s="491"/>
      <c r="O1362" s="548"/>
      <c r="P1362" s="634"/>
    </row>
    <row r="1363" spans="2:18" ht="31.5" customHeight="1" x14ac:dyDescent="0.45">
      <c r="B1363" s="526"/>
      <c r="C1363" s="584"/>
      <c r="M1363" s="548"/>
      <c r="N1363" s="491"/>
      <c r="O1363" s="548"/>
      <c r="P1363" s="634"/>
    </row>
    <row r="1364" spans="2:18" ht="31.5" customHeight="1" x14ac:dyDescent="0.45">
      <c r="B1364" s="526"/>
      <c r="C1364" s="584"/>
      <c r="D1364" s="450" t="str">
        <f>Criteria!E9</f>
        <v>ABC COMPANY (PROPRIETARY) LIMITED</v>
      </c>
      <c r="M1364" s="639"/>
      <c r="N1364" s="647"/>
      <c r="O1364" s="548" t="s">
        <v>121</v>
      </c>
      <c r="P1364" s="634"/>
      <c r="Q1364" s="451">
        <f>MAX($Q$114:Q1363)+1</f>
        <v>31</v>
      </c>
    </row>
    <row r="1365" spans="2:18" ht="31.5" customHeight="1" x14ac:dyDescent="0.45">
      <c r="B1365" s="526"/>
      <c r="C1365" s="584"/>
      <c r="D1365" s="450" t="str">
        <f>Criteria!E10</f>
        <v>T/A SEAFRONT HOTEL, SEAFRONT RESTAURANT AND RENTAL PROPERTIES</v>
      </c>
      <c r="M1365" s="639"/>
      <c r="N1365" s="647"/>
      <c r="O1365" s="639"/>
      <c r="P1365" s="634"/>
      <c r="R1365" s="512" t="str">
        <f>IF(D1365=0,"DELETE"," ")</f>
        <v xml:space="preserve"> </v>
      </c>
    </row>
    <row r="1366" spans="2:18" ht="31.5" customHeight="1" x14ac:dyDescent="0.45">
      <c r="B1366" s="526"/>
      <c r="C1366" s="584"/>
      <c r="M1366" s="639"/>
      <c r="N1366" s="647"/>
      <c r="O1366" s="639"/>
      <c r="P1366" s="634"/>
    </row>
    <row r="1367" spans="2:18" ht="31.5" customHeight="1" x14ac:dyDescent="0.45">
      <c r="B1367" s="526"/>
      <c r="C1367" s="584"/>
      <c r="D1367" s="450" t="s">
        <v>451</v>
      </c>
      <c r="M1367" s="639"/>
      <c r="N1367" s="647"/>
      <c r="O1367" s="639"/>
      <c r="P1367" s="634"/>
    </row>
    <row r="1368" spans="2:18" ht="31.5" customHeight="1" x14ac:dyDescent="0.45">
      <c r="B1368" s="526"/>
      <c r="C1368" s="584"/>
      <c r="D1368" s="450" t="str">
        <f>Criteria!E20</f>
        <v>29 FEBRUARY 2024</v>
      </c>
      <c r="J1368" s="449" t="s">
        <v>303</v>
      </c>
      <c r="M1368" s="639"/>
      <c r="N1368" s="647"/>
      <c r="O1368" s="639"/>
      <c r="P1368" s="634"/>
    </row>
    <row r="1369" spans="2:18" ht="31.5" customHeight="1" x14ac:dyDescent="0.45">
      <c r="B1369" s="526"/>
      <c r="C1369" s="584"/>
      <c r="M1369" s="548"/>
      <c r="N1369" s="491"/>
      <c r="O1369" s="548"/>
      <c r="P1369" s="634"/>
    </row>
    <row r="1370" spans="2:18" ht="31.5" customHeight="1" x14ac:dyDescent="0.45">
      <c r="B1370" s="565"/>
      <c r="C1370" s="586"/>
      <c r="D1370" s="466"/>
      <c r="E1370" s="466"/>
      <c r="F1370" s="466"/>
      <c r="G1370" s="466"/>
      <c r="H1370" s="466"/>
      <c r="I1370" s="466"/>
      <c r="J1370" s="466"/>
      <c r="K1370" s="466"/>
      <c r="L1370" s="466"/>
      <c r="M1370" s="546"/>
      <c r="N1370" s="471"/>
      <c r="O1370" s="546"/>
      <c r="P1370" s="643"/>
      <c r="Q1370" s="467"/>
    </row>
    <row r="1371" spans="2:18" ht="31.5" customHeight="1" x14ac:dyDescent="0.45">
      <c r="B1371" s="563"/>
      <c r="C1371" s="584"/>
      <c r="M1371" s="548"/>
      <c r="N1371" s="491"/>
      <c r="O1371" s="549">
        <f>Criteria!E22</f>
        <v>2024</v>
      </c>
      <c r="P1371" s="634"/>
      <c r="Q1371" s="469"/>
    </row>
    <row r="1372" spans="2:18" ht="31.5" customHeight="1" x14ac:dyDescent="0.45">
      <c r="B1372" s="563"/>
      <c r="C1372" s="584"/>
      <c r="M1372" s="548"/>
      <c r="N1372" s="491"/>
      <c r="O1372" s="548"/>
      <c r="P1372" s="634"/>
      <c r="Q1372" s="469"/>
    </row>
    <row r="1373" spans="2:18" ht="31.5" customHeight="1" x14ac:dyDescent="0.45">
      <c r="B1373" s="563"/>
      <c r="C1373" s="583">
        <f>MAX(C1313:C1372)+0.1</f>
        <v>7.2999999999999989</v>
      </c>
      <c r="D1373" s="449" t="s">
        <v>1051</v>
      </c>
      <c r="M1373" s="548"/>
      <c r="N1373" s="491"/>
      <c r="O1373" s="548"/>
      <c r="P1373" s="634"/>
      <c r="Q1373" s="469"/>
    </row>
    <row r="1374" spans="2:18" ht="31.5" customHeight="1" x14ac:dyDescent="0.45">
      <c r="B1374" s="563"/>
      <c r="C1374" s="584"/>
      <c r="M1374" s="548"/>
      <c r="N1374" s="491"/>
      <c r="O1374" s="548"/>
      <c r="P1374" s="634"/>
      <c r="Q1374" s="469"/>
    </row>
    <row r="1375" spans="2:18" ht="31.5" customHeight="1" x14ac:dyDescent="0.45">
      <c r="B1375" s="563"/>
      <c r="C1375" s="584"/>
      <c r="D1375" s="449" t="str">
        <f>IF(O1375&lt;0,"Net loss before taxation","Net profit before taxation")</f>
        <v>Net profit before taxation</v>
      </c>
      <c r="M1375" s="548"/>
      <c r="N1375" s="491"/>
      <c r="O1375" s="548">
        <f>O549</f>
        <v>0</v>
      </c>
      <c r="P1375" s="634"/>
      <c r="Q1375" s="469"/>
    </row>
    <row r="1376" spans="2:18" ht="9" customHeight="1" thickBot="1" x14ac:dyDescent="0.5">
      <c r="B1376" s="563"/>
      <c r="C1376" s="584"/>
      <c r="M1376" s="548"/>
      <c r="N1376" s="491"/>
      <c r="O1376" s="536"/>
      <c r="P1376" s="634"/>
      <c r="Q1376" s="469"/>
    </row>
    <row r="1377" spans="2:21" ht="9" customHeight="1" thickTop="1" x14ac:dyDescent="0.45">
      <c r="B1377" s="563"/>
      <c r="C1377" s="584"/>
      <c r="M1377" s="548"/>
      <c r="N1377" s="491"/>
      <c r="O1377" s="548"/>
      <c r="P1377" s="634"/>
      <c r="Q1377" s="469"/>
    </row>
    <row r="1378" spans="2:21" ht="31.5" customHeight="1" x14ac:dyDescent="0.45">
      <c r="B1378" s="563"/>
      <c r="C1378" s="584"/>
      <c r="D1378" s="449" t="s">
        <v>1584</v>
      </c>
      <c r="M1378" s="548"/>
      <c r="N1378" s="491"/>
      <c r="O1378" s="688">
        <f>Criteria!F471</f>
        <v>0.27</v>
      </c>
      <c r="P1378" s="634"/>
      <c r="Q1378" s="469"/>
    </row>
    <row r="1379" spans="2:21" ht="31.5" customHeight="1" x14ac:dyDescent="0.45">
      <c r="B1379" s="563"/>
      <c r="C1379" s="584"/>
      <c r="M1379" s="548"/>
      <c r="N1379" s="491"/>
      <c r="O1379" s="548"/>
      <c r="P1379" s="634"/>
      <c r="Q1379" s="469"/>
    </row>
    <row r="1380" spans="2:21" ht="31.5" customHeight="1" x14ac:dyDescent="0.45">
      <c r="B1380" s="563"/>
      <c r="C1380" s="584"/>
      <c r="D1380" s="449" t="s">
        <v>1586</v>
      </c>
      <c r="M1380" s="548"/>
      <c r="N1380" s="491"/>
      <c r="O1380" s="548">
        <f>ROUND(O1375*Criteria!F471,0)+Criteria!G513</f>
        <v>0</v>
      </c>
      <c r="P1380" s="634"/>
      <c r="Q1380" s="469"/>
    </row>
    <row r="1381" spans="2:21" ht="31.5" customHeight="1" x14ac:dyDescent="0.45">
      <c r="B1381" s="563"/>
      <c r="C1381" s="584"/>
      <c r="D1381" s="449" t="s">
        <v>1053</v>
      </c>
      <c r="M1381" s="548"/>
      <c r="N1381" s="491"/>
      <c r="O1381" s="548"/>
      <c r="P1381" s="634"/>
      <c r="Q1381" s="469"/>
      <c r="R1381" s="512" t="str">
        <f>R1382</f>
        <v>DELETE</v>
      </c>
    </row>
    <row r="1382" spans="2:21" ht="31.5" customHeight="1" x14ac:dyDescent="0.45">
      <c r="B1382" s="563"/>
      <c r="C1382" s="584"/>
      <c r="D1382" s="449" t="s">
        <v>1054</v>
      </c>
      <c r="M1382" s="548"/>
      <c r="N1382" s="491"/>
      <c r="O1382" s="548">
        <f>ROUND((O2735+Criteria!G486-'FS2'!O2694)*Criteria!F471,0)-TrialBalance!L224</f>
        <v>0</v>
      </c>
      <c r="P1382" s="634"/>
      <c r="Q1382" s="469"/>
      <c r="R1382" s="512" t="str">
        <f>IF(O1382=0,"DELETE"," ")</f>
        <v>DELETE</v>
      </c>
    </row>
    <row r="1383" spans="2:21" ht="31.5" customHeight="1" x14ac:dyDescent="0.45">
      <c r="B1383" s="563"/>
      <c r="C1383" s="584"/>
      <c r="D1383" s="449" t="s">
        <v>1605</v>
      </c>
      <c r="M1383" s="548"/>
      <c r="N1383" s="491"/>
      <c r="O1383" s="548">
        <f>-SUM(TrialBalance!L222:L223)</f>
        <v>0</v>
      </c>
      <c r="P1383" s="634"/>
      <c r="Q1383" s="469"/>
      <c r="R1383" s="512" t="str">
        <f>IF(O1383=0,"DELETE"," ")</f>
        <v>DELETE</v>
      </c>
    </row>
    <row r="1384" spans="2:21" ht="31.5" customHeight="1" x14ac:dyDescent="0.45">
      <c r="B1384" s="563"/>
      <c r="C1384" s="584"/>
      <c r="D1384" s="449" t="s">
        <v>1164</v>
      </c>
      <c r="M1384" s="548"/>
      <c r="N1384" s="491"/>
      <c r="O1384" s="548">
        <f>TrialBalance!L158</f>
        <v>0</v>
      </c>
      <c r="P1384" s="634"/>
      <c r="Q1384" s="469"/>
      <c r="R1384" s="512" t="str">
        <f>IF(O1384=0,"DELETE"," ")</f>
        <v>DELETE</v>
      </c>
    </row>
    <row r="1385" spans="2:21" ht="31.5" customHeight="1" x14ac:dyDescent="0.45">
      <c r="B1385" s="563"/>
      <c r="C1385" s="584"/>
      <c r="D1385" s="449" t="s">
        <v>1056</v>
      </c>
      <c r="M1385" s="548"/>
      <c r="N1385" s="491"/>
      <c r="O1385" s="548">
        <f>-TrialBalance!L226-TrialBalance!L227</f>
        <v>0</v>
      </c>
      <c r="P1385" s="634"/>
      <c r="Q1385" s="469"/>
      <c r="R1385" s="512" t="str">
        <f>IF(O1385=0,"DELETE"," ")</f>
        <v>DELETE</v>
      </c>
    </row>
    <row r="1386" spans="2:21" ht="31.5" customHeight="1" x14ac:dyDescent="0.45">
      <c r="B1386" s="563"/>
      <c r="C1386" s="584"/>
      <c r="D1386" s="449" t="s">
        <v>1060</v>
      </c>
      <c r="M1386" s="548"/>
      <c r="N1386" s="491"/>
      <c r="O1386" s="548">
        <f>IF(Criteria!F473="Yes",IF(O2735&lt;0,0,-(ROUND(O2735*Criteria!F471,2)-O2740)),0)</f>
        <v>0</v>
      </c>
      <c r="P1386" s="634"/>
      <c r="Q1386" s="469"/>
      <c r="R1386" s="512" t="str">
        <f>IF(O1386=0,"DELETE"," ")</f>
        <v>DELETE</v>
      </c>
    </row>
    <row r="1387" spans="2:21" ht="9" customHeight="1" x14ac:dyDescent="0.45">
      <c r="B1387" s="563"/>
      <c r="C1387" s="584"/>
      <c r="M1387" s="548"/>
      <c r="N1387" s="491"/>
      <c r="O1387" s="535"/>
      <c r="P1387" s="634"/>
      <c r="Q1387" s="469"/>
    </row>
    <row r="1388" spans="2:21" ht="9" customHeight="1" x14ac:dyDescent="0.45">
      <c r="B1388" s="563"/>
      <c r="C1388" s="584"/>
      <c r="M1388" s="548"/>
      <c r="N1388" s="491"/>
      <c r="O1388" s="548"/>
      <c r="P1388" s="634"/>
      <c r="Q1388" s="469"/>
    </row>
    <row r="1389" spans="2:21" ht="31.5" customHeight="1" x14ac:dyDescent="0.45">
      <c r="B1389" s="563"/>
      <c r="C1389" s="584"/>
      <c r="D1389" s="449" t="s">
        <v>1055</v>
      </c>
      <c r="M1389" s="548"/>
      <c r="N1389" s="491"/>
      <c r="O1389" s="548">
        <f>ROUND(SUM(O1380:O1387),0)</f>
        <v>0</v>
      </c>
      <c r="P1389" s="634"/>
      <c r="Q1389" s="469"/>
      <c r="U1389" s="513" t="b">
        <f>O1389=O1331</f>
        <v>1</v>
      </c>
    </row>
    <row r="1390" spans="2:21" ht="9" customHeight="1" thickBot="1" x14ac:dyDescent="0.5">
      <c r="B1390" s="563"/>
      <c r="C1390" s="584"/>
      <c r="M1390" s="548"/>
      <c r="N1390" s="491"/>
      <c r="O1390" s="536"/>
      <c r="P1390" s="634"/>
      <c r="Q1390" s="469"/>
    </row>
    <row r="1391" spans="2:21" ht="9" customHeight="1" thickTop="1" x14ac:dyDescent="0.45">
      <c r="B1391" s="563"/>
      <c r="C1391" s="584"/>
      <c r="M1391" s="548"/>
      <c r="N1391" s="491"/>
      <c r="O1391" s="548"/>
      <c r="P1391" s="634"/>
      <c r="Q1391" s="469"/>
    </row>
    <row r="1392" spans="2:21" ht="31.5" customHeight="1" x14ac:dyDescent="0.45">
      <c r="B1392" s="563"/>
      <c r="C1392" s="584"/>
      <c r="M1392" s="548"/>
      <c r="N1392" s="491"/>
      <c r="O1392" s="548"/>
      <c r="P1392" s="634"/>
      <c r="Q1392" s="469"/>
    </row>
    <row r="1393" spans="2:18" ht="31.5" customHeight="1" x14ac:dyDescent="0.45">
      <c r="B1393" s="563"/>
      <c r="C1393" s="584"/>
      <c r="M1393" s="548"/>
      <c r="N1393" s="491"/>
      <c r="O1393" s="548"/>
      <c r="P1393" s="634"/>
      <c r="Q1393" s="469"/>
    </row>
    <row r="1394" spans="2:18" ht="31.5" customHeight="1" x14ac:dyDescent="0.45">
      <c r="B1394" s="563"/>
      <c r="C1394" s="584"/>
      <c r="M1394" s="548"/>
      <c r="N1394" s="491"/>
      <c r="O1394" s="548"/>
      <c r="P1394" s="634"/>
      <c r="Q1394" s="469"/>
    </row>
    <row r="1395" spans="2:18" ht="31.5" customHeight="1" x14ac:dyDescent="0.45">
      <c r="B1395" s="564"/>
      <c r="C1395" s="585"/>
      <c r="D1395" s="461"/>
      <c r="E1395" s="461"/>
      <c r="F1395" s="461"/>
      <c r="G1395" s="461"/>
      <c r="H1395" s="461"/>
      <c r="I1395" s="461"/>
      <c r="J1395" s="461"/>
      <c r="K1395" s="461"/>
      <c r="L1395" s="461"/>
      <c r="M1395" s="535"/>
      <c r="N1395" s="473"/>
      <c r="O1395" s="535"/>
      <c r="P1395" s="631"/>
      <c r="Q1395" s="479"/>
    </row>
    <row r="1396" spans="2:18" ht="31.5" customHeight="1" x14ac:dyDescent="0.45">
      <c r="B1396" s="526"/>
      <c r="C1396" s="450"/>
      <c r="M1396" s="531"/>
      <c r="N1396" s="470"/>
      <c r="O1396" s="531"/>
    </row>
    <row r="1397" spans="2:18" ht="31.5" customHeight="1" x14ac:dyDescent="0.45">
      <c r="D1397" s="450"/>
      <c r="R1397" s="512" t="str">
        <f t="shared" ref="R1397:R1450" si="61">R$1407</f>
        <v>DELETE</v>
      </c>
    </row>
    <row r="1398" spans="2:18" ht="31.5" customHeight="1" x14ac:dyDescent="0.45">
      <c r="D1398" s="450" t="str">
        <f>Criteria!E9</f>
        <v>ABC COMPANY (PROPRIETARY) LIMITED</v>
      </c>
      <c r="O1398" s="529" t="s">
        <v>121</v>
      </c>
      <c r="Q1398" s="451">
        <f>MAX($Q$114:Q1397)+1</f>
        <v>32</v>
      </c>
      <c r="R1398" s="512" t="str">
        <f t="shared" si="61"/>
        <v>DELETE</v>
      </c>
    </row>
    <row r="1399" spans="2:18" ht="31.5" customHeight="1" x14ac:dyDescent="0.45">
      <c r="D1399" s="450" t="str">
        <f>Criteria!E10</f>
        <v>T/A SEAFRONT HOTEL, SEAFRONT RESTAURANT AND RENTAL PROPERTIES</v>
      </c>
      <c r="R1399" s="512" t="str">
        <f>IF(R$1407="DELETE","DELETE",IF(D1399=0,"DELETE"," "))</f>
        <v>DELETE</v>
      </c>
    </row>
    <row r="1400" spans="2:18" ht="31.5" customHeight="1" x14ac:dyDescent="0.45">
      <c r="R1400" s="512" t="str">
        <f t="shared" si="61"/>
        <v>DELETE</v>
      </c>
    </row>
    <row r="1401" spans="2:18" ht="31.5" customHeight="1" x14ac:dyDescent="0.45">
      <c r="D1401" s="450" t="s">
        <v>451</v>
      </c>
      <c r="R1401" s="512" t="str">
        <f t="shared" si="61"/>
        <v>DELETE</v>
      </c>
    </row>
    <row r="1402" spans="2:18" ht="31.5" customHeight="1" x14ac:dyDescent="0.45">
      <c r="D1402" s="450" t="str">
        <f>Criteria!E20</f>
        <v>29 FEBRUARY 2024</v>
      </c>
      <c r="J1402" s="449" t="s">
        <v>303</v>
      </c>
      <c r="R1402" s="512" t="str">
        <f t="shared" si="61"/>
        <v>DELETE</v>
      </c>
    </row>
    <row r="1403" spans="2:18" ht="31.5" customHeight="1" x14ac:dyDescent="0.45">
      <c r="R1403" s="512" t="str">
        <f t="shared" si="61"/>
        <v>DELETE</v>
      </c>
    </row>
    <row r="1404" spans="2:18" ht="31.5" customHeight="1" x14ac:dyDescent="0.45">
      <c r="B1404" s="465"/>
      <c r="C1404" s="466"/>
      <c r="D1404" s="466"/>
      <c r="E1404" s="466"/>
      <c r="F1404" s="466"/>
      <c r="G1404" s="466"/>
      <c r="H1404" s="466"/>
      <c r="I1404" s="466"/>
      <c r="J1404" s="466"/>
      <c r="K1404" s="466"/>
      <c r="L1404" s="466"/>
      <c r="M1404" s="642"/>
      <c r="N1404" s="643"/>
      <c r="O1404" s="642"/>
      <c r="P1404" s="643"/>
      <c r="Q1404" s="467"/>
      <c r="R1404" s="512" t="str">
        <f t="shared" si="61"/>
        <v>DELETE</v>
      </c>
    </row>
    <row r="1405" spans="2:18" ht="31.5" customHeight="1" x14ac:dyDescent="0.45">
      <c r="B1405" s="468"/>
      <c r="M1405" s="633"/>
      <c r="N1405" s="634"/>
      <c r="O1405" s="549">
        <f>Criteria!E22</f>
        <v>2024</v>
      </c>
      <c r="P1405" s="634"/>
      <c r="Q1405" s="469"/>
      <c r="R1405" s="512" t="str">
        <f t="shared" si="61"/>
        <v>DELETE</v>
      </c>
    </row>
    <row r="1406" spans="2:18" ht="31.5" customHeight="1" x14ac:dyDescent="0.45">
      <c r="B1406" s="468"/>
      <c r="M1406" s="633"/>
      <c r="N1406" s="634"/>
      <c r="O1406" s="633"/>
      <c r="P1406" s="634"/>
      <c r="Q1406" s="469"/>
      <c r="R1406" s="512" t="str">
        <f t="shared" si="61"/>
        <v>DELETE</v>
      </c>
    </row>
    <row r="1407" spans="2:18" ht="31.5" customHeight="1" x14ac:dyDescent="0.45">
      <c r="B1407" s="563">
        <f>MAX($B$804:B1404)+1</f>
        <v>8</v>
      </c>
      <c r="C1407" s="450" t="s">
        <v>1433</v>
      </c>
      <c r="M1407" s="633"/>
      <c r="N1407" s="634"/>
      <c r="O1407" s="633"/>
      <c r="P1407" s="634"/>
      <c r="Q1407" s="469"/>
      <c r="R1407" s="512" t="str">
        <f>IF(SUM(TrialBalance!L229:L230)+SUM(TrialBalance!N229:N230)+TrialBalance!L233=0,"DELETE"," ")</f>
        <v>DELETE</v>
      </c>
    </row>
    <row r="1408" spans="2:18" ht="31.5" customHeight="1" x14ac:dyDescent="0.45">
      <c r="B1408" s="563"/>
      <c r="D1408" s="449" t="s">
        <v>1523</v>
      </c>
      <c r="H1408" s="452"/>
      <c r="J1408" s="452"/>
      <c r="K1408" s="601"/>
      <c r="M1408" s="548"/>
      <c r="N1408" s="491"/>
      <c r="O1408" s="531">
        <f>O1411-O1412</f>
        <v>0</v>
      </c>
      <c r="P1408" s="634"/>
      <c r="Q1408" s="469"/>
      <c r="R1408" s="512" t="str">
        <f t="shared" si="61"/>
        <v>DELETE</v>
      </c>
    </row>
    <row r="1409" spans="2:19" ht="9" customHeight="1" x14ac:dyDescent="0.45">
      <c r="B1409" s="563"/>
      <c r="M1409" s="548"/>
      <c r="N1409" s="491"/>
      <c r="O1409" s="531"/>
      <c r="P1409" s="634"/>
      <c r="Q1409" s="469"/>
      <c r="R1409" s="512" t="str">
        <f t="shared" si="61"/>
        <v>DELETE</v>
      </c>
    </row>
    <row r="1410" spans="2:19" ht="9" customHeight="1" x14ac:dyDescent="0.45">
      <c r="B1410" s="563"/>
      <c r="M1410" s="548"/>
      <c r="N1410" s="491"/>
      <c r="O1410" s="558"/>
      <c r="P1410" s="634"/>
      <c r="Q1410" s="469"/>
      <c r="R1410" s="512" t="str">
        <f t="shared" si="61"/>
        <v>DELETE</v>
      </c>
    </row>
    <row r="1411" spans="2:19" ht="31.5" customHeight="1" x14ac:dyDescent="0.45">
      <c r="B1411" s="563"/>
      <c r="D1411" s="449" t="s">
        <v>457</v>
      </c>
      <c r="M1411" s="548"/>
      <c r="N1411" s="491"/>
      <c r="O1411" s="559">
        <f>TrialBalance!L229</f>
        <v>0</v>
      </c>
      <c r="P1411" s="634"/>
      <c r="Q1411" s="469"/>
      <c r="R1411" s="512" t="str">
        <f t="shared" si="61"/>
        <v>DELETE</v>
      </c>
      <c r="S1411" s="517">
        <f>O1411</f>
        <v>0</v>
      </c>
    </row>
    <row r="1412" spans="2:19" ht="31.5" customHeight="1" x14ac:dyDescent="0.45">
      <c r="B1412" s="563"/>
      <c r="D1412" s="449" t="s">
        <v>956</v>
      </c>
      <c r="M1412" s="548"/>
      <c r="N1412" s="491"/>
      <c r="O1412" s="559">
        <f>-TrialBalance!L235</f>
        <v>0</v>
      </c>
      <c r="P1412" s="634"/>
      <c r="Q1412" s="469"/>
      <c r="R1412" s="512" t="str">
        <f t="shared" si="61"/>
        <v>DELETE</v>
      </c>
      <c r="S1412" s="517">
        <f>-O1412</f>
        <v>0</v>
      </c>
    </row>
    <row r="1413" spans="2:19" ht="9" customHeight="1" x14ac:dyDescent="0.45">
      <c r="B1413" s="563"/>
      <c r="M1413" s="548"/>
      <c r="N1413" s="491"/>
      <c r="O1413" s="560"/>
      <c r="P1413" s="634"/>
      <c r="Q1413" s="469"/>
      <c r="R1413" s="512" t="str">
        <f t="shared" si="61"/>
        <v>DELETE</v>
      </c>
    </row>
    <row r="1414" spans="2:19" ht="9" customHeight="1" x14ac:dyDescent="0.45">
      <c r="B1414" s="563"/>
      <c r="M1414" s="548"/>
      <c r="N1414" s="491"/>
      <c r="O1414" s="531"/>
      <c r="P1414" s="634"/>
      <c r="Q1414" s="469"/>
      <c r="R1414" s="512" t="str">
        <f t="shared" si="61"/>
        <v>DELETE</v>
      </c>
    </row>
    <row r="1415" spans="2:19" ht="31.5" customHeight="1" x14ac:dyDescent="0.45">
      <c r="B1415" s="563"/>
      <c r="D1415" s="449" t="s">
        <v>458</v>
      </c>
      <c r="M1415" s="548"/>
      <c r="N1415" s="491"/>
      <c r="O1415" s="531">
        <f>TrialBalance!L230</f>
        <v>0</v>
      </c>
      <c r="P1415" s="634"/>
      <c r="Q1415" s="469"/>
      <c r="R1415" s="512" t="str">
        <f t="shared" si="61"/>
        <v>DELETE</v>
      </c>
      <c r="S1415" s="517">
        <f>O1415</f>
        <v>0</v>
      </c>
    </row>
    <row r="1416" spans="2:19" ht="31.5" customHeight="1" x14ac:dyDescent="0.45">
      <c r="B1416" s="563"/>
      <c r="E1416" s="449" t="s">
        <v>1561</v>
      </c>
      <c r="M1416" s="548"/>
      <c r="N1416" s="491"/>
      <c r="O1416" s="531">
        <f>TrialBalance!L233</f>
        <v>0</v>
      </c>
      <c r="P1416" s="634"/>
      <c r="Q1416" s="469"/>
      <c r="R1416" s="512" t="str">
        <f>IF(O1416=0,"DELETE"," ")</f>
        <v>DELETE</v>
      </c>
      <c r="S1416" s="517">
        <f>O1416</f>
        <v>0</v>
      </c>
    </row>
    <row r="1417" spans="2:19" ht="9" customHeight="1" x14ac:dyDescent="0.45">
      <c r="B1417" s="563"/>
      <c r="M1417" s="548"/>
      <c r="N1417" s="491"/>
      <c r="O1417" s="535"/>
      <c r="P1417" s="634"/>
      <c r="Q1417" s="469"/>
      <c r="R1417" s="512" t="str">
        <f t="shared" si="61"/>
        <v>DELETE</v>
      </c>
    </row>
    <row r="1418" spans="2:19" ht="9" customHeight="1" x14ac:dyDescent="0.45">
      <c r="B1418" s="563"/>
      <c r="M1418" s="548"/>
      <c r="N1418" s="491"/>
      <c r="O1418" s="531"/>
      <c r="P1418" s="634"/>
      <c r="Q1418" s="469"/>
      <c r="R1418" s="512" t="str">
        <f t="shared" si="61"/>
        <v>DELETE</v>
      </c>
    </row>
    <row r="1419" spans="2:19" ht="31.5" customHeight="1" x14ac:dyDescent="0.45">
      <c r="B1419" s="563"/>
      <c r="M1419" s="548"/>
      <c r="N1419" s="491"/>
      <c r="O1419" s="531">
        <f>O1408+SUM(O1414:O1417)</f>
        <v>0</v>
      </c>
      <c r="P1419" s="634"/>
      <c r="Q1419" s="469"/>
      <c r="R1419" s="512" t="str">
        <f t="shared" si="61"/>
        <v>DELETE</v>
      </c>
    </row>
    <row r="1420" spans="2:19" ht="31.5" customHeight="1" x14ac:dyDescent="0.45">
      <c r="B1420" s="563"/>
      <c r="D1420" s="449" t="s">
        <v>1551</v>
      </c>
      <c r="M1420" s="548"/>
      <c r="N1420" s="491"/>
      <c r="O1420" s="531">
        <f>-SUM(S1422:S1425)</f>
        <v>0</v>
      </c>
      <c r="P1420" s="634"/>
      <c r="Q1420" s="469"/>
      <c r="R1420" s="512" t="str">
        <f>IF(O1420=0,"DELETE"," ")</f>
        <v>DELETE</v>
      </c>
    </row>
    <row r="1421" spans="2:19" ht="9" customHeight="1" x14ac:dyDescent="0.45">
      <c r="B1421" s="563"/>
      <c r="M1421" s="548"/>
      <c r="N1421" s="491"/>
      <c r="O1421" s="531"/>
      <c r="P1421" s="634"/>
      <c r="Q1421" s="469"/>
      <c r="R1421" s="512" t="str">
        <f>R$1420</f>
        <v>DELETE</v>
      </c>
    </row>
    <row r="1422" spans="2:19" ht="9" customHeight="1" x14ac:dyDescent="0.45">
      <c r="B1422" s="563"/>
      <c r="M1422" s="548"/>
      <c r="N1422" s="491"/>
      <c r="O1422" s="558"/>
      <c r="P1422" s="634"/>
      <c r="Q1422" s="469"/>
      <c r="R1422" s="512" t="str">
        <f>R$1420</f>
        <v>DELETE</v>
      </c>
    </row>
    <row r="1423" spans="2:19" ht="31.5" customHeight="1" x14ac:dyDescent="0.45">
      <c r="B1423" s="563"/>
      <c r="D1423" s="449" t="s">
        <v>457</v>
      </c>
      <c r="M1423" s="548"/>
      <c r="N1423" s="491"/>
      <c r="O1423" s="559">
        <f>-TrialBalance!L232</f>
        <v>0</v>
      </c>
      <c r="P1423" s="634"/>
      <c r="Q1423" s="469"/>
      <c r="R1423" s="512" t="str">
        <f t="shared" ref="R1423:R1424" si="62">IF(O1423=0,"DELETE"," ")</f>
        <v>DELETE</v>
      </c>
      <c r="S1423" s="517">
        <f>-O1423</f>
        <v>0</v>
      </c>
    </row>
    <row r="1424" spans="2:19" ht="31.5" customHeight="1" x14ac:dyDescent="0.45">
      <c r="B1424" s="563"/>
      <c r="D1424" s="449" t="s">
        <v>956</v>
      </c>
      <c r="M1424" s="548"/>
      <c r="N1424" s="491"/>
      <c r="O1424" s="559">
        <f>TrialBalance!L238</f>
        <v>0</v>
      </c>
      <c r="P1424" s="634"/>
      <c r="Q1424" s="469"/>
      <c r="R1424" s="512" t="str">
        <f t="shared" si="62"/>
        <v>DELETE</v>
      </c>
      <c r="S1424" s="517">
        <f>O1424</f>
        <v>0</v>
      </c>
    </row>
    <row r="1425" spans="2:21" ht="9" customHeight="1" x14ac:dyDescent="0.45">
      <c r="B1425" s="563"/>
      <c r="M1425" s="548"/>
      <c r="N1425" s="491"/>
      <c r="O1425" s="560"/>
      <c r="P1425" s="634"/>
      <c r="Q1425" s="469"/>
      <c r="R1425" s="512" t="str">
        <f t="shared" ref="R1425:R1426" si="63">R$1420</f>
        <v>DELETE</v>
      </c>
    </row>
    <row r="1426" spans="2:21" ht="9" customHeight="1" x14ac:dyDescent="0.45">
      <c r="B1426" s="563"/>
      <c r="M1426" s="548"/>
      <c r="N1426" s="491"/>
      <c r="O1426" s="531"/>
      <c r="P1426" s="634"/>
      <c r="Q1426" s="469"/>
      <c r="R1426" s="512" t="str">
        <f t="shared" si="63"/>
        <v>DELETE</v>
      </c>
    </row>
    <row r="1427" spans="2:21" ht="31.5" customHeight="1" x14ac:dyDescent="0.45">
      <c r="B1427" s="563"/>
      <c r="D1427" s="449" t="s">
        <v>196</v>
      </c>
      <c r="M1427" s="548"/>
      <c r="N1427" s="491"/>
      <c r="O1427" s="531">
        <f>-SUM(S1429:S1432)</f>
        <v>0</v>
      </c>
      <c r="P1427" s="634"/>
      <c r="Q1427" s="469"/>
      <c r="R1427" s="512" t="str">
        <f>IF(O1427=0,"DELETE"," ")</f>
        <v>DELETE</v>
      </c>
    </row>
    <row r="1428" spans="2:21" ht="9" customHeight="1" x14ac:dyDescent="0.45">
      <c r="B1428" s="563"/>
      <c r="M1428" s="548"/>
      <c r="N1428" s="491"/>
      <c r="O1428" s="531"/>
      <c r="P1428" s="634"/>
      <c r="Q1428" s="469"/>
      <c r="R1428" s="512" t="str">
        <f>R$1427</f>
        <v>DELETE</v>
      </c>
    </row>
    <row r="1429" spans="2:21" ht="9" customHeight="1" x14ac:dyDescent="0.45">
      <c r="B1429" s="563"/>
      <c r="M1429" s="548"/>
      <c r="N1429" s="491"/>
      <c r="O1429" s="558"/>
      <c r="P1429" s="634"/>
      <c r="Q1429" s="469"/>
      <c r="R1429" s="512" t="str">
        <f>R$1427</f>
        <v>DELETE</v>
      </c>
    </row>
    <row r="1430" spans="2:21" ht="31.5" customHeight="1" x14ac:dyDescent="0.45">
      <c r="B1430" s="563"/>
      <c r="D1430" s="449" t="s">
        <v>457</v>
      </c>
      <c r="M1430" s="548"/>
      <c r="N1430" s="491"/>
      <c r="O1430" s="559">
        <f>-TrialBalance!L231</f>
        <v>0</v>
      </c>
      <c r="P1430" s="634"/>
      <c r="Q1430" s="469"/>
      <c r="R1430" s="512" t="str">
        <f t="shared" ref="R1430:R1431" si="64">IF(O1430=0,"DELETE"," ")</f>
        <v>DELETE</v>
      </c>
      <c r="S1430" s="517">
        <f>-O1430</f>
        <v>0</v>
      </c>
    </row>
    <row r="1431" spans="2:21" ht="31.5" customHeight="1" x14ac:dyDescent="0.45">
      <c r="B1431" s="563"/>
      <c r="D1431" s="449" t="s">
        <v>956</v>
      </c>
      <c r="M1431" s="548"/>
      <c r="N1431" s="491"/>
      <c r="O1431" s="559">
        <f>TrialBalance!L237</f>
        <v>0</v>
      </c>
      <c r="P1431" s="634"/>
      <c r="Q1431" s="469"/>
      <c r="R1431" s="512" t="str">
        <f t="shared" si="64"/>
        <v>DELETE</v>
      </c>
      <c r="S1431" s="517">
        <f>+O1431</f>
        <v>0</v>
      </c>
    </row>
    <row r="1432" spans="2:21" ht="9" customHeight="1" x14ac:dyDescent="0.45">
      <c r="B1432" s="563"/>
      <c r="M1432" s="548"/>
      <c r="N1432" s="491"/>
      <c r="O1432" s="560"/>
      <c r="P1432" s="634"/>
      <c r="Q1432" s="469"/>
      <c r="R1432" s="512" t="str">
        <f t="shared" ref="R1432:R1433" si="65">R$1427</f>
        <v>DELETE</v>
      </c>
    </row>
    <row r="1433" spans="2:21" ht="9" customHeight="1" x14ac:dyDescent="0.45">
      <c r="B1433" s="563"/>
      <c r="M1433" s="548"/>
      <c r="N1433" s="491"/>
      <c r="O1433" s="548"/>
      <c r="P1433" s="634"/>
      <c r="Q1433" s="469"/>
      <c r="R1433" s="512" t="str">
        <f t="shared" si="65"/>
        <v>DELETE</v>
      </c>
    </row>
    <row r="1434" spans="2:21" ht="31.5" customHeight="1" x14ac:dyDescent="0.45">
      <c r="B1434" s="563"/>
      <c r="D1434" s="449" t="s">
        <v>337</v>
      </c>
      <c r="M1434" s="548"/>
      <c r="N1434" s="491"/>
      <c r="O1434" s="548">
        <f>TrialBalance!L236</f>
        <v>0</v>
      </c>
      <c r="P1434" s="634"/>
      <c r="Q1434" s="469"/>
      <c r="R1434" s="512" t="str">
        <f t="shared" si="61"/>
        <v>DELETE</v>
      </c>
      <c r="S1434" s="517">
        <f>O1434</f>
        <v>0</v>
      </c>
    </row>
    <row r="1435" spans="2:21" ht="9" customHeight="1" x14ac:dyDescent="0.45">
      <c r="B1435" s="563"/>
      <c r="M1435" s="548"/>
      <c r="N1435" s="491"/>
      <c r="O1435" s="535"/>
      <c r="P1435" s="634"/>
      <c r="Q1435" s="469"/>
      <c r="R1435" s="512" t="str">
        <f t="shared" si="61"/>
        <v>DELETE</v>
      </c>
    </row>
    <row r="1436" spans="2:21" ht="9" customHeight="1" x14ac:dyDescent="0.45">
      <c r="B1436" s="563"/>
      <c r="M1436" s="548"/>
      <c r="N1436" s="491"/>
      <c r="O1436" s="548"/>
      <c r="P1436" s="634"/>
      <c r="Q1436" s="469"/>
      <c r="R1436" s="512" t="str">
        <f t="shared" si="61"/>
        <v>DELETE</v>
      </c>
    </row>
    <row r="1437" spans="2:21" ht="31.5" customHeight="1" x14ac:dyDescent="0.45">
      <c r="B1437" s="563"/>
      <c r="D1437" s="449" t="s">
        <v>1528</v>
      </c>
      <c r="K1437" s="464"/>
      <c r="M1437" s="548"/>
      <c r="N1437" s="491"/>
      <c r="O1437" s="531">
        <f>SUM(S1410:S1435)</f>
        <v>0</v>
      </c>
      <c r="P1437" s="634"/>
      <c r="Q1437" s="469"/>
      <c r="R1437" s="512" t="str">
        <f t="shared" si="61"/>
        <v>DELETE</v>
      </c>
      <c r="U1437" s="513" t="b">
        <f>O1437=O1441-O1442</f>
        <v>1</v>
      </c>
    </row>
    <row r="1438" spans="2:21" ht="9" customHeight="1" thickBot="1" x14ac:dyDescent="0.5">
      <c r="B1438" s="563"/>
      <c r="M1438" s="548"/>
      <c r="N1438" s="491"/>
      <c r="O1438" s="536"/>
      <c r="P1438" s="634"/>
      <c r="Q1438" s="469"/>
      <c r="R1438" s="512" t="str">
        <f t="shared" si="61"/>
        <v>DELETE</v>
      </c>
    </row>
    <row r="1439" spans="2:21" ht="9" customHeight="1" thickTop="1" x14ac:dyDescent="0.45">
      <c r="B1439" s="563"/>
      <c r="M1439" s="548"/>
      <c r="N1439" s="491"/>
      <c r="O1439" s="531"/>
      <c r="P1439" s="634"/>
      <c r="Q1439" s="469"/>
      <c r="R1439" s="512" t="str">
        <f t="shared" si="61"/>
        <v>DELETE</v>
      </c>
    </row>
    <row r="1440" spans="2:21" ht="9" customHeight="1" x14ac:dyDescent="0.45">
      <c r="B1440" s="563"/>
      <c r="M1440" s="548"/>
      <c r="N1440" s="491"/>
      <c r="O1440" s="558"/>
      <c r="P1440" s="634"/>
      <c r="Q1440" s="469"/>
      <c r="R1440" s="512" t="str">
        <f t="shared" si="61"/>
        <v>DELETE</v>
      </c>
    </row>
    <row r="1441" spans="2:18" ht="31.5" customHeight="1" x14ac:dyDescent="0.45">
      <c r="B1441" s="563"/>
      <c r="D1441" s="449" t="s">
        <v>457</v>
      </c>
      <c r="M1441" s="548"/>
      <c r="N1441" s="491"/>
      <c r="O1441" s="559">
        <f>SUM(TrialBalance!L229:L233)</f>
        <v>0</v>
      </c>
      <c r="P1441" s="634"/>
      <c r="Q1441" s="469"/>
      <c r="R1441" s="512" t="str">
        <f t="shared" si="61"/>
        <v>DELETE</v>
      </c>
    </row>
    <row r="1442" spans="2:18" ht="31.5" customHeight="1" x14ac:dyDescent="0.45">
      <c r="B1442" s="563"/>
      <c r="D1442" s="449" t="s">
        <v>956</v>
      </c>
      <c r="M1442" s="548"/>
      <c r="N1442" s="491"/>
      <c r="O1442" s="559">
        <f>-SUM(TrialBalance!L235:L238)</f>
        <v>0</v>
      </c>
      <c r="P1442" s="634"/>
      <c r="Q1442" s="469"/>
      <c r="R1442" s="512" t="str">
        <f t="shared" si="61"/>
        <v>DELETE</v>
      </c>
    </row>
    <row r="1443" spans="2:18" ht="9" customHeight="1" x14ac:dyDescent="0.45">
      <c r="B1443" s="563"/>
      <c r="M1443" s="548"/>
      <c r="N1443" s="491"/>
      <c r="O1443" s="560"/>
      <c r="P1443" s="634"/>
      <c r="Q1443" s="469"/>
      <c r="R1443" s="512" t="str">
        <f t="shared" si="61"/>
        <v>DELETE</v>
      </c>
    </row>
    <row r="1444" spans="2:18" ht="9" customHeight="1" x14ac:dyDescent="0.45">
      <c r="B1444" s="563"/>
      <c r="M1444" s="548"/>
      <c r="N1444" s="491"/>
      <c r="O1444" s="531"/>
      <c r="P1444" s="634"/>
      <c r="Q1444" s="469"/>
      <c r="R1444" s="512" t="str">
        <f t="shared" si="61"/>
        <v>DELETE</v>
      </c>
    </row>
    <row r="1445" spans="2:18" ht="31.5" customHeight="1" x14ac:dyDescent="0.45">
      <c r="B1445" s="563"/>
      <c r="M1445" s="633"/>
      <c r="N1445" s="634"/>
      <c r="O1445" s="633"/>
      <c r="P1445" s="634"/>
      <c r="Q1445" s="469"/>
      <c r="R1445" s="512" t="str">
        <f t="shared" si="61"/>
        <v>DELETE</v>
      </c>
    </row>
    <row r="1446" spans="2:18" ht="31.5" customHeight="1" x14ac:dyDescent="0.45">
      <c r="B1446" s="563"/>
      <c r="D1446" s="449" t="str">
        <f>IF(SUM(TrialBalance!L229:L233)=0," ",IF(Criteria!F133="Yes",CONCATENATE("Property is pledged as security - See Note ",'FS2'!B2115)," "))</f>
        <v xml:space="preserve"> </v>
      </c>
      <c r="M1446" s="633"/>
      <c r="N1446" s="634"/>
      <c r="O1446" s="633"/>
      <c r="P1446" s="634"/>
      <c r="Q1446" s="469"/>
      <c r="R1446" s="512" t="str">
        <f>IF(R$1407="DELETE","DELETE",IF(D1446=" ","DELETE"," "))</f>
        <v>DELETE</v>
      </c>
    </row>
    <row r="1447" spans="2:18" ht="31.5" customHeight="1" x14ac:dyDescent="0.45">
      <c r="B1447" s="563"/>
      <c r="M1447" s="633"/>
      <c r="N1447" s="634"/>
      <c r="O1447" s="633"/>
      <c r="P1447" s="634"/>
      <c r="Q1447" s="469"/>
      <c r="R1447" s="512" t="str">
        <f t="shared" si="61"/>
        <v>DELETE</v>
      </c>
    </row>
    <row r="1448" spans="2:18" ht="31.5" customHeight="1" x14ac:dyDescent="0.45">
      <c r="B1448" s="563"/>
      <c r="M1448" s="633"/>
      <c r="N1448" s="634"/>
      <c r="O1448" s="633"/>
      <c r="P1448" s="634"/>
      <c r="Q1448" s="469"/>
      <c r="R1448" s="512" t="str">
        <f t="shared" si="61"/>
        <v>DELETE</v>
      </c>
    </row>
    <row r="1449" spans="2:18" ht="31.5" customHeight="1" x14ac:dyDescent="0.45">
      <c r="B1449" s="564"/>
      <c r="C1449" s="585"/>
      <c r="D1449" s="461"/>
      <c r="E1449" s="461"/>
      <c r="F1449" s="461"/>
      <c r="G1449" s="461"/>
      <c r="H1449" s="461"/>
      <c r="I1449" s="461"/>
      <c r="J1449" s="461"/>
      <c r="K1449" s="461"/>
      <c r="L1449" s="461"/>
      <c r="M1449" s="535"/>
      <c r="N1449" s="473"/>
      <c r="O1449" s="535"/>
      <c r="P1449" s="631"/>
      <c r="Q1449" s="479"/>
      <c r="R1449" s="512" t="str">
        <f t="shared" si="61"/>
        <v>DELETE</v>
      </c>
    </row>
    <row r="1450" spans="2:18" ht="31.5" customHeight="1" x14ac:dyDescent="0.45">
      <c r="B1450" s="526"/>
      <c r="C1450" s="450"/>
      <c r="M1450" s="531"/>
      <c r="N1450" s="470"/>
      <c r="O1450" s="531"/>
      <c r="R1450" s="512" t="str">
        <f t="shared" si="61"/>
        <v>DELETE</v>
      </c>
    </row>
    <row r="1451" spans="2:18" ht="31.5" customHeight="1" x14ac:dyDescent="0.45">
      <c r="B1451" s="526"/>
      <c r="C1451" s="450"/>
      <c r="M1451" s="531"/>
      <c r="N1451" s="470"/>
      <c r="O1451" s="531"/>
      <c r="R1451" s="512" t="str">
        <f t="shared" ref="R1451:R1462" si="66">R$1503</f>
        <v>DELETE</v>
      </c>
    </row>
    <row r="1452" spans="2:18" ht="31.5" customHeight="1" x14ac:dyDescent="0.45">
      <c r="B1452" s="526"/>
      <c r="C1452" s="450"/>
      <c r="D1452" s="450" t="str">
        <f>Criteria!E9</f>
        <v>ABC COMPANY (PROPRIETARY) LIMITED</v>
      </c>
      <c r="O1452" s="529" t="s">
        <v>121</v>
      </c>
      <c r="Q1452" s="451">
        <f>MAX($Q$114:Q1451)+1</f>
        <v>33</v>
      </c>
      <c r="R1452" s="512" t="str">
        <f t="shared" si="66"/>
        <v>DELETE</v>
      </c>
    </row>
    <row r="1453" spans="2:18" ht="31.5" customHeight="1" x14ac:dyDescent="0.45">
      <c r="B1453" s="526"/>
      <c r="C1453" s="450"/>
      <c r="D1453" s="450" t="str">
        <f>Criteria!E10</f>
        <v>T/A SEAFRONT HOTEL, SEAFRONT RESTAURANT AND RENTAL PROPERTIES</v>
      </c>
      <c r="R1453" s="512" t="str">
        <f>IF(R$1503="DELETE","DELETE",IF(D1453=0,"DELETE"," "))</f>
        <v>DELETE</v>
      </c>
    </row>
    <row r="1454" spans="2:18" ht="31.5" customHeight="1" x14ac:dyDescent="0.45">
      <c r="B1454" s="526"/>
      <c r="C1454" s="450"/>
      <c r="R1454" s="512" t="str">
        <f t="shared" si="66"/>
        <v>DELETE</v>
      </c>
    </row>
    <row r="1455" spans="2:18" ht="31.5" customHeight="1" x14ac:dyDescent="0.45">
      <c r="B1455" s="526"/>
      <c r="C1455" s="450"/>
      <c r="D1455" s="450" t="s">
        <v>451</v>
      </c>
      <c r="R1455" s="512" t="str">
        <f t="shared" si="66"/>
        <v>DELETE</v>
      </c>
    </row>
    <row r="1456" spans="2:18" ht="31.5" customHeight="1" x14ac:dyDescent="0.45">
      <c r="B1456" s="526"/>
      <c r="C1456" s="450"/>
      <c r="D1456" s="450" t="str">
        <f>Criteria!E20</f>
        <v>29 FEBRUARY 2024</v>
      </c>
      <c r="J1456" s="449" t="s">
        <v>303</v>
      </c>
      <c r="R1456" s="512" t="str">
        <f t="shared" si="66"/>
        <v>DELETE</v>
      </c>
    </row>
    <row r="1457" spans="2:18" ht="31.5" customHeight="1" x14ac:dyDescent="0.45">
      <c r="B1457" s="526"/>
      <c r="C1457" s="450"/>
      <c r="M1457" s="531"/>
      <c r="N1457" s="470"/>
      <c r="O1457" s="531"/>
      <c r="R1457" s="512" t="str">
        <f t="shared" si="66"/>
        <v>DELETE</v>
      </c>
    </row>
    <row r="1458" spans="2:18" ht="31.5" customHeight="1" x14ac:dyDescent="0.45">
      <c r="B1458" s="565"/>
      <c r="C1458" s="503"/>
      <c r="D1458" s="466"/>
      <c r="E1458" s="466"/>
      <c r="F1458" s="466"/>
      <c r="G1458" s="466"/>
      <c r="H1458" s="466"/>
      <c r="I1458" s="466"/>
      <c r="J1458" s="466"/>
      <c r="K1458" s="466"/>
      <c r="L1458" s="466"/>
      <c r="M1458" s="546"/>
      <c r="N1458" s="471"/>
      <c r="O1458" s="546"/>
      <c r="P1458" s="643"/>
      <c r="Q1458" s="467"/>
      <c r="R1458" s="512" t="str">
        <f t="shared" si="66"/>
        <v>DELETE</v>
      </c>
    </row>
    <row r="1459" spans="2:18" ht="31.5" customHeight="1" x14ac:dyDescent="0.45">
      <c r="B1459" s="563"/>
      <c r="C1459" s="450"/>
      <c r="M1459" s="548"/>
      <c r="N1459" s="491"/>
      <c r="O1459" s="549">
        <f>Criteria!E22</f>
        <v>2024</v>
      </c>
      <c r="P1459" s="634"/>
      <c r="Q1459" s="469"/>
      <c r="R1459" s="512" t="str">
        <f t="shared" si="66"/>
        <v>DELETE</v>
      </c>
    </row>
    <row r="1460" spans="2:18" ht="31.5" customHeight="1" x14ac:dyDescent="0.45">
      <c r="B1460" s="563"/>
      <c r="C1460" s="450"/>
      <c r="M1460" s="548"/>
      <c r="N1460" s="491"/>
      <c r="O1460" s="548"/>
      <c r="P1460" s="634"/>
      <c r="Q1460" s="469"/>
      <c r="R1460" s="512" t="str">
        <f t="shared" si="66"/>
        <v>DELETE</v>
      </c>
    </row>
    <row r="1461" spans="2:18" ht="31.5" customHeight="1" x14ac:dyDescent="0.45">
      <c r="B1461" s="563"/>
      <c r="C1461" s="449" t="s">
        <v>1697</v>
      </c>
      <c r="M1461" s="548"/>
      <c r="N1461" s="491"/>
      <c r="O1461" s="548"/>
      <c r="P1461" s="634"/>
      <c r="Q1461" s="469"/>
      <c r="R1461" s="512" t="str">
        <f t="shared" si="66"/>
        <v>DELETE</v>
      </c>
    </row>
    <row r="1462" spans="2:18" ht="31.5" customHeight="1" x14ac:dyDescent="0.45">
      <c r="B1462" s="563"/>
      <c r="C1462" s="450"/>
      <c r="M1462" s="548"/>
      <c r="N1462" s="491"/>
      <c r="O1462" s="548"/>
      <c r="P1462" s="634"/>
      <c r="Q1462" s="469"/>
      <c r="R1462" s="512" t="str">
        <f t="shared" si="66"/>
        <v>DELETE</v>
      </c>
    </row>
    <row r="1463" spans="2:18" ht="31.5" customHeight="1" x14ac:dyDescent="0.45">
      <c r="B1463" s="563"/>
      <c r="C1463" s="450"/>
      <c r="D1463" s="449">
        <f>Criteria!C138</f>
        <v>0</v>
      </c>
      <c r="M1463" s="548"/>
      <c r="N1463" s="491"/>
      <c r="O1463" s="548">
        <f>Criteria!F138</f>
        <v>0</v>
      </c>
      <c r="P1463" s="634"/>
      <c r="Q1463" s="469"/>
      <c r="R1463" s="512" t="str">
        <f>IF(O1463=0,"DELETE"," ")</f>
        <v>DELETE</v>
      </c>
    </row>
    <row r="1464" spans="2:18" ht="31.5" customHeight="1" x14ac:dyDescent="0.45">
      <c r="B1464" s="563"/>
      <c r="C1464" s="450"/>
      <c r="D1464" s="449">
        <f>Criteria!C139</f>
        <v>0</v>
      </c>
      <c r="M1464" s="548"/>
      <c r="N1464" s="491"/>
      <c r="O1464" s="548">
        <f>Criteria!F139</f>
        <v>0</v>
      </c>
      <c r="P1464" s="634"/>
      <c r="Q1464" s="469"/>
      <c r="R1464" s="512" t="str">
        <f t="shared" ref="R1464:R1500" si="67">IF(O1464=0,"DELETE"," ")</f>
        <v>DELETE</v>
      </c>
    </row>
    <row r="1465" spans="2:18" ht="31.5" customHeight="1" x14ac:dyDescent="0.45">
      <c r="B1465" s="563"/>
      <c r="C1465" s="450"/>
      <c r="D1465" s="449">
        <f>Criteria!C140</f>
        <v>0</v>
      </c>
      <c r="M1465" s="548"/>
      <c r="N1465" s="491"/>
      <c r="O1465" s="548">
        <f>Criteria!F140</f>
        <v>0</v>
      </c>
      <c r="P1465" s="634"/>
      <c r="Q1465" s="469"/>
      <c r="R1465" s="512" t="str">
        <f t="shared" si="67"/>
        <v>DELETE</v>
      </c>
    </row>
    <row r="1466" spans="2:18" ht="31.5" customHeight="1" x14ac:dyDescent="0.45">
      <c r="B1466" s="563"/>
      <c r="C1466" s="450"/>
      <c r="D1466" s="449">
        <f>Criteria!C141</f>
        <v>0</v>
      </c>
      <c r="M1466" s="548"/>
      <c r="N1466" s="491"/>
      <c r="O1466" s="548">
        <f>Criteria!F141</f>
        <v>0</v>
      </c>
      <c r="P1466" s="634"/>
      <c r="Q1466" s="469"/>
      <c r="R1466" s="512" t="str">
        <f t="shared" si="67"/>
        <v>DELETE</v>
      </c>
    </row>
    <row r="1467" spans="2:18" ht="31.5" customHeight="1" x14ac:dyDescent="0.45">
      <c r="B1467" s="563"/>
      <c r="C1467" s="450"/>
      <c r="D1467" s="449">
        <f>Criteria!C142</f>
        <v>0</v>
      </c>
      <c r="M1467" s="548"/>
      <c r="N1467" s="491"/>
      <c r="O1467" s="548">
        <f>Criteria!F142</f>
        <v>0</v>
      </c>
      <c r="P1467" s="634"/>
      <c r="Q1467" s="469"/>
      <c r="R1467" s="512" t="str">
        <f t="shared" si="67"/>
        <v>DELETE</v>
      </c>
    </row>
    <row r="1468" spans="2:18" ht="31.5" customHeight="1" x14ac:dyDescent="0.45">
      <c r="B1468" s="563"/>
      <c r="C1468" s="450"/>
      <c r="D1468" s="449">
        <f>Criteria!C143</f>
        <v>0</v>
      </c>
      <c r="M1468" s="548"/>
      <c r="N1468" s="491"/>
      <c r="O1468" s="548">
        <f>Criteria!F143</f>
        <v>0</v>
      </c>
      <c r="P1468" s="634"/>
      <c r="Q1468" s="469"/>
      <c r="R1468" s="512" t="str">
        <f t="shared" si="67"/>
        <v>DELETE</v>
      </c>
    </row>
    <row r="1469" spans="2:18" ht="31.5" customHeight="1" x14ac:dyDescent="0.45">
      <c r="B1469" s="563"/>
      <c r="C1469" s="450"/>
      <c r="D1469" s="449">
        <f>Criteria!C144</f>
        <v>0</v>
      </c>
      <c r="M1469" s="548"/>
      <c r="N1469" s="491"/>
      <c r="O1469" s="548">
        <f>Criteria!F144</f>
        <v>0</v>
      </c>
      <c r="P1469" s="634"/>
      <c r="Q1469" s="469"/>
      <c r="R1469" s="512" t="str">
        <f t="shared" si="67"/>
        <v>DELETE</v>
      </c>
    </row>
    <row r="1470" spans="2:18" ht="31.5" customHeight="1" x14ac:dyDescent="0.45">
      <c r="B1470" s="563"/>
      <c r="C1470" s="450"/>
      <c r="D1470" s="449">
        <f>Criteria!C145</f>
        <v>0</v>
      </c>
      <c r="M1470" s="548"/>
      <c r="N1470" s="491"/>
      <c r="O1470" s="548">
        <f>Criteria!F145</f>
        <v>0</v>
      </c>
      <c r="P1470" s="634"/>
      <c r="Q1470" s="469"/>
      <c r="R1470" s="512" t="str">
        <f t="shared" si="67"/>
        <v>DELETE</v>
      </c>
    </row>
    <row r="1471" spans="2:18" ht="31.5" customHeight="1" x14ac:dyDescent="0.45">
      <c r="B1471" s="563"/>
      <c r="C1471" s="450"/>
      <c r="D1471" s="449">
        <f>Criteria!C146</f>
        <v>0</v>
      </c>
      <c r="M1471" s="548"/>
      <c r="N1471" s="491"/>
      <c r="O1471" s="548">
        <f>Criteria!F146</f>
        <v>0</v>
      </c>
      <c r="P1471" s="634"/>
      <c r="Q1471" s="469"/>
      <c r="R1471" s="512" t="str">
        <f t="shared" si="67"/>
        <v>DELETE</v>
      </c>
    </row>
    <row r="1472" spans="2:18" ht="31.5" customHeight="1" x14ac:dyDescent="0.45">
      <c r="B1472" s="563"/>
      <c r="C1472" s="450"/>
      <c r="D1472" s="449">
        <f>Criteria!C147</f>
        <v>0</v>
      </c>
      <c r="M1472" s="548"/>
      <c r="N1472" s="491"/>
      <c r="O1472" s="548">
        <f>Criteria!F147</f>
        <v>0</v>
      </c>
      <c r="P1472" s="634"/>
      <c r="Q1472" s="469"/>
      <c r="R1472" s="512" t="str">
        <f t="shared" si="67"/>
        <v>DELETE</v>
      </c>
    </row>
    <row r="1473" spans="2:18" ht="31.5" customHeight="1" x14ac:dyDescent="0.45">
      <c r="B1473" s="563"/>
      <c r="C1473" s="450"/>
      <c r="D1473" s="449">
        <f>Criteria!C148</f>
        <v>0</v>
      </c>
      <c r="M1473" s="548"/>
      <c r="N1473" s="491"/>
      <c r="O1473" s="548">
        <f>Criteria!F148</f>
        <v>0</v>
      </c>
      <c r="P1473" s="634"/>
      <c r="Q1473" s="469"/>
      <c r="R1473" s="512" t="str">
        <f t="shared" si="67"/>
        <v>DELETE</v>
      </c>
    </row>
    <row r="1474" spans="2:18" ht="31.5" customHeight="1" x14ac:dyDescent="0.45">
      <c r="B1474" s="563"/>
      <c r="C1474" s="450"/>
      <c r="D1474" s="449">
        <f>Criteria!C149</f>
        <v>0</v>
      </c>
      <c r="M1474" s="548"/>
      <c r="N1474" s="491"/>
      <c r="O1474" s="548">
        <f>Criteria!F149</f>
        <v>0</v>
      </c>
      <c r="P1474" s="634"/>
      <c r="Q1474" s="469"/>
      <c r="R1474" s="512" t="str">
        <f t="shared" si="67"/>
        <v>DELETE</v>
      </c>
    </row>
    <row r="1475" spans="2:18" ht="31.5" customHeight="1" x14ac:dyDescent="0.45">
      <c r="B1475" s="563"/>
      <c r="C1475" s="450"/>
      <c r="D1475" s="449">
        <f>Criteria!C150</f>
        <v>0</v>
      </c>
      <c r="M1475" s="548"/>
      <c r="N1475" s="491"/>
      <c r="O1475" s="548">
        <f>Criteria!F150</f>
        <v>0</v>
      </c>
      <c r="P1475" s="634"/>
      <c r="Q1475" s="469"/>
      <c r="R1475" s="512" t="str">
        <f t="shared" si="67"/>
        <v>DELETE</v>
      </c>
    </row>
    <row r="1476" spans="2:18" ht="31.5" customHeight="1" x14ac:dyDescent="0.45">
      <c r="B1476" s="563"/>
      <c r="C1476" s="450"/>
      <c r="D1476" s="449">
        <f>Criteria!C151</f>
        <v>0</v>
      </c>
      <c r="M1476" s="548"/>
      <c r="N1476" s="491"/>
      <c r="O1476" s="548">
        <f>Criteria!F151</f>
        <v>0</v>
      </c>
      <c r="P1476" s="634"/>
      <c r="Q1476" s="469"/>
      <c r="R1476" s="512" t="str">
        <f t="shared" si="67"/>
        <v>DELETE</v>
      </c>
    </row>
    <row r="1477" spans="2:18" ht="31.5" customHeight="1" x14ac:dyDescent="0.45">
      <c r="B1477" s="563"/>
      <c r="C1477" s="450"/>
      <c r="D1477" s="449">
        <f>Criteria!C152</f>
        <v>0</v>
      </c>
      <c r="M1477" s="548"/>
      <c r="N1477" s="491"/>
      <c r="O1477" s="548">
        <f>Criteria!F152</f>
        <v>0</v>
      </c>
      <c r="P1477" s="634"/>
      <c r="Q1477" s="469"/>
      <c r="R1477" s="512" t="str">
        <f t="shared" si="67"/>
        <v>DELETE</v>
      </c>
    </row>
    <row r="1478" spans="2:18" ht="31.5" customHeight="1" x14ac:dyDescent="0.45">
      <c r="B1478" s="563"/>
      <c r="C1478" s="450"/>
      <c r="D1478" s="449">
        <f>Criteria!C153</f>
        <v>0</v>
      </c>
      <c r="M1478" s="548"/>
      <c r="N1478" s="491"/>
      <c r="O1478" s="548">
        <f>Criteria!F153</f>
        <v>0</v>
      </c>
      <c r="P1478" s="634"/>
      <c r="Q1478" s="469"/>
      <c r="R1478" s="512" t="str">
        <f t="shared" si="67"/>
        <v>DELETE</v>
      </c>
    </row>
    <row r="1479" spans="2:18" ht="31.5" customHeight="1" x14ac:dyDescent="0.45">
      <c r="B1479" s="563"/>
      <c r="C1479" s="450"/>
      <c r="D1479" s="449">
        <f>Criteria!C154</f>
        <v>0</v>
      </c>
      <c r="M1479" s="548"/>
      <c r="N1479" s="491"/>
      <c r="O1479" s="548">
        <f>Criteria!F154</f>
        <v>0</v>
      </c>
      <c r="P1479" s="634"/>
      <c r="Q1479" s="469"/>
      <c r="R1479" s="512" t="str">
        <f t="shared" si="67"/>
        <v>DELETE</v>
      </c>
    </row>
    <row r="1480" spans="2:18" ht="31.5" customHeight="1" x14ac:dyDescent="0.45">
      <c r="B1480" s="563"/>
      <c r="C1480" s="450"/>
      <c r="D1480" s="449">
        <f>Criteria!C155</f>
        <v>0</v>
      </c>
      <c r="M1480" s="548"/>
      <c r="N1480" s="491"/>
      <c r="O1480" s="548">
        <f>Criteria!F155</f>
        <v>0</v>
      </c>
      <c r="P1480" s="634"/>
      <c r="Q1480" s="469"/>
      <c r="R1480" s="512" t="str">
        <f t="shared" si="67"/>
        <v>DELETE</v>
      </c>
    </row>
    <row r="1481" spans="2:18" ht="31.5" customHeight="1" x14ac:dyDescent="0.45">
      <c r="B1481" s="563"/>
      <c r="C1481" s="450"/>
      <c r="D1481" s="449">
        <f>Criteria!C156</f>
        <v>0</v>
      </c>
      <c r="M1481" s="548"/>
      <c r="N1481" s="491"/>
      <c r="O1481" s="548">
        <f>Criteria!F156</f>
        <v>0</v>
      </c>
      <c r="P1481" s="634"/>
      <c r="Q1481" s="469"/>
      <c r="R1481" s="512" t="str">
        <f t="shared" si="67"/>
        <v>DELETE</v>
      </c>
    </row>
    <row r="1482" spans="2:18" ht="31.5" customHeight="1" x14ac:dyDescent="0.45">
      <c r="B1482" s="563"/>
      <c r="C1482" s="450"/>
      <c r="D1482" s="449">
        <f>Criteria!C157</f>
        <v>0</v>
      </c>
      <c r="M1482" s="548"/>
      <c r="N1482" s="491"/>
      <c r="O1482" s="548">
        <f>Criteria!F157</f>
        <v>0</v>
      </c>
      <c r="P1482" s="634"/>
      <c r="Q1482" s="469"/>
      <c r="R1482" s="512" t="str">
        <f t="shared" si="67"/>
        <v>DELETE</v>
      </c>
    </row>
    <row r="1483" spans="2:18" ht="31.5" customHeight="1" x14ac:dyDescent="0.45">
      <c r="B1483" s="563"/>
      <c r="C1483" s="450"/>
      <c r="D1483" s="449">
        <f>Criteria!C158</f>
        <v>0</v>
      </c>
      <c r="M1483" s="548"/>
      <c r="N1483" s="491"/>
      <c r="O1483" s="548">
        <f>Criteria!F158</f>
        <v>0</v>
      </c>
      <c r="P1483" s="634"/>
      <c r="Q1483" s="469"/>
      <c r="R1483" s="512" t="str">
        <f t="shared" si="67"/>
        <v>DELETE</v>
      </c>
    </row>
    <row r="1484" spans="2:18" ht="31.5" customHeight="1" x14ac:dyDescent="0.45">
      <c r="B1484" s="563"/>
      <c r="C1484" s="450"/>
      <c r="D1484" s="449">
        <f>Criteria!C159</f>
        <v>0</v>
      </c>
      <c r="M1484" s="548"/>
      <c r="N1484" s="491"/>
      <c r="O1484" s="548">
        <f>Criteria!F159</f>
        <v>0</v>
      </c>
      <c r="P1484" s="634"/>
      <c r="Q1484" s="469"/>
      <c r="R1484" s="512" t="str">
        <f t="shared" si="67"/>
        <v>DELETE</v>
      </c>
    </row>
    <row r="1485" spans="2:18" ht="31.5" customHeight="1" x14ac:dyDescent="0.45">
      <c r="B1485" s="563"/>
      <c r="C1485" s="450"/>
      <c r="D1485" s="449">
        <f>Criteria!C160</f>
        <v>0</v>
      </c>
      <c r="M1485" s="548"/>
      <c r="N1485" s="491"/>
      <c r="O1485" s="548">
        <f>Criteria!F160</f>
        <v>0</v>
      </c>
      <c r="P1485" s="634"/>
      <c r="Q1485" s="469"/>
      <c r="R1485" s="512" t="str">
        <f t="shared" si="67"/>
        <v>DELETE</v>
      </c>
    </row>
    <row r="1486" spans="2:18" ht="31.5" customHeight="1" x14ac:dyDescent="0.45">
      <c r="B1486" s="563"/>
      <c r="C1486" s="450"/>
      <c r="D1486" s="449">
        <f>Criteria!C161</f>
        <v>0</v>
      </c>
      <c r="M1486" s="548"/>
      <c r="N1486" s="491"/>
      <c r="O1486" s="548">
        <f>Criteria!F161</f>
        <v>0</v>
      </c>
      <c r="P1486" s="634"/>
      <c r="Q1486" s="469"/>
      <c r="R1486" s="512" t="str">
        <f t="shared" si="67"/>
        <v>DELETE</v>
      </c>
    </row>
    <row r="1487" spans="2:18" ht="31.5" customHeight="1" x14ac:dyDescent="0.45">
      <c r="B1487" s="563"/>
      <c r="C1487" s="450"/>
      <c r="D1487" s="449">
        <f>Criteria!C162</f>
        <v>0</v>
      </c>
      <c r="M1487" s="548"/>
      <c r="N1487" s="491"/>
      <c r="O1487" s="548">
        <f>Criteria!F162</f>
        <v>0</v>
      </c>
      <c r="P1487" s="634"/>
      <c r="Q1487" s="469"/>
      <c r="R1487" s="512" t="str">
        <f t="shared" si="67"/>
        <v>DELETE</v>
      </c>
    </row>
    <row r="1488" spans="2:18" ht="31.5" customHeight="1" x14ac:dyDescent="0.45">
      <c r="B1488" s="563"/>
      <c r="C1488" s="450"/>
      <c r="D1488" s="449">
        <f>Criteria!C163</f>
        <v>0</v>
      </c>
      <c r="M1488" s="548"/>
      <c r="N1488" s="491"/>
      <c r="O1488" s="548">
        <f>Criteria!F163</f>
        <v>0</v>
      </c>
      <c r="P1488" s="634"/>
      <c r="Q1488" s="469"/>
      <c r="R1488" s="512" t="str">
        <f t="shared" si="67"/>
        <v>DELETE</v>
      </c>
    </row>
    <row r="1489" spans="2:21" ht="31.5" customHeight="1" x14ac:dyDescent="0.45">
      <c r="B1489" s="563"/>
      <c r="C1489" s="450"/>
      <c r="D1489" s="449">
        <f>Criteria!C164</f>
        <v>0</v>
      </c>
      <c r="M1489" s="548"/>
      <c r="N1489" s="491"/>
      <c r="O1489" s="548">
        <f>Criteria!F164</f>
        <v>0</v>
      </c>
      <c r="P1489" s="634"/>
      <c r="Q1489" s="469"/>
      <c r="R1489" s="512" t="str">
        <f t="shared" si="67"/>
        <v>DELETE</v>
      </c>
    </row>
    <row r="1490" spans="2:21" ht="31.5" customHeight="1" x14ac:dyDescent="0.45">
      <c r="B1490" s="563"/>
      <c r="C1490" s="450"/>
      <c r="D1490" s="449">
        <f>Criteria!C165</f>
        <v>0</v>
      </c>
      <c r="M1490" s="548"/>
      <c r="N1490" s="491"/>
      <c r="O1490" s="548">
        <f>Criteria!F165</f>
        <v>0</v>
      </c>
      <c r="P1490" s="634"/>
      <c r="Q1490" s="469"/>
      <c r="R1490" s="512" t="str">
        <f t="shared" si="67"/>
        <v>DELETE</v>
      </c>
    </row>
    <row r="1491" spans="2:21" ht="31.5" customHeight="1" x14ac:dyDescent="0.45">
      <c r="B1491" s="563"/>
      <c r="C1491" s="450"/>
      <c r="D1491" s="449">
        <f>Criteria!C166</f>
        <v>0</v>
      </c>
      <c r="M1491" s="548"/>
      <c r="N1491" s="491"/>
      <c r="O1491" s="548">
        <f>Criteria!F166</f>
        <v>0</v>
      </c>
      <c r="P1491" s="634"/>
      <c r="Q1491" s="469"/>
      <c r="R1491" s="512" t="str">
        <f t="shared" si="67"/>
        <v>DELETE</v>
      </c>
    </row>
    <row r="1492" spans="2:21" ht="31.5" customHeight="1" x14ac:dyDescent="0.45">
      <c r="B1492" s="563"/>
      <c r="C1492" s="450"/>
      <c r="D1492" s="449">
        <f>Criteria!C167</f>
        <v>0</v>
      </c>
      <c r="M1492" s="548"/>
      <c r="N1492" s="491"/>
      <c r="O1492" s="548">
        <f>Criteria!F167</f>
        <v>0</v>
      </c>
      <c r="P1492" s="634"/>
      <c r="Q1492" s="469"/>
      <c r="R1492" s="512" t="str">
        <f t="shared" si="67"/>
        <v>DELETE</v>
      </c>
    </row>
    <row r="1493" spans="2:21" ht="31.5" customHeight="1" x14ac:dyDescent="0.45">
      <c r="B1493" s="563"/>
      <c r="C1493" s="450"/>
      <c r="D1493" s="449">
        <f>Criteria!C168</f>
        <v>0</v>
      </c>
      <c r="M1493" s="548"/>
      <c r="N1493" s="491"/>
      <c r="O1493" s="548">
        <f>Criteria!F168</f>
        <v>0</v>
      </c>
      <c r="P1493" s="634"/>
      <c r="Q1493" s="469"/>
      <c r="R1493" s="512" t="str">
        <f t="shared" si="67"/>
        <v>DELETE</v>
      </c>
    </row>
    <row r="1494" spans="2:21" ht="31.5" customHeight="1" x14ac:dyDescent="0.45">
      <c r="B1494" s="563"/>
      <c r="C1494" s="450"/>
      <c r="D1494" s="449">
        <f>Criteria!C169</f>
        <v>0</v>
      </c>
      <c r="M1494" s="548"/>
      <c r="N1494" s="491"/>
      <c r="O1494" s="548">
        <f>Criteria!F169</f>
        <v>0</v>
      </c>
      <c r="P1494" s="634"/>
      <c r="Q1494" s="469"/>
      <c r="R1494" s="512" t="str">
        <f t="shared" si="67"/>
        <v>DELETE</v>
      </c>
    </row>
    <row r="1495" spans="2:21" ht="31.5" customHeight="1" x14ac:dyDescent="0.45">
      <c r="B1495" s="563"/>
      <c r="C1495" s="450"/>
      <c r="D1495" s="449">
        <f>Criteria!C170</f>
        <v>0</v>
      </c>
      <c r="M1495" s="548"/>
      <c r="N1495" s="491"/>
      <c r="O1495" s="548">
        <f>Criteria!F170</f>
        <v>0</v>
      </c>
      <c r="P1495" s="634"/>
      <c r="Q1495" s="469"/>
      <c r="R1495" s="512" t="str">
        <f t="shared" si="67"/>
        <v>DELETE</v>
      </c>
    </row>
    <row r="1496" spans="2:21" ht="31.5" customHeight="1" x14ac:dyDescent="0.45">
      <c r="B1496" s="563"/>
      <c r="C1496" s="450"/>
      <c r="D1496" s="449">
        <f>Criteria!C171</f>
        <v>0</v>
      </c>
      <c r="M1496" s="548"/>
      <c r="N1496" s="491"/>
      <c r="O1496" s="548">
        <f>Criteria!F171</f>
        <v>0</v>
      </c>
      <c r="P1496" s="634"/>
      <c r="Q1496" s="469"/>
      <c r="R1496" s="512" t="str">
        <f t="shared" si="67"/>
        <v>DELETE</v>
      </c>
    </row>
    <row r="1497" spans="2:21" ht="31.5" customHeight="1" x14ac:dyDescent="0.45">
      <c r="B1497" s="563"/>
      <c r="C1497" s="450"/>
      <c r="D1497" s="449">
        <f>Criteria!C172</f>
        <v>0</v>
      </c>
      <c r="M1497" s="548"/>
      <c r="N1497" s="491"/>
      <c r="O1497" s="548">
        <f>Criteria!F172</f>
        <v>0</v>
      </c>
      <c r="P1497" s="634"/>
      <c r="Q1497" s="469"/>
      <c r="R1497" s="512" t="str">
        <f t="shared" si="67"/>
        <v>DELETE</v>
      </c>
    </row>
    <row r="1498" spans="2:21" ht="31.5" customHeight="1" x14ac:dyDescent="0.45">
      <c r="B1498" s="563"/>
      <c r="C1498" s="450"/>
      <c r="D1498" s="449">
        <f>Criteria!C173</f>
        <v>0</v>
      </c>
      <c r="M1498" s="548"/>
      <c r="N1498" s="491"/>
      <c r="O1498" s="548">
        <f>Criteria!F173</f>
        <v>0</v>
      </c>
      <c r="P1498" s="634"/>
      <c r="Q1498" s="469"/>
      <c r="R1498" s="512" t="str">
        <f t="shared" si="67"/>
        <v>DELETE</v>
      </c>
    </row>
    <row r="1499" spans="2:21" ht="31.5" customHeight="1" x14ac:dyDescent="0.45">
      <c r="B1499" s="563"/>
      <c r="C1499" s="450"/>
      <c r="D1499" s="449">
        <f>Criteria!C174</f>
        <v>0</v>
      </c>
      <c r="M1499" s="548"/>
      <c r="N1499" s="491"/>
      <c r="O1499" s="548">
        <f>Criteria!F174</f>
        <v>0</v>
      </c>
      <c r="P1499" s="634"/>
      <c r="Q1499" s="469"/>
      <c r="R1499" s="512" t="str">
        <f t="shared" si="67"/>
        <v>DELETE</v>
      </c>
    </row>
    <row r="1500" spans="2:21" ht="31.5" customHeight="1" x14ac:dyDescent="0.45">
      <c r="B1500" s="563"/>
      <c r="C1500" s="450"/>
      <c r="D1500" s="449">
        <f>Criteria!C175</f>
        <v>0</v>
      </c>
      <c r="M1500" s="548"/>
      <c r="N1500" s="491"/>
      <c r="O1500" s="548">
        <f>Criteria!F175</f>
        <v>0</v>
      </c>
      <c r="P1500" s="634"/>
      <c r="Q1500" s="469"/>
      <c r="R1500" s="512" t="str">
        <f t="shared" si="67"/>
        <v>DELETE</v>
      </c>
    </row>
    <row r="1501" spans="2:21" ht="9" customHeight="1" x14ac:dyDescent="0.45">
      <c r="B1501" s="563"/>
      <c r="C1501" s="450"/>
      <c r="M1501" s="548"/>
      <c r="N1501" s="491"/>
      <c r="O1501" s="535"/>
      <c r="P1501" s="634"/>
      <c r="Q1501" s="469"/>
      <c r="R1501" s="512" t="str">
        <f>R$1503</f>
        <v>DELETE</v>
      </c>
    </row>
    <row r="1502" spans="2:21" ht="9" customHeight="1" x14ac:dyDescent="0.45">
      <c r="B1502" s="563"/>
      <c r="C1502" s="450"/>
      <c r="M1502" s="548"/>
      <c r="N1502" s="491"/>
      <c r="O1502" s="548"/>
      <c r="P1502" s="634"/>
      <c r="Q1502" s="469"/>
      <c r="R1502" s="512" t="str">
        <f>R$1503</f>
        <v>DELETE</v>
      </c>
    </row>
    <row r="1503" spans="2:21" ht="31.5" customHeight="1" x14ac:dyDescent="0.45">
      <c r="B1503" s="563"/>
      <c r="C1503" s="450"/>
      <c r="M1503" s="548"/>
      <c r="N1503" s="491"/>
      <c r="O1503" s="548">
        <f>SUM(O1463:O1501)</f>
        <v>0</v>
      </c>
      <c r="P1503" s="634"/>
      <c r="Q1503" s="469"/>
      <c r="R1503" s="512" t="str">
        <f t="shared" ref="R1503" si="68">IF(O1503=0,"DELETE"," ")</f>
        <v>DELETE</v>
      </c>
      <c r="U1503" s="513" t="b">
        <f>O1503=O1441</f>
        <v>1</v>
      </c>
    </row>
    <row r="1504" spans="2:21" ht="9" customHeight="1" thickBot="1" x14ac:dyDescent="0.5">
      <c r="B1504" s="563"/>
      <c r="C1504" s="450"/>
      <c r="M1504" s="548"/>
      <c r="N1504" s="491"/>
      <c r="O1504" s="536"/>
      <c r="P1504" s="634"/>
      <c r="Q1504" s="469"/>
      <c r="R1504" s="512" t="str">
        <f t="shared" ref="R1504:R1508" si="69">R$1503</f>
        <v>DELETE</v>
      </c>
    </row>
    <row r="1505" spans="2:18" ht="9" customHeight="1" thickTop="1" x14ac:dyDescent="0.45">
      <c r="B1505" s="563"/>
      <c r="C1505" s="450"/>
      <c r="M1505" s="548"/>
      <c r="N1505" s="491"/>
      <c r="O1505" s="548"/>
      <c r="P1505" s="634"/>
      <c r="Q1505" s="469"/>
      <c r="R1505" s="512" t="str">
        <f t="shared" si="69"/>
        <v>DELETE</v>
      </c>
    </row>
    <row r="1506" spans="2:18" ht="31.5" customHeight="1" x14ac:dyDescent="0.45">
      <c r="B1506" s="563"/>
      <c r="C1506" s="450"/>
      <c r="M1506" s="548"/>
      <c r="N1506" s="491"/>
      <c r="O1506" s="548"/>
      <c r="P1506" s="634"/>
      <c r="Q1506" s="469"/>
      <c r="R1506" s="512" t="str">
        <f t="shared" si="69"/>
        <v>DELETE</v>
      </c>
    </row>
    <row r="1507" spans="2:18" ht="31.5" customHeight="1" x14ac:dyDescent="0.45">
      <c r="B1507" s="564"/>
      <c r="C1507" s="502"/>
      <c r="D1507" s="461"/>
      <c r="E1507" s="461"/>
      <c r="F1507" s="461"/>
      <c r="G1507" s="461"/>
      <c r="H1507" s="461"/>
      <c r="I1507" s="461"/>
      <c r="J1507" s="461"/>
      <c r="K1507" s="461"/>
      <c r="L1507" s="461"/>
      <c r="M1507" s="535"/>
      <c r="N1507" s="473"/>
      <c r="O1507" s="535"/>
      <c r="P1507" s="631"/>
      <c r="Q1507" s="479"/>
      <c r="R1507" s="512" t="str">
        <f t="shared" si="69"/>
        <v>DELETE</v>
      </c>
    </row>
    <row r="1508" spans="2:18" ht="31.5" customHeight="1" x14ac:dyDescent="0.45">
      <c r="B1508" s="526"/>
      <c r="C1508" s="450"/>
      <c r="M1508" s="531"/>
      <c r="N1508" s="470"/>
      <c r="O1508" s="531"/>
      <c r="R1508" s="512" t="str">
        <f t="shared" si="69"/>
        <v>DELETE</v>
      </c>
    </row>
    <row r="1509" spans="2:18" ht="31.5" customHeight="1" x14ac:dyDescent="0.45">
      <c r="D1509" s="450"/>
      <c r="R1509" s="512" t="str">
        <f t="shared" ref="R1509:R1516" si="70">R$1517</f>
        <v>DELETE</v>
      </c>
    </row>
    <row r="1510" spans="2:18" ht="31.5" customHeight="1" x14ac:dyDescent="0.45">
      <c r="D1510" s="450" t="str">
        <f>Criteria!E9</f>
        <v>ABC COMPANY (PROPRIETARY) LIMITED</v>
      </c>
      <c r="O1510" s="529" t="s">
        <v>121</v>
      </c>
      <c r="Q1510" s="451">
        <f>MAX($Q$114:Q1509)+1</f>
        <v>34</v>
      </c>
      <c r="R1510" s="512" t="str">
        <f t="shared" si="70"/>
        <v>DELETE</v>
      </c>
    </row>
    <row r="1511" spans="2:18" ht="31.5" customHeight="1" x14ac:dyDescent="0.45">
      <c r="D1511" s="450" t="str">
        <f>Criteria!E10</f>
        <v>T/A SEAFRONT HOTEL, SEAFRONT RESTAURANT AND RENTAL PROPERTIES</v>
      </c>
      <c r="R1511" s="512" t="str">
        <f>IF(R$1517="DELETE","DELETE",IF(D1511=0,"DELETE"," "))</f>
        <v>DELETE</v>
      </c>
    </row>
    <row r="1512" spans="2:18" ht="31.5" customHeight="1" x14ac:dyDescent="0.45">
      <c r="R1512" s="512" t="str">
        <f t="shared" si="70"/>
        <v>DELETE</v>
      </c>
    </row>
    <row r="1513" spans="2:18" ht="31.5" customHeight="1" x14ac:dyDescent="0.45">
      <c r="D1513" s="450" t="s">
        <v>451</v>
      </c>
      <c r="R1513" s="512" t="str">
        <f t="shared" si="70"/>
        <v>DELETE</v>
      </c>
    </row>
    <row r="1514" spans="2:18" ht="31.5" customHeight="1" x14ac:dyDescent="0.45">
      <c r="D1514" s="450" t="str">
        <f>Criteria!E20</f>
        <v>29 FEBRUARY 2024</v>
      </c>
      <c r="J1514" s="449" t="s">
        <v>303</v>
      </c>
      <c r="R1514" s="512" t="str">
        <f t="shared" si="70"/>
        <v>DELETE</v>
      </c>
    </row>
    <row r="1515" spans="2:18" ht="31.5" customHeight="1" x14ac:dyDescent="0.45">
      <c r="R1515" s="512" t="str">
        <f t="shared" si="70"/>
        <v>DELETE</v>
      </c>
    </row>
    <row r="1516" spans="2:18" ht="31.5" customHeight="1" x14ac:dyDescent="0.45">
      <c r="B1516" s="465"/>
      <c r="C1516" s="466"/>
      <c r="D1516" s="466"/>
      <c r="E1516" s="466"/>
      <c r="F1516" s="466"/>
      <c r="G1516" s="466"/>
      <c r="H1516" s="466"/>
      <c r="I1516" s="466"/>
      <c r="J1516" s="466"/>
      <c r="K1516" s="466"/>
      <c r="L1516" s="466"/>
      <c r="M1516" s="642"/>
      <c r="N1516" s="643"/>
      <c r="O1516" s="642"/>
      <c r="P1516" s="643"/>
      <c r="Q1516" s="467"/>
      <c r="R1516" s="512" t="str">
        <f t="shared" si="70"/>
        <v>DELETE</v>
      </c>
    </row>
    <row r="1517" spans="2:18" ht="31.5" customHeight="1" x14ac:dyDescent="0.45">
      <c r="B1517" s="563">
        <f>MAX($B$804:B1516)+1</f>
        <v>9</v>
      </c>
      <c r="C1517" s="450" t="s">
        <v>208</v>
      </c>
      <c r="M1517" s="633"/>
      <c r="N1517" s="634"/>
      <c r="O1517" s="633"/>
      <c r="P1517" s="634"/>
      <c r="Q1517" s="469"/>
      <c r="R1517" s="512" t="str">
        <f>IF(O1525+O1529+O1547=0,"DELETE"," ")</f>
        <v>DELETE</v>
      </c>
    </row>
    <row r="1518" spans="2:18" ht="31.5" customHeight="1" x14ac:dyDescent="0.45">
      <c r="B1518" s="563"/>
      <c r="C1518" s="449">
        <f>B1517+0.1</f>
        <v>9.1</v>
      </c>
      <c r="D1518" s="449" t="s">
        <v>1434</v>
      </c>
      <c r="M1518" s="633"/>
      <c r="N1518" s="634"/>
      <c r="O1518" s="633"/>
      <c r="P1518" s="634"/>
      <c r="Q1518" s="469"/>
      <c r="R1518" s="512" t="str">
        <f t="shared" ref="R1518:R1551" si="71">R$1517</f>
        <v>DELETE</v>
      </c>
    </row>
    <row r="1519" spans="2:18" ht="31.5" customHeight="1" x14ac:dyDescent="0.45">
      <c r="B1519" s="563"/>
      <c r="C1519" s="452"/>
      <c r="D1519" s="452"/>
      <c r="G1519" s="634"/>
      <c r="H1519" s="591" t="str">
        <f>Criteria!G220</f>
        <v>Plant and</v>
      </c>
      <c r="I1519" s="591"/>
      <c r="J1519" s="591" t="str">
        <f>Criteria!H220</f>
        <v>Motor</v>
      </c>
      <c r="K1519" s="591" t="str">
        <f>Criteria!I220</f>
        <v>Electronic</v>
      </c>
      <c r="L1519" s="591"/>
      <c r="M1519" s="593" t="str">
        <f>Criteria!J220</f>
        <v>Furniture and</v>
      </c>
      <c r="N1519" s="591"/>
      <c r="O1519" s="593" t="s">
        <v>456</v>
      </c>
      <c r="P1519" s="591"/>
      <c r="Q1519" s="469"/>
      <c r="R1519" s="512" t="str">
        <f t="shared" si="71"/>
        <v>DELETE</v>
      </c>
    </row>
    <row r="1520" spans="2:18" ht="33" customHeight="1" x14ac:dyDescent="0.45">
      <c r="B1520" s="563"/>
      <c r="G1520" s="634"/>
      <c r="H1520" s="591" t="str">
        <f>Criteria!G221</f>
        <v>equipment</v>
      </c>
      <c r="I1520" s="591"/>
      <c r="J1520" s="591" t="str">
        <f>Criteria!H221</f>
        <v>vehicles</v>
      </c>
      <c r="K1520" s="591" t="str">
        <f>Criteria!I221</f>
        <v>equipment</v>
      </c>
      <c r="L1520" s="591"/>
      <c r="M1520" s="593" t="str">
        <f>Criteria!J221</f>
        <v>fittings</v>
      </c>
      <c r="N1520" s="591"/>
      <c r="O1520" s="593"/>
      <c r="P1520" s="591"/>
      <c r="Q1520" s="469"/>
      <c r="R1520" s="512" t="str">
        <f t="shared" si="71"/>
        <v>DELETE</v>
      </c>
    </row>
    <row r="1521" spans="2:21" ht="31.5" customHeight="1" x14ac:dyDescent="0.45">
      <c r="B1521" s="563"/>
      <c r="D1521" s="570" t="s">
        <v>239</v>
      </c>
      <c r="G1521" s="668">
        <f>Criteria!G21</f>
        <v>44985</v>
      </c>
      <c r="H1521" s="594">
        <f>H1525-H1526</f>
        <v>0</v>
      </c>
      <c r="I1521" s="594"/>
      <c r="J1521" s="594">
        <f>J1525-J1526</f>
        <v>0</v>
      </c>
      <c r="K1521" s="594">
        <f>K1525-K1526</f>
        <v>0</v>
      </c>
      <c r="L1521" s="594"/>
      <c r="M1521" s="594">
        <f>M1525-M1526</f>
        <v>0</v>
      </c>
      <c r="N1521" s="594"/>
      <c r="O1521" s="594">
        <f>O1525-O1526</f>
        <v>0</v>
      </c>
      <c r="P1521" s="591"/>
      <c r="Q1521" s="469"/>
      <c r="R1521" s="512" t="str">
        <f t="shared" si="71"/>
        <v>DELETE</v>
      </c>
      <c r="U1521" s="513" t="b">
        <f>O1521=SUM(H1521:N1521)</f>
        <v>1</v>
      </c>
    </row>
    <row r="1522" spans="2:21" ht="9" customHeight="1" thickBot="1" x14ac:dyDescent="0.5">
      <c r="B1522" s="563"/>
      <c r="D1522" s="570"/>
      <c r="G1522" s="669"/>
      <c r="H1522" s="580"/>
      <c r="I1522" s="580"/>
      <c r="J1522" s="580"/>
      <c r="K1522" s="580"/>
      <c r="L1522" s="580"/>
      <c r="M1522" s="580"/>
      <c r="N1522" s="580"/>
      <c r="O1522" s="580"/>
      <c r="P1522" s="591"/>
      <c r="Q1522" s="469"/>
      <c r="R1522" s="512" t="str">
        <f t="shared" si="71"/>
        <v>DELETE</v>
      </c>
    </row>
    <row r="1523" spans="2:21" ht="9" customHeight="1" thickTop="1" x14ac:dyDescent="0.45">
      <c r="B1523" s="563"/>
      <c r="D1523" s="570"/>
      <c r="G1523" s="669"/>
      <c r="H1523" s="581"/>
      <c r="I1523" s="581"/>
      <c r="J1523" s="581"/>
      <c r="K1523" s="581"/>
      <c r="L1523" s="581"/>
      <c r="M1523" s="581"/>
      <c r="N1523" s="581"/>
      <c r="O1523" s="581"/>
      <c r="P1523" s="591"/>
      <c r="Q1523" s="469"/>
      <c r="R1523" s="512" t="str">
        <f t="shared" si="71"/>
        <v>DELETE</v>
      </c>
    </row>
    <row r="1524" spans="2:21" ht="9" customHeight="1" x14ac:dyDescent="0.45">
      <c r="B1524" s="563"/>
      <c r="D1524" s="570"/>
      <c r="G1524" s="669"/>
      <c r="H1524" s="572"/>
      <c r="I1524" s="573"/>
      <c r="J1524" s="573"/>
      <c r="K1524" s="573"/>
      <c r="L1524" s="573"/>
      <c r="M1524" s="573"/>
      <c r="N1524" s="573"/>
      <c r="O1524" s="574"/>
      <c r="P1524" s="591"/>
      <c r="Q1524" s="469"/>
      <c r="R1524" s="512" t="str">
        <f t="shared" si="71"/>
        <v>DELETE</v>
      </c>
    </row>
    <row r="1525" spans="2:21" ht="31.5" customHeight="1" x14ac:dyDescent="0.45">
      <c r="B1525" s="563"/>
      <c r="D1525" s="570" t="s">
        <v>457</v>
      </c>
      <c r="G1525" s="634"/>
      <c r="H1525" s="575">
        <f>TrialBalance!L251</f>
        <v>0</v>
      </c>
      <c r="I1525" s="581"/>
      <c r="J1525" s="581">
        <f>TrialBalance!L259</f>
        <v>0</v>
      </c>
      <c r="K1525" s="581">
        <f>TrialBalance!L267</f>
        <v>0</v>
      </c>
      <c r="L1525" s="581"/>
      <c r="M1525" s="581">
        <f>TrialBalance!L275</f>
        <v>0</v>
      </c>
      <c r="N1525" s="581"/>
      <c r="O1525" s="576">
        <f>SUM(H1525:M1525)</f>
        <v>0</v>
      </c>
      <c r="P1525" s="591"/>
      <c r="Q1525" s="469"/>
      <c r="R1525" s="512" t="str">
        <f t="shared" si="71"/>
        <v>DELETE</v>
      </c>
    </row>
    <row r="1526" spans="2:21" ht="31.5" customHeight="1" x14ac:dyDescent="0.45">
      <c r="B1526" s="563"/>
      <c r="D1526" s="570" t="s">
        <v>649</v>
      </c>
      <c r="G1526" s="634"/>
      <c r="H1526" s="575">
        <f>-TrialBalance!L255</f>
        <v>0</v>
      </c>
      <c r="I1526" s="581"/>
      <c r="J1526" s="581">
        <f>-TrialBalance!L263</f>
        <v>0</v>
      </c>
      <c r="K1526" s="581">
        <f>-TrialBalance!L271</f>
        <v>0</v>
      </c>
      <c r="L1526" s="581"/>
      <c r="M1526" s="581">
        <f>-TrialBalance!L279</f>
        <v>0</v>
      </c>
      <c r="N1526" s="581"/>
      <c r="O1526" s="576">
        <f>SUM(H1526:M1526)</f>
        <v>0</v>
      </c>
      <c r="P1526" s="591"/>
      <c r="Q1526" s="469"/>
      <c r="R1526" s="512" t="str">
        <f t="shared" si="71"/>
        <v>DELETE</v>
      </c>
    </row>
    <row r="1527" spans="2:21" ht="9" customHeight="1" x14ac:dyDescent="0.45">
      <c r="B1527" s="563"/>
      <c r="D1527" s="570"/>
      <c r="G1527" s="634"/>
      <c r="H1527" s="577"/>
      <c r="I1527" s="569"/>
      <c r="J1527" s="569"/>
      <c r="K1527" s="569"/>
      <c r="L1527" s="569"/>
      <c r="M1527" s="569"/>
      <c r="N1527" s="569"/>
      <c r="O1527" s="578"/>
      <c r="P1527" s="591"/>
      <c r="Q1527" s="469"/>
      <c r="R1527" s="512" t="str">
        <f t="shared" si="71"/>
        <v>DELETE</v>
      </c>
    </row>
    <row r="1528" spans="2:21" ht="9" customHeight="1" x14ac:dyDescent="0.45">
      <c r="B1528" s="563"/>
      <c r="D1528" s="570"/>
      <c r="G1528" s="634"/>
      <c r="H1528" s="581"/>
      <c r="I1528" s="581"/>
      <c r="J1528" s="581"/>
      <c r="K1528" s="581"/>
      <c r="L1528" s="581"/>
      <c r="M1528" s="581"/>
      <c r="N1528" s="581"/>
      <c r="O1528" s="581"/>
      <c r="P1528" s="591"/>
      <c r="Q1528" s="469"/>
      <c r="R1528" s="512" t="str">
        <f t="shared" si="71"/>
        <v>DELETE</v>
      </c>
    </row>
    <row r="1529" spans="2:21" ht="31.5" customHeight="1" x14ac:dyDescent="0.45">
      <c r="B1529" s="563"/>
      <c r="D1529" s="570" t="s">
        <v>458</v>
      </c>
      <c r="G1529" s="634"/>
      <c r="H1529" s="581">
        <f>TrialBalance!L252</f>
        <v>0</v>
      </c>
      <c r="I1529" s="581"/>
      <c r="J1529" s="581">
        <f>TrialBalance!L260</f>
        <v>0</v>
      </c>
      <c r="K1529" s="581">
        <f>TrialBalance!L268</f>
        <v>0</v>
      </c>
      <c r="L1529" s="581"/>
      <c r="M1529" s="581">
        <f>+TrialBalance!L276</f>
        <v>0</v>
      </c>
      <c r="N1529" s="581"/>
      <c r="O1529" s="581">
        <f>SUM(H1529:M1529)</f>
        <v>0</v>
      </c>
      <c r="P1529" s="591"/>
      <c r="Q1529" s="469"/>
      <c r="R1529" s="512" t="str">
        <f t="shared" si="71"/>
        <v>DELETE</v>
      </c>
    </row>
    <row r="1530" spans="2:21" ht="9" customHeight="1" x14ac:dyDescent="0.45">
      <c r="B1530" s="563"/>
      <c r="D1530" s="570"/>
      <c r="G1530" s="634"/>
      <c r="H1530" s="569"/>
      <c r="I1530" s="569"/>
      <c r="J1530" s="569"/>
      <c r="K1530" s="569"/>
      <c r="L1530" s="569"/>
      <c r="M1530" s="569"/>
      <c r="N1530" s="569"/>
      <c r="O1530" s="569"/>
      <c r="P1530" s="591"/>
      <c r="Q1530" s="469"/>
      <c r="R1530" s="512" t="str">
        <f t="shared" si="71"/>
        <v>DELETE</v>
      </c>
    </row>
    <row r="1531" spans="2:21" ht="9" customHeight="1" x14ac:dyDescent="0.45">
      <c r="B1531" s="563"/>
      <c r="D1531" s="570"/>
      <c r="G1531" s="634"/>
      <c r="H1531" s="581"/>
      <c r="I1531" s="581"/>
      <c r="J1531" s="581"/>
      <c r="K1531" s="581"/>
      <c r="L1531" s="581"/>
      <c r="M1531" s="581"/>
      <c r="N1531" s="581"/>
      <c r="O1531" s="581"/>
      <c r="P1531" s="591"/>
      <c r="Q1531" s="469"/>
      <c r="R1531" s="512" t="str">
        <f t="shared" si="71"/>
        <v>DELETE</v>
      </c>
    </row>
    <row r="1532" spans="2:21" ht="31.5" customHeight="1" x14ac:dyDescent="0.45">
      <c r="B1532" s="563"/>
      <c r="D1532" s="570"/>
      <c r="G1532" s="634"/>
      <c r="H1532" s="581">
        <f>+H1521+H1529</f>
        <v>0</v>
      </c>
      <c r="I1532" s="581"/>
      <c r="J1532" s="581">
        <f>+J1521+J1529</f>
        <v>0</v>
      </c>
      <c r="K1532" s="581">
        <f>+K1521+K1529</f>
        <v>0</v>
      </c>
      <c r="L1532" s="581"/>
      <c r="M1532" s="581">
        <f>+M1521+M1529</f>
        <v>0</v>
      </c>
      <c r="N1532" s="581"/>
      <c r="O1532" s="581">
        <f>+O1521+O1529</f>
        <v>0</v>
      </c>
      <c r="P1532" s="591"/>
      <c r="Q1532" s="469"/>
      <c r="R1532" s="512" t="str">
        <f t="shared" si="71"/>
        <v>DELETE</v>
      </c>
    </row>
    <row r="1533" spans="2:21" ht="31.5" customHeight="1" x14ac:dyDescent="0.45">
      <c r="B1533" s="563"/>
      <c r="D1533" s="570" t="s">
        <v>196</v>
      </c>
      <c r="G1533" s="634"/>
      <c r="H1533" s="581">
        <f>H1536-H1537</f>
        <v>0</v>
      </c>
      <c r="I1533" s="581"/>
      <c r="J1533" s="581">
        <f>J1536-J1537</f>
        <v>0</v>
      </c>
      <c r="K1533" s="581">
        <f>K1536-K1537</f>
        <v>0</v>
      </c>
      <c r="L1533" s="581"/>
      <c r="M1533" s="581">
        <f>M1536-M1537</f>
        <v>0</v>
      </c>
      <c r="N1533" s="581"/>
      <c r="O1533" s="581">
        <f>O1536-O1537</f>
        <v>0</v>
      </c>
      <c r="P1533" s="591"/>
      <c r="Q1533" s="469"/>
      <c r="R1533" s="512" t="str">
        <f t="shared" si="71"/>
        <v>DELETE</v>
      </c>
    </row>
    <row r="1534" spans="2:21" ht="9" customHeight="1" x14ac:dyDescent="0.45">
      <c r="B1534" s="563"/>
      <c r="D1534" s="570"/>
      <c r="G1534" s="634"/>
      <c r="H1534" s="581"/>
      <c r="I1534" s="581"/>
      <c r="J1534" s="581"/>
      <c r="K1534" s="581"/>
      <c r="L1534" s="581"/>
      <c r="M1534" s="581"/>
      <c r="N1534" s="581"/>
      <c r="O1534" s="581"/>
      <c r="P1534" s="591"/>
      <c r="Q1534" s="469"/>
      <c r="R1534" s="512" t="str">
        <f t="shared" si="71"/>
        <v>DELETE</v>
      </c>
    </row>
    <row r="1535" spans="2:21" ht="9" customHeight="1" x14ac:dyDescent="0.45">
      <c r="B1535" s="563"/>
      <c r="D1535" s="570"/>
      <c r="G1535" s="634"/>
      <c r="H1535" s="572"/>
      <c r="I1535" s="573"/>
      <c r="J1535" s="573"/>
      <c r="K1535" s="573"/>
      <c r="L1535" s="573"/>
      <c r="M1535" s="573"/>
      <c r="N1535" s="573"/>
      <c r="O1535" s="574"/>
      <c r="P1535" s="591"/>
      <c r="Q1535" s="469"/>
      <c r="R1535" s="512" t="str">
        <f t="shared" si="71"/>
        <v>DELETE</v>
      </c>
    </row>
    <row r="1536" spans="2:21" ht="31.5" customHeight="1" x14ac:dyDescent="0.45">
      <c r="B1536" s="563"/>
      <c r="D1536" s="570" t="s">
        <v>62</v>
      </c>
      <c r="G1536" s="634"/>
      <c r="H1536" s="575">
        <f>-TrialBalance!L253</f>
        <v>0</v>
      </c>
      <c r="I1536" s="581"/>
      <c r="J1536" s="581">
        <f>-TrialBalance!L261</f>
        <v>0</v>
      </c>
      <c r="K1536" s="581">
        <f>-TrialBalance!L269</f>
        <v>0</v>
      </c>
      <c r="L1536" s="581"/>
      <c r="M1536" s="581">
        <f>-TrialBalance!L277</f>
        <v>0</v>
      </c>
      <c r="N1536" s="581"/>
      <c r="O1536" s="576">
        <f>SUM(H1536:M1536)</f>
        <v>0</v>
      </c>
      <c r="P1536" s="591"/>
      <c r="Q1536" s="469"/>
      <c r="R1536" s="512" t="str">
        <f t="shared" si="71"/>
        <v>DELETE</v>
      </c>
    </row>
    <row r="1537" spans="2:21" ht="31.5" customHeight="1" x14ac:dyDescent="0.45">
      <c r="B1537" s="563"/>
      <c r="D1537" s="570" t="s">
        <v>650</v>
      </c>
      <c r="G1537" s="634"/>
      <c r="H1537" s="575">
        <f>TrialBalance!L257</f>
        <v>0</v>
      </c>
      <c r="I1537" s="581"/>
      <c r="J1537" s="581">
        <f>TrialBalance!L265</f>
        <v>0</v>
      </c>
      <c r="K1537" s="581">
        <f>TrialBalance!L273</f>
        <v>0</v>
      </c>
      <c r="L1537" s="581"/>
      <c r="M1537" s="581">
        <f>+TrialBalance!L281</f>
        <v>0</v>
      </c>
      <c r="N1537" s="581"/>
      <c r="O1537" s="576">
        <f>SUM(H1537:M1537)</f>
        <v>0</v>
      </c>
      <c r="P1537" s="591"/>
      <c r="Q1537" s="469"/>
      <c r="R1537" s="512" t="str">
        <f t="shared" si="71"/>
        <v>DELETE</v>
      </c>
    </row>
    <row r="1538" spans="2:21" ht="9" customHeight="1" x14ac:dyDescent="0.45">
      <c r="B1538" s="563"/>
      <c r="D1538" s="570"/>
      <c r="G1538" s="634"/>
      <c r="H1538" s="577"/>
      <c r="I1538" s="569"/>
      <c r="J1538" s="569"/>
      <c r="K1538" s="569"/>
      <c r="L1538" s="569"/>
      <c r="M1538" s="569"/>
      <c r="N1538" s="569"/>
      <c r="O1538" s="578"/>
      <c r="P1538" s="591"/>
      <c r="Q1538" s="469"/>
      <c r="R1538" s="512" t="str">
        <f t="shared" si="71"/>
        <v>DELETE</v>
      </c>
    </row>
    <row r="1539" spans="2:21" ht="9" customHeight="1" x14ac:dyDescent="0.45">
      <c r="B1539" s="563"/>
      <c r="D1539" s="570"/>
      <c r="G1539" s="634"/>
      <c r="H1539" s="581"/>
      <c r="I1539" s="581"/>
      <c r="J1539" s="581"/>
      <c r="K1539" s="581"/>
      <c r="L1539" s="581"/>
      <c r="M1539" s="581"/>
      <c r="N1539" s="581"/>
      <c r="O1539" s="581"/>
      <c r="P1539" s="591"/>
      <c r="Q1539" s="469"/>
      <c r="R1539" s="512" t="str">
        <f t="shared" si="71"/>
        <v>DELETE</v>
      </c>
    </row>
    <row r="1540" spans="2:21" ht="31.5" customHeight="1" x14ac:dyDescent="0.45">
      <c r="B1540" s="563"/>
      <c r="D1540" s="570" t="s">
        <v>446</v>
      </c>
      <c r="G1540" s="634"/>
      <c r="H1540" s="581">
        <f>TrialBalance!L256</f>
        <v>0</v>
      </c>
      <c r="I1540" s="581"/>
      <c r="J1540" s="581">
        <f>TrialBalance!L264</f>
        <v>0</v>
      </c>
      <c r="K1540" s="581">
        <f>TrialBalance!L272</f>
        <v>0</v>
      </c>
      <c r="L1540" s="581"/>
      <c r="M1540" s="581">
        <f>+TrialBalance!L280</f>
        <v>0</v>
      </c>
      <c r="N1540" s="581"/>
      <c r="O1540" s="581">
        <f>SUM(H1540:M1540)</f>
        <v>0</v>
      </c>
      <c r="P1540" s="591"/>
      <c r="Q1540" s="469"/>
      <c r="R1540" s="512" t="str">
        <f t="shared" si="71"/>
        <v>DELETE</v>
      </c>
    </row>
    <row r="1541" spans="2:21" ht="9" customHeight="1" x14ac:dyDescent="0.45">
      <c r="B1541" s="563"/>
      <c r="D1541" s="570"/>
      <c r="G1541" s="634"/>
      <c r="H1541" s="569"/>
      <c r="I1541" s="569"/>
      <c r="J1541" s="569"/>
      <c r="K1541" s="569"/>
      <c r="L1541" s="569"/>
      <c r="M1541" s="569"/>
      <c r="N1541" s="569"/>
      <c r="O1541" s="569"/>
      <c r="P1541" s="591"/>
      <c r="Q1541" s="469"/>
      <c r="R1541" s="512" t="str">
        <f t="shared" si="71"/>
        <v>DELETE</v>
      </c>
    </row>
    <row r="1542" spans="2:21" ht="9" customHeight="1" x14ac:dyDescent="0.45">
      <c r="B1542" s="563"/>
      <c r="D1542" s="570"/>
      <c r="G1542" s="634"/>
      <c r="H1542" s="581"/>
      <c r="I1542" s="581"/>
      <c r="J1542" s="581"/>
      <c r="K1542" s="581"/>
      <c r="L1542" s="581"/>
      <c r="M1542" s="581"/>
      <c r="N1542" s="581"/>
      <c r="O1542" s="581"/>
      <c r="P1542" s="591"/>
      <c r="Q1542" s="469"/>
      <c r="R1542" s="512" t="str">
        <f t="shared" si="71"/>
        <v>DELETE</v>
      </c>
    </row>
    <row r="1543" spans="2:21" ht="31.5" customHeight="1" x14ac:dyDescent="0.45">
      <c r="B1543" s="563"/>
      <c r="D1543" s="570" t="s">
        <v>239</v>
      </c>
      <c r="G1543" s="668">
        <f>Criteria!G20</f>
        <v>45351</v>
      </c>
      <c r="H1543" s="594">
        <f>+H1521+H1529-H1533+H1540</f>
        <v>0</v>
      </c>
      <c r="I1543" s="594"/>
      <c r="J1543" s="594">
        <f>+J1521+J1529-J1533+J1540</f>
        <v>0</v>
      </c>
      <c r="K1543" s="594">
        <f>+K1521+K1529-K1533+K1540</f>
        <v>0</v>
      </c>
      <c r="L1543" s="594"/>
      <c r="M1543" s="594">
        <f>+M1521+M1529-M1533+M1540</f>
        <v>0</v>
      </c>
      <c r="N1543" s="594"/>
      <c r="O1543" s="594">
        <f>+O1521+O1529-O1533+O1540</f>
        <v>0</v>
      </c>
      <c r="P1543" s="595"/>
      <c r="Q1543" s="469"/>
      <c r="R1543" s="512" t="str">
        <f t="shared" si="71"/>
        <v>DELETE</v>
      </c>
      <c r="U1543" s="513" t="b">
        <f>O1543=SUM(H1543:N1543)</f>
        <v>1</v>
      </c>
    </row>
    <row r="1544" spans="2:21" ht="9" customHeight="1" thickBot="1" x14ac:dyDescent="0.5">
      <c r="B1544" s="563"/>
      <c r="D1544" s="570"/>
      <c r="G1544" s="669"/>
      <c r="H1544" s="580"/>
      <c r="I1544" s="580"/>
      <c r="J1544" s="580"/>
      <c r="K1544" s="580"/>
      <c r="L1544" s="580"/>
      <c r="M1544" s="580"/>
      <c r="N1544" s="580"/>
      <c r="O1544" s="580"/>
      <c r="P1544" s="591"/>
      <c r="Q1544" s="469"/>
      <c r="R1544" s="512" t="str">
        <f t="shared" si="71"/>
        <v>DELETE</v>
      </c>
    </row>
    <row r="1545" spans="2:21" ht="9" customHeight="1" thickTop="1" x14ac:dyDescent="0.45">
      <c r="B1545" s="563"/>
      <c r="D1545" s="570"/>
      <c r="G1545" s="669"/>
      <c r="H1545" s="581"/>
      <c r="I1545" s="581"/>
      <c r="J1545" s="581"/>
      <c r="K1545" s="581"/>
      <c r="L1545" s="581"/>
      <c r="M1545" s="581"/>
      <c r="N1545" s="581"/>
      <c r="O1545" s="581"/>
      <c r="P1545" s="591"/>
      <c r="Q1545" s="469"/>
      <c r="R1545" s="512" t="str">
        <f t="shared" si="71"/>
        <v>DELETE</v>
      </c>
    </row>
    <row r="1546" spans="2:21" ht="9" customHeight="1" x14ac:dyDescent="0.45">
      <c r="B1546" s="563"/>
      <c r="D1546" s="570"/>
      <c r="G1546" s="669"/>
      <c r="H1546" s="572"/>
      <c r="I1546" s="573"/>
      <c r="J1546" s="573"/>
      <c r="K1546" s="573"/>
      <c r="L1546" s="573"/>
      <c r="M1546" s="573"/>
      <c r="N1546" s="573"/>
      <c r="O1546" s="574"/>
      <c r="P1546" s="591"/>
      <c r="Q1546" s="469"/>
      <c r="R1546" s="512" t="str">
        <f t="shared" si="71"/>
        <v>DELETE</v>
      </c>
    </row>
    <row r="1547" spans="2:21" ht="31.5" customHeight="1" x14ac:dyDescent="0.45">
      <c r="B1547" s="563"/>
      <c r="D1547" s="570" t="s">
        <v>457</v>
      </c>
      <c r="G1547" s="634"/>
      <c r="H1547" s="575">
        <f>H1525+H1529-H1536</f>
        <v>0</v>
      </c>
      <c r="I1547" s="581"/>
      <c r="J1547" s="581">
        <f>J1525+J1529-J1536</f>
        <v>0</v>
      </c>
      <c r="K1547" s="581">
        <f>K1525+K1529-K1536</f>
        <v>0</v>
      </c>
      <c r="L1547" s="581"/>
      <c r="M1547" s="581">
        <f>M1525+M1529-M1536</f>
        <v>0</v>
      </c>
      <c r="N1547" s="581"/>
      <c r="O1547" s="576">
        <f>O1525+O1529-O1536</f>
        <v>0</v>
      </c>
      <c r="P1547" s="591"/>
      <c r="Q1547" s="469"/>
      <c r="R1547" s="512" t="str">
        <f t="shared" si="71"/>
        <v>DELETE</v>
      </c>
      <c r="U1547" s="513" t="b">
        <f>O1547=SUM(H1547:N1547)</f>
        <v>1</v>
      </c>
    </row>
    <row r="1548" spans="2:21" ht="31.5" customHeight="1" x14ac:dyDescent="0.45">
      <c r="B1548" s="563"/>
      <c r="D1548" s="570" t="s">
        <v>649</v>
      </c>
      <c r="G1548" s="634"/>
      <c r="H1548" s="575">
        <f>H1526-H1537-H1540</f>
        <v>0</v>
      </c>
      <c r="I1548" s="581"/>
      <c r="J1548" s="581">
        <f>J1526-J1537-J1540</f>
        <v>0</v>
      </c>
      <c r="K1548" s="581">
        <f>K1526-K1537-K1540</f>
        <v>0</v>
      </c>
      <c r="L1548" s="581"/>
      <c r="M1548" s="581">
        <f>M1526-M1537-M1540</f>
        <v>0</v>
      </c>
      <c r="N1548" s="581"/>
      <c r="O1548" s="576">
        <f>O1526-O1537-O1540</f>
        <v>0</v>
      </c>
      <c r="P1548" s="591"/>
      <c r="Q1548" s="469"/>
      <c r="R1548" s="512" t="str">
        <f t="shared" si="71"/>
        <v>DELETE</v>
      </c>
      <c r="U1548" s="513" t="b">
        <f>O1548=SUM(H1548:N1548)</f>
        <v>1</v>
      </c>
    </row>
    <row r="1549" spans="2:21" ht="9" customHeight="1" x14ac:dyDescent="0.45">
      <c r="B1549" s="563"/>
      <c r="G1549" s="634"/>
      <c r="H1549" s="472"/>
      <c r="I1549" s="473"/>
      <c r="J1549" s="473"/>
      <c r="K1549" s="473"/>
      <c r="L1549" s="473"/>
      <c r="M1549" s="535"/>
      <c r="N1549" s="473"/>
      <c r="O1549" s="554"/>
      <c r="P1549" s="591"/>
      <c r="Q1549" s="469"/>
      <c r="R1549" s="512" t="str">
        <f t="shared" si="71"/>
        <v>DELETE</v>
      </c>
    </row>
    <row r="1550" spans="2:21" ht="9" customHeight="1" x14ac:dyDescent="0.45">
      <c r="B1550" s="563"/>
      <c r="G1550" s="634"/>
      <c r="H1550" s="491"/>
      <c r="I1550" s="491"/>
      <c r="J1550" s="491"/>
      <c r="K1550" s="491"/>
      <c r="L1550" s="491"/>
      <c r="M1550" s="548"/>
      <c r="N1550" s="491"/>
      <c r="O1550" s="548"/>
      <c r="P1550" s="591"/>
      <c r="Q1550" s="469"/>
      <c r="R1550" s="512" t="str">
        <f t="shared" si="71"/>
        <v>DELETE</v>
      </c>
    </row>
    <row r="1551" spans="2:21" ht="31.5" customHeight="1" x14ac:dyDescent="0.45">
      <c r="B1551" s="563"/>
      <c r="H1551" s="464"/>
      <c r="I1551" s="464"/>
      <c r="J1551" s="464"/>
      <c r="K1551" s="464"/>
      <c r="L1551" s="464"/>
      <c r="M1551" s="639"/>
      <c r="N1551" s="647"/>
      <c r="O1551" s="639"/>
      <c r="P1551" s="634"/>
      <c r="Q1551" s="469"/>
      <c r="R1551" s="512" t="str">
        <f t="shared" si="71"/>
        <v>DELETE</v>
      </c>
      <c r="U1551" s="513" t="b">
        <f>O1543=O1547-O1548</f>
        <v>1</v>
      </c>
    </row>
    <row r="1552" spans="2:21" ht="31.5" customHeight="1" x14ac:dyDescent="0.45">
      <c r="B1552" s="563"/>
      <c r="H1552" s="464"/>
      <c r="I1552" s="464"/>
      <c r="J1552" s="464"/>
      <c r="K1552" s="464"/>
      <c r="L1552" s="464"/>
      <c r="M1552" s="639"/>
      <c r="N1552" s="647"/>
      <c r="O1552" s="639"/>
      <c r="P1552" s="634"/>
      <c r="Q1552" s="469"/>
      <c r="R1552" s="512" t="str">
        <f t="shared" ref="R1552:R1554" si="72">R$1517</f>
        <v>DELETE</v>
      </c>
    </row>
    <row r="1553" spans="2:18" ht="31.5" customHeight="1" x14ac:dyDescent="0.45">
      <c r="B1553" s="564"/>
      <c r="C1553" s="461"/>
      <c r="D1553" s="461"/>
      <c r="E1553" s="461"/>
      <c r="F1553" s="461"/>
      <c r="G1553" s="461"/>
      <c r="H1553" s="505"/>
      <c r="I1553" s="505"/>
      <c r="J1553" s="505"/>
      <c r="K1553" s="505"/>
      <c r="L1553" s="505"/>
      <c r="M1553" s="640"/>
      <c r="N1553" s="646"/>
      <c r="O1553" s="640"/>
      <c r="P1553" s="631"/>
      <c r="Q1553" s="479"/>
      <c r="R1553" s="512" t="str">
        <f t="shared" si="72"/>
        <v>DELETE</v>
      </c>
    </row>
    <row r="1554" spans="2:18" ht="31.5" customHeight="1" x14ac:dyDescent="0.45">
      <c r="B1554" s="526"/>
      <c r="H1554" s="464"/>
      <c r="I1554" s="464"/>
      <c r="J1554" s="464"/>
      <c r="K1554" s="464"/>
      <c r="L1554" s="464"/>
      <c r="M1554" s="635"/>
      <c r="N1554" s="621"/>
      <c r="O1554" s="635"/>
      <c r="R1554" s="512" t="str">
        <f t="shared" si="72"/>
        <v>DELETE</v>
      </c>
    </row>
    <row r="1555" spans="2:18" ht="31.5" customHeight="1" x14ac:dyDescent="0.45">
      <c r="B1555" s="526"/>
      <c r="H1555" s="464"/>
      <c r="I1555" s="464"/>
      <c r="J1555" s="464"/>
      <c r="K1555" s="464"/>
      <c r="L1555" s="464"/>
      <c r="M1555" s="635"/>
      <c r="N1555" s="621"/>
      <c r="O1555" s="635"/>
      <c r="R1555" s="512" t="str">
        <f>R$1563</f>
        <v>DELETE</v>
      </c>
    </row>
    <row r="1556" spans="2:18" ht="31.5" customHeight="1" x14ac:dyDescent="0.45">
      <c r="B1556" s="527"/>
      <c r="D1556" s="450" t="str">
        <f>Criteria!E9</f>
        <v>ABC COMPANY (PROPRIETARY) LIMITED</v>
      </c>
      <c r="O1556" s="529" t="s">
        <v>121</v>
      </c>
      <c r="Q1556" s="451">
        <f>MAX($Q$114:Q1555)+1</f>
        <v>35</v>
      </c>
      <c r="R1556" s="512" t="str">
        <f>R$1563</f>
        <v>DELETE</v>
      </c>
    </row>
    <row r="1557" spans="2:18" ht="31.5" customHeight="1" x14ac:dyDescent="0.45">
      <c r="B1557" s="527"/>
      <c r="D1557" s="450" t="str">
        <f>Criteria!E10</f>
        <v>T/A SEAFRONT HOTEL, SEAFRONT RESTAURANT AND RENTAL PROPERTIES</v>
      </c>
      <c r="R1557" s="512" t="str">
        <f>IF(R$1563="DELETE","DELETE",IF(D1557=0,"DELETE"," "))</f>
        <v>DELETE</v>
      </c>
    </row>
    <row r="1558" spans="2:18" ht="31.5" customHeight="1" x14ac:dyDescent="0.45">
      <c r="B1558" s="527"/>
      <c r="R1558" s="512" t="str">
        <f>R$1563</f>
        <v>DELETE</v>
      </c>
    </row>
    <row r="1559" spans="2:18" ht="31.5" customHeight="1" x14ac:dyDescent="0.45">
      <c r="B1559" s="527"/>
      <c r="D1559" s="450" t="s">
        <v>451</v>
      </c>
      <c r="R1559" s="512" t="str">
        <f>R$1563</f>
        <v>DELETE</v>
      </c>
    </row>
    <row r="1560" spans="2:18" ht="31.5" customHeight="1" x14ac:dyDescent="0.45">
      <c r="B1560" s="527"/>
      <c r="D1560" s="450" t="str">
        <f>Criteria!E20</f>
        <v>29 FEBRUARY 2024</v>
      </c>
      <c r="J1560" s="449" t="s">
        <v>303</v>
      </c>
      <c r="R1560" s="512" t="str">
        <f>R$1563</f>
        <v>DELETE</v>
      </c>
    </row>
    <row r="1561" spans="2:18" ht="31.5" customHeight="1" x14ac:dyDescent="0.45">
      <c r="B1561" s="527"/>
      <c r="D1561" s="450"/>
      <c r="R1561" s="512" t="str">
        <f>R$1563</f>
        <v>DELETE</v>
      </c>
    </row>
    <row r="1562" spans="2:18" ht="31.5" customHeight="1" x14ac:dyDescent="0.45">
      <c r="B1562" s="565"/>
      <c r="C1562" s="466"/>
      <c r="D1562" s="466"/>
      <c r="E1562" s="466"/>
      <c r="F1562" s="466"/>
      <c r="G1562" s="466"/>
      <c r="H1562" s="507"/>
      <c r="I1562" s="507"/>
      <c r="J1562" s="507"/>
      <c r="K1562" s="507"/>
      <c r="L1562" s="507"/>
      <c r="M1562" s="648"/>
      <c r="N1562" s="649"/>
      <c r="O1562" s="648"/>
      <c r="P1562" s="643"/>
      <c r="Q1562" s="467"/>
      <c r="R1562" s="512" t="str">
        <f>R$1563</f>
        <v>DELETE</v>
      </c>
    </row>
    <row r="1563" spans="2:18" ht="31.5" customHeight="1" x14ac:dyDescent="0.45">
      <c r="B1563" s="563"/>
      <c r="C1563" s="449">
        <f>MAX(C1518:C1562)+0.1</f>
        <v>9.1999999999999993</v>
      </c>
      <c r="D1563" s="449" t="s">
        <v>1435</v>
      </c>
      <c r="M1563" s="633"/>
      <c r="N1563" s="634"/>
      <c r="O1563" s="633"/>
      <c r="P1563" s="634"/>
      <c r="Q1563" s="469"/>
      <c r="R1563" s="512" t="str">
        <f>IF(Criteria!J228+Criteria!J235=0,"DELETE"," ")</f>
        <v>DELETE</v>
      </c>
    </row>
    <row r="1564" spans="2:18" ht="31.5" customHeight="1" x14ac:dyDescent="0.45">
      <c r="B1564" s="563"/>
      <c r="H1564" s="596" t="str">
        <f>Criteria!G220</f>
        <v>Plant and</v>
      </c>
      <c r="J1564" s="596" t="str">
        <f>Criteria!H220</f>
        <v>Motor</v>
      </c>
      <c r="K1564" s="596" t="str">
        <f>Criteria!I220</f>
        <v>Electronic</v>
      </c>
      <c r="M1564" s="593" t="str">
        <f>Criteria!J220</f>
        <v>Furniture and</v>
      </c>
      <c r="N1564" s="634"/>
      <c r="O1564" s="593" t="s">
        <v>456</v>
      </c>
      <c r="P1564" s="634"/>
      <c r="Q1564" s="469"/>
      <c r="R1564" s="512" t="str">
        <f t="shared" ref="R1564:R1576" si="73">R$1563</f>
        <v>DELETE</v>
      </c>
    </row>
    <row r="1565" spans="2:18" ht="31.5" customHeight="1" x14ac:dyDescent="0.45">
      <c r="B1565" s="563"/>
      <c r="H1565" s="596" t="str">
        <f>Criteria!G221</f>
        <v>equipment</v>
      </c>
      <c r="J1565" s="596" t="str">
        <f>Criteria!H221</f>
        <v>vehicles</v>
      </c>
      <c r="K1565" s="596" t="str">
        <f>Criteria!I221</f>
        <v>equipment</v>
      </c>
      <c r="M1565" s="593" t="str">
        <f>Criteria!J221</f>
        <v>fittings</v>
      </c>
      <c r="N1565" s="634"/>
      <c r="O1565" s="633"/>
      <c r="P1565" s="634"/>
      <c r="Q1565" s="469"/>
      <c r="R1565" s="512" t="str">
        <f t="shared" si="73"/>
        <v>DELETE</v>
      </c>
    </row>
    <row r="1566" spans="2:18" ht="31.5" customHeight="1" x14ac:dyDescent="0.45">
      <c r="B1566" s="563"/>
      <c r="D1566" s="570" t="s">
        <v>239</v>
      </c>
      <c r="G1566" s="597">
        <f>Criteria!G20</f>
        <v>45351</v>
      </c>
      <c r="H1566" s="581">
        <f>H1569-H1570</f>
        <v>0</v>
      </c>
      <c r="I1566" s="581"/>
      <c r="J1566" s="581">
        <f>J1569-J1570</f>
        <v>0</v>
      </c>
      <c r="K1566" s="581">
        <f>K1569-K1570</f>
        <v>0</v>
      </c>
      <c r="L1566" s="581"/>
      <c r="M1566" s="581">
        <f>M1569-M1570</f>
        <v>0</v>
      </c>
      <c r="N1566" s="581"/>
      <c r="O1566" s="581">
        <f>O1569-O1570</f>
        <v>0</v>
      </c>
      <c r="P1566" s="647"/>
      <c r="Q1566" s="469"/>
      <c r="R1566" s="512" t="str">
        <f t="shared" si="73"/>
        <v>DELETE</v>
      </c>
    </row>
    <row r="1567" spans="2:18" ht="9" customHeight="1" x14ac:dyDescent="0.45">
      <c r="B1567" s="563"/>
      <c r="D1567" s="570"/>
      <c r="G1567" s="598"/>
      <c r="H1567" s="581"/>
      <c r="I1567" s="581"/>
      <c r="J1567" s="581"/>
      <c r="K1567" s="581"/>
      <c r="L1567" s="581"/>
      <c r="M1567" s="581"/>
      <c r="N1567" s="581"/>
      <c r="O1567" s="581"/>
      <c r="P1567" s="647"/>
      <c r="Q1567" s="469"/>
      <c r="R1567" s="512" t="str">
        <f t="shared" si="73"/>
        <v>DELETE</v>
      </c>
    </row>
    <row r="1568" spans="2:18" ht="9" customHeight="1" x14ac:dyDescent="0.45">
      <c r="B1568" s="563"/>
      <c r="D1568" s="570"/>
      <c r="G1568" s="598"/>
      <c r="H1568" s="572"/>
      <c r="I1568" s="573"/>
      <c r="J1568" s="573"/>
      <c r="K1568" s="573"/>
      <c r="L1568" s="573"/>
      <c r="M1568" s="573"/>
      <c r="N1568" s="573"/>
      <c r="O1568" s="574"/>
      <c r="P1568" s="647"/>
      <c r="Q1568" s="469"/>
      <c r="R1568" s="512" t="str">
        <f t="shared" si="73"/>
        <v>DELETE</v>
      </c>
    </row>
    <row r="1569" spans="2:18" ht="31.5" customHeight="1" x14ac:dyDescent="0.45">
      <c r="B1569" s="563"/>
      <c r="D1569" s="570" t="s">
        <v>457</v>
      </c>
      <c r="G1569" s="591"/>
      <c r="H1569" s="575">
        <f>Criteria!F238</f>
        <v>0</v>
      </c>
      <c r="I1569" s="581"/>
      <c r="J1569" s="581">
        <f>Criteria!G238</f>
        <v>0</v>
      </c>
      <c r="K1569" s="581">
        <f>Criteria!H238</f>
        <v>0</v>
      </c>
      <c r="L1569" s="581"/>
      <c r="M1569" s="581">
        <f>Criteria!I238</f>
        <v>0</v>
      </c>
      <c r="N1569" s="581"/>
      <c r="O1569" s="576">
        <f>SUM(H1569:M1569)</f>
        <v>0</v>
      </c>
      <c r="P1569" s="647"/>
      <c r="Q1569" s="469"/>
      <c r="R1569" s="512" t="str">
        <f t="shared" si="73"/>
        <v>DELETE</v>
      </c>
    </row>
    <row r="1570" spans="2:18" ht="31.5" customHeight="1" x14ac:dyDescent="0.45">
      <c r="B1570" s="563"/>
      <c r="D1570" s="570" t="s">
        <v>649</v>
      </c>
      <c r="G1570" s="591"/>
      <c r="H1570" s="575">
        <f>Criteria!F239</f>
        <v>0</v>
      </c>
      <c r="I1570" s="581"/>
      <c r="J1570" s="581">
        <f>Criteria!G239</f>
        <v>0</v>
      </c>
      <c r="K1570" s="581">
        <f>Criteria!H239</f>
        <v>0</v>
      </c>
      <c r="L1570" s="581"/>
      <c r="M1570" s="581">
        <f>Criteria!I239</f>
        <v>0</v>
      </c>
      <c r="N1570" s="581"/>
      <c r="O1570" s="576">
        <f>SUM(H1570:M1570)</f>
        <v>0</v>
      </c>
      <c r="P1570" s="647"/>
      <c r="Q1570" s="469"/>
      <c r="R1570" s="512" t="str">
        <f t="shared" si="73"/>
        <v>DELETE</v>
      </c>
    </row>
    <row r="1571" spans="2:18" ht="9" customHeight="1" x14ac:dyDescent="0.45">
      <c r="B1571" s="563"/>
      <c r="G1571" s="591"/>
      <c r="H1571" s="472"/>
      <c r="I1571" s="473"/>
      <c r="J1571" s="473"/>
      <c r="K1571" s="473"/>
      <c r="L1571" s="473"/>
      <c r="M1571" s="535"/>
      <c r="N1571" s="473"/>
      <c r="O1571" s="554"/>
      <c r="P1571" s="647"/>
      <c r="Q1571" s="469"/>
      <c r="R1571" s="512" t="str">
        <f t="shared" si="73"/>
        <v>DELETE</v>
      </c>
    </row>
    <row r="1572" spans="2:18" ht="9" customHeight="1" x14ac:dyDescent="0.45">
      <c r="B1572" s="563"/>
      <c r="M1572" s="633"/>
      <c r="N1572" s="634"/>
      <c r="O1572" s="633"/>
      <c r="P1572" s="634"/>
      <c r="Q1572" s="469"/>
      <c r="R1572" s="512" t="str">
        <f t="shared" si="73"/>
        <v>DELETE</v>
      </c>
    </row>
    <row r="1573" spans="2:18" ht="31.5" customHeight="1" x14ac:dyDescent="0.45">
      <c r="B1573" s="563"/>
      <c r="M1573" s="633"/>
      <c r="N1573" s="634"/>
      <c r="O1573" s="633"/>
      <c r="P1573" s="634"/>
      <c r="Q1573" s="469"/>
      <c r="R1573" s="512" t="str">
        <f t="shared" si="73"/>
        <v>DELETE</v>
      </c>
    </row>
    <row r="1574" spans="2:18" ht="31.5" customHeight="1" x14ac:dyDescent="0.45">
      <c r="B1574" s="563"/>
      <c r="M1574" s="633"/>
      <c r="N1574" s="634"/>
      <c r="O1574" s="633"/>
      <c r="P1574" s="634"/>
      <c r="Q1574" s="469"/>
      <c r="R1574" s="512" t="str">
        <f t="shared" si="73"/>
        <v>DELETE</v>
      </c>
    </row>
    <row r="1575" spans="2:18" ht="31.5" customHeight="1" x14ac:dyDescent="0.45">
      <c r="B1575" s="564"/>
      <c r="C1575" s="461"/>
      <c r="D1575" s="461"/>
      <c r="E1575" s="461"/>
      <c r="F1575" s="461"/>
      <c r="G1575" s="461"/>
      <c r="H1575" s="461"/>
      <c r="I1575" s="461"/>
      <c r="J1575" s="461"/>
      <c r="K1575" s="461"/>
      <c r="L1575" s="461"/>
      <c r="M1575" s="630"/>
      <c r="N1575" s="631"/>
      <c r="O1575" s="630"/>
      <c r="P1575" s="631"/>
      <c r="Q1575" s="479"/>
      <c r="R1575" s="512" t="str">
        <f t="shared" si="73"/>
        <v>DELETE</v>
      </c>
    </row>
    <row r="1576" spans="2:18" ht="31.5" customHeight="1" x14ac:dyDescent="0.45">
      <c r="B1576" s="527"/>
      <c r="R1576" s="512" t="str">
        <f t="shared" si="73"/>
        <v>DELETE</v>
      </c>
    </row>
    <row r="1577" spans="2:18" ht="31.5" customHeight="1" x14ac:dyDescent="0.45">
      <c r="B1577" s="527"/>
      <c r="R1577" s="512" t="str">
        <f>R$1587</f>
        <v>DELETE</v>
      </c>
    </row>
    <row r="1578" spans="2:18" ht="31.5" customHeight="1" x14ac:dyDescent="0.45">
      <c r="B1578" s="527"/>
      <c r="D1578" s="450" t="str">
        <f>Criteria!E9</f>
        <v>ABC COMPANY (PROPRIETARY) LIMITED</v>
      </c>
      <c r="O1578" s="529" t="s">
        <v>121</v>
      </c>
      <c r="Q1578" s="451">
        <f>MAX($Q$114:Q1577)+1</f>
        <v>36</v>
      </c>
      <c r="R1578" s="512" t="str">
        <f t="shared" ref="R1578:R1630" si="74">R$1587</f>
        <v>DELETE</v>
      </c>
    </row>
    <row r="1579" spans="2:18" ht="31.5" customHeight="1" x14ac:dyDescent="0.45">
      <c r="B1579" s="527"/>
      <c r="D1579" s="450" t="str">
        <f>Criteria!E10</f>
        <v>T/A SEAFRONT HOTEL, SEAFRONT RESTAURANT AND RENTAL PROPERTIES</v>
      </c>
      <c r="R1579" s="512" t="str">
        <f>IF(R$1587="DELETE","DELETE",IF(D1579=0,"DELETE"," "))</f>
        <v>DELETE</v>
      </c>
    </row>
    <row r="1580" spans="2:18" ht="31.5" customHeight="1" x14ac:dyDescent="0.45">
      <c r="B1580" s="527"/>
      <c r="R1580" s="512" t="str">
        <f t="shared" si="74"/>
        <v>DELETE</v>
      </c>
    </row>
    <row r="1581" spans="2:18" ht="31.5" customHeight="1" x14ac:dyDescent="0.45">
      <c r="B1581" s="527"/>
      <c r="D1581" s="450" t="s">
        <v>451</v>
      </c>
      <c r="R1581" s="512" t="str">
        <f t="shared" si="74"/>
        <v>DELETE</v>
      </c>
    </row>
    <row r="1582" spans="2:18" ht="31.5" customHeight="1" x14ac:dyDescent="0.45">
      <c r="B1582" s="527"/>
      <c r="D1582" s="450" t="str">
        <f>Criteria!E20</f>
        <v>29 FEBRUARY 2024</v>
      </c>
      <c r="J1582" s="449" t="s">
        <v>303</v>
      </c>
      <c r="R1582" s="512" t="str">
        <f t="shared" si="74"/>
        <v>DELETE</v>
      </c>
    </row>
    <row r="1583" spans="2:18" ht="31.5" customHeight="1" x14ac:dyDescent="0.45">
      <c r="B1583" s="527"/>
      <c r="R1583" s="512" t="str">
        <f t="shared" si="74"/>
        <v>DELETE</v>
      </c>
    </row>
    <row r="1584" spans="2:18" ht="31.5" customHeight="1" x14ac:dyDescent="0.45">
      <c r="B1584" s="566"/>
      <c r="C1584" s="466"/>
      <c r="D1584" s="466"/>
      <c r="E1584" s="466"/>
      <c r="F1584" s="466"/>
      <c r="G1584" s="466"/>
      <c r="H1584" s="466"/>
      <c r="I1584" s="466"/>
      <c r="J1584" s="466"/>
      <c r="K1584" s="466"/>
      <c r="L1584" s="466"/>
      <c r="M1584" s="642"/>
      <c r="N1584" s="643"/>
      <c r="O1584" s="642"/>
      <c r="P1584" s="643"/>
      <c r="Q1584" s="467"/>
      <c r="R1584" s="512" t="str">
        <f t="shared" si="74"/>
        <v>DELETE</v>
      </c>
    </row>
    <row r="1585" spans="2:19" ht="31.5" customHeight="1" x14ac:dyDescent="0.45">
      <c r="B1585" s="582"/>
      <c r="M1585" s="633"/>
      <c r="N1585" s="634"/>
      <c r="O1585" s="549">
        <f>Criteria!E22</f>
        <v>2024</v>
      </c>
      <c r="P1585" s="634"/>
      <c r="Q1585" s="469"/>
      <c r="R1585" s="512" t="str">
        <f t="shared" si="74"/>
        <v>DELETE</v>
      </c>
    </row>
    <row r="1586" spans="2:19" ht="31.5" customHeight="1" x14ac:dyDescent="0.45">
      <c r="B1586" s="582"/>
      <c r="M1586" s="633"/>
      <c r="N1586" s="634"/>
      <c r="O1586" s="633"/>
      <c r="P1586" s="634"/>
      <c r="Q1586" s="469"/>
      <c r="R1586" s="512" t="str">
        <f t="shared" si="74"/>
        <v>DELETE</v>
      </c>
    </row>
    <row r="1587" spans="2:19" ht="31.5" customHeight="1" x14ac:dyDescent="0.45">
      <c r="B1587" s="563">
        <f>MAX($B$804:B1586)+1</f>
        <v>10</v>
      </c>
      <c r="C1587" s="450" t="s">
        <v>1381</v>
      </c>
      <c r="M1587" s="633"/>
      <c r="N1587" s="634"/>
      <c r="O1587" s="633"/>
      <c r="P1587" s="634"/>
      <c r="Q1587" s="469"/>
      <c r="R1587" s="512" t="str">
        <f>IF(TrialBalance!L240+TrialBalance!L241+TrialBalance!L243=0,"DELETE"," ")</f>
        <v>DELETE</v>
      </c>
    </row>
    <row r="1588" spans="2:19" ht="31.5" customHeight="1" x14ac:dyDescent="0.45">
      <c r="B1588" s="582"/>
      <c r="C1588" s="583"/>
      <c r="D1588" s="449" t="s">
        <v>1523</v>
      </c>
      <c r="H1588" s="452"/>
      <c r="J1588" s="452"/>
      <c r="K1588" s="601"/>
      <c r="M1588" s="548"/>
      <c r="N1588" s="491"/>
      <c r="O1588" s="531">
        <f>O1591+O1592</f>
        <v>0</v>
      </c>
      <c r="P1588" s="634"/>
      <c r="Q1588" s="469"/>
      <c r="R1588" s="512" t="str">
        <f t="shared" si="74"/>
        <v>DELETE</v>
      </c>
    </row>
    <row r="1589" spans="2:19" ht="9" customHeight="1" x14ac:dyDescent="0.45">
      <c r="B1589" s="582"/>
      <c r="C1589" s="583"/>
      <c r="M1589" s="548"/>
      <c r="N1589" s="491"/>
      <c r="O1589" s="531"/>
      <c r="P1589" s="634"/>
      <c r="Q1589" s="469"/>
      <c r="R1589" s="512" t="str">
        <f t="shared" si="74"/>
        <v>DELETE</v>
      </c>
    </row>
    <row r="1590" spans="2:19" ht="9" customHeight="1" x14ac:dyDescent="0.45">
      <c r="B1590" s="582"/>
      <c r="C1590" s="583"/>
      <c r="M1590" s="548"/>
      <c r="N1590" s="491"/>
      <c r="O1590" s="558"/>
      <c r="P1590" s="634"/>
      <c r="Q1590" s="469"/>
      <c r="R1590" s="512" t="str">
        <f t="shared" si="74"/>
        <v>DELETE</v>
      </c>
    </row>
    <row r="1591" spans="2:19" ht="31.5" customHeight="1" x14ac:dyDescent="0.45">
      <c r="B1591" s="582"/>
      <c r="C1591" s="583"/>
      <c r="D1591" s="449" t="s">
        <v>457</v>
      </c>
      <c r="M1591" s="548"/>
      <c r="N1591" s="491"/>
      <c r="O1591" s="559">
        <f>TrialBalance!L240</f>
        <v>0</v>
      </c>
      <c r="P1591" s="634"/>
      <c r="Q1591" s="469"/>
      <c r="R1591" s="512" t="str">
        <f t="shared" si="74"/>
        <v>DELETE</v>
      </c>
      <c r="S1591" s="517">
        <f>O1591</f>
        <v>0</v>
      </c>
    </row>
    <row r="1592" spans="2:19" ht="31.5" customHeight="1" x14ac:dyDescent="0.45">
      <c r="B1592" s="582"/>
      <c r="C1592" s="583"/>
      <c r="D1592" s="449" t="s">
        <v>1565</v>
      </c>
      <c r="M1592" s="548"/>
      <c r="N1592" s="491"/>
      <c r="O1592" s="559">
        <f>TrialBalance!L246</f>
        <v>0</v>
      </c>
      <c r="P1592" s="634"/>
      <c r="Q1592" s="469"/>
      <c r="R1592" s="512" t="str">
        <f t="shared" si="74"/>
        <v>DELETE</v>
      </c>
      <c r="S1592" s="517">
        <f>O1592</f>
        <v>0</v>
      </c>
    </row>
    <row r="1593" spans="2:19" ht="9" customHeight="1" x14ac:dyDescent="0.45">
      <c r="B1593" s="582"/>
      <c r="C1593" s="583"/>
      <c r="M1593" s="548"/>
      <c r="N1593" s="491"/>
      <c r="O1593" s="560"/>
      <c r="P1593" s="634"/>
      <c r="Q1593" s="469"/>
      <c r="R1593" s="512" t="str">
        <f t="shared" si="74"/>
        <v>DELETE</v>
      </c>
    </row>
    <row r="1594" spans="2:19" ht="9" customHeight="1" x14ac:dyDescent="0.45">
      <c r="B1594" s="582"/>
      <c r="C1594" s="583"/>
      <c r="M1594" s="548"/>
      <c r="N1594" s="491"/>
      <c r="O1594" s="531"/>
      <c r="P1594" s="634"/>
      <c r="Q1594" s="469"/>
      <c r="R1594" s="512" t="str">
        <f t="shared" si="74"/>
        <v>DELETE</v>
      </c>
    </row>
    <row r="1595" spans="2:19" ht="31.5" customHeight="1" x14ac:dyDescent="0.45">
      <c r="B1595" s="582"/>
      <c r="C1595" s="583"/>
      <c r="D1595" s="449" t="s">
        <v>458</v>
      </c>
      <c r="M1595" s="548"/>
      <c r="N1595" s="491"/>
      <c r="O1595" s="531">
        <f>TrialBalance!L241</f>
        <v>0</v>
      </c>
      <c r="P1595" s="634"/>
      <c r="Q1595" s="469"/>
      <c r="R1595" s="512" t="str">
        <f t="shared" si="74"/>
        <v>DELETE</v>
      </c>
      <c r="S1595" s="517">
        <f>O1595</f>
        <v>0</v>
      </c>
    </row>
    <row r="1596" spans="2:19" ht="9" customHeight="1" x14ac:dyDescent="0.45">
      <c r="B1596" s="582"/>
      <c r="C1596" s="583"/>
      <c r="M1596" s="548"/>
      <c r="N1596" s="491"/>
      <c r="O1596" s="535"/>
      <c r="P1596" s="634"/>
      <c r="Q1596" s="469"/>
      <c r="R1596" s="512" t="str">
        <f t="shared" si="74"/>
        <v>DELETE</v>
      </c>
    </row>
    <row r="1597" spans="2:19" ht="9" customHeight="1" x14ac:dyDescent="0.45">
      <c r="B1597" s="582"/>
      <c r="C1597" s="583"/>
      <c r="M1597" s="548"/>
      <c r="N1597" s="491"/>
      <c r="O1597" s="531"/>
      <c r="P1597" s="634"/>
      <c r="Q1597" s="469"/>
      <c r="R1597" s="512" t="str">
        <f t="shared" si="74"/>
        <v>DELETE</v>
      </c>
    </row>
    <row r="1598" spans="2:19" ht="31.5" customHeight="1" x14ac:dyDescent="0.45">
      <c r="B1598" s="582"/>
      <c r="C1598" s="583"/>
      <c r="M1598" s="548"/>
      <c r="N1598" s="491"/>
      <c r="O1598" s="531">
        <f>O1588+O1595</f>
        <v>0</v>
      </c>
      <c r="P1598" s="634"/>
      <c r="Q1598" s="469"/>
      <c r="R1598" s="512" t="str">
        <f t="shared" si="74"/>
        <v>DELETE</v>
      </c>
    </row>
    <row r="1599" spans="2:19" ht="31.5" customHeight="1" x14ac:dyDescent="0.45">
      <c r="B1599" s="582"/>
      <c r="C1599" s="583"/>
      <c r="D1599" s="449" t="s">
        <v>1566</v>
      </c>
      <c r="M1599" s="548"/>
      <c r="N1599" s="491"/>
      <c r="O1599" s="531">
        <f>TrialBalance!L243</f>
        <v>0</v>
      </c>
      <c r="P1599" s="634"/>
      <c r="Q1599" s="469"/>
      <c r="R1599" s="512" t="str">
        <f>IF(O1599=0,"DELETE"," ")</f>
        <v>DELETE</v>
      </c>
      <c r="S1599" s="517">
        <f>O1599</f>
        <v>0</v>
      </c>
    </row>
    <row r="1600" spans="2:19" ht="31.5" customHeight="1" x14ac:dyDescent="0.45">
      <c r="B1600" s="582"/>
      <c r="C1600" s="583"/>
      <c r="D1600" s="449" t="s">
        <v>1567</v>
      </c>
      <c r="M1600" s="548"/>
      <c r="N1600" s="491"/>
      <c r="O1600" s="531">
        <f>TrialBalance!L247</f>
        <v>0</v>
      </c>
      <c r="P1600" s="634"/>
      <c r="Q1600" s="469"/>
      <c r="R1600" s="512" t="str">
        <f>IF(O1600=0,"DELETE"," ")</f>
        <v>DELETE</v>
      </c>
      <c r="S1600" s="517">
        <f>O1600</f>
        <v>0</v>
      </c>
    </row>
    <row r="1601" spans="2:19" ht="31.5" customHeight="1" x14ac:dyDescent="0.45">
      <c r="B1601" s="582"/>
      <c r="C1601" s="583"/>
      <c r="D1601" s="449" t="s">
        <v>196</v>
      </c>
      <c r="M1601" s="548"/>
      <c r="N1601" s="491"/>
      <c r="O1601" s="531">
        <f>-SUM(S1603:S1606)</f>
        <v>0</v>
      </c>
      <c r="P1601" s="634"/>
      <c r="Q1601" s="469"/>
      <c r="R1601" s="512" t="str">
        <f>IF(O1601=0,"DELETE"," ")</f>
        <v>DELETE</v>
      </c>
    </row>
    <row r="1602" spans="2:19" ht="9" customHeight="1" x14ac:dyDescent="0.45">
      <c r="B1602" s="582"/>
      <c r="C1602" s="583"/>
      <c r="M1602" s="548"/>
      <c r="N1602" s="491"/>
      <c r="O1602" s="531"/>
      <c r="P1602" s="634"/>
      <c r="Q1602" s="469"/>
      <c r="R1602" s="512" t="str">
        <f>R$1601</f>
        <v>DELETE</v>
      </c>
    </row>
    <row r="1603" spans="2:19" ht="9" customHeight="1" x14ac:dyDescent="0.45">
      <c r="B1603" s="582"/>
      <c r="C1603" s="583"/>
      <c r="M1603" s="548"/>
      <c r="N1603" s="491"/>
      <c r="O1603" s="558"/>
      <c r="P1603" s="634"/>
      <c r="Q1603" s="469"/>
      <c r="R1603" s="512" t="str">
        <f>R$1601</f>
        <v>DELETE</v>
      </c>
    </row>
    <row r="1604" spans="2:19" ht="31.5" customHeight="1" x14ac:dyDescent="0.45">
      <c r="B1604" s="582"/>
      <c r="C1604" s="583"/>
      <c r="D1604" s="449" t="s">
        <v>457</v>
      </c>
      <c r="M1604" s="548"/>
      <c r="N1604" s="491"/>
      <c r="O1604" s="559">
        <f>-TrialBalance!L242</f>
        <v>0</v>
      </c>
      <c r="P1604" s="634"/>
      <c r="Q1604" s="469"/>
      <c r="R1604" s="512" t="str">
        <f t="shared" ref="R1604:R1605" si="75">IF(O1604=0,"DELETE"," ")</f>
        <v>DELETE</v>
      </c>
      <c r="S1604" s="517">
        <f>-O1604</f>
        <v>0</v>
      </c>
    </row>
    <row r="1605" spans="2:19" ht="31.5" customHeight="1" x14ac:dyDescent="0.45">
      <c r="B1605" s="582"/>
      <c r="C1605" s="583"/>
      <c r="D1605" s="449" t="s">
        <v>1565</v>
      </c>
      <c r="M1605" s="548"/>
      <c r="N1605" s="491"/>
      <c r="O1605" s="559">
        <f>-TrialBalance!L248</f>
        <v>0</v>
      </c>
      <c r="P1605" s="634"/>
      <c r="Q1605" s="469"/>
      <c r="R1605" s="512" t="str">
        <f t="shared" si="75"/>
        <v>DELETE</v>
      </c>
      <c r="S1605" s="517">
        <f>-O1605</f>
        <v>0</v>
      </c>
    </row>
    <row r="1606" spans="2:19" ht="9" customHeight="1" x14ac:dyDescent="0.45">
      <c r="B1606" s="582"/>
      <c r="C1606" s="583"/>
      <c r="M1606" s="548"/>
      <c r="N1606" s="491"/>
      <c r="O1606" s="560"/>
      <c r="P1606" s="634"/>
      <c r="Q1606" s="469"/>
      <c r="R1606" s="512" t="str">
        <f t="shared" ref="R1606:R1607" si="76">R$1601</f>
        <v>DELETE</v>
      </c>
    </row>
    <row r="1607" spans="2:19" ht="9" customHeight="1" x14ac:dyDescent="0.45">
      <c r="B1607" s="582"/>
      <c r="C1607" s="583"/>
      <c r="M1607" s="548"/>
      <c r="N1607" s="491"/>
      <c r="O1607" s="548"/>
      <c r="P1607" s="634"/>
      <c r="Q1607" s="469"/>
      <c r="R1607" s="512" t="str">
        <f t="shared" si="76"/>
        <v>DELETE</v>
      </c>
    </row>
    <row r="1608" spans="2:19" ht="31.5" customHeight="1" x14ac:dyDescent="0.45">
      <c r="B1608" s="582"/>
      <c r="C1608" s="583"/>
      <c r="D1608" s="449" t="s">
        <v>1568</v>
      </c>
      <c r="M1608" s="548"/>
      <c r="N1608" s="491"/>
      <c r="O1608" s="531">
        <f>-SUM(S1610:S1613)</f>
        <v>0</v>
      </c>
      <c r="P1608" s="634"/>
      <c r="Q1608" s="469"/>
      <c r="R1608" s="512" t="str">
        <f t="shared" ref="R1608" si="77">IF(O1608=0,"DELETE"," ")</f>
        <v>DELETE</v>
      </c>
    </row>
    <row r="1609" spans="2:19" ht="9" customHeight="1" x14ac:dyDescent="0.45">
      <c r="B1609" s="582"/>
      <c r="C1609" s="583"/>
      <c r="M1609" s="548"/>
      <c r="N1609" s="491"/>
      <c r="O1609" s="531"/>
      <c r="P1609" s="634"/>
      <c r="Q1609" s="469"/>
      <c r="R1609" s="512" t="str">
        <f>R$1608</f>
        <v>DELETE</v>
      </c>
    </row>
    <row r="1610" spans="2:19" ht="9" customHeight="1" x14ac:dyDescent="0.45">
      <c r="B1610" s="582"/>
      <c r="C1610" s="583"/>
      <c r="M1610" s="548"/>
      <c r="N1610" s="491"/>
      <c r="O1610" s="558"/>
      <c r="P1610" s="634"/>
      <c r="Q1610" s="469"/>
      <c r="R1610" s="512" t="str">
        <f>R$1608</f>
        <v>DELETE</v>
      </c>
    </row>
    <row r="1611" spans="2:19" ht="31.5" customHeight="1" x14ac:dyDescent="0.45">
      <c r="B1611" s="582"/>
      <c r="C1611" s="583"/>
      <c r="D1611" s="449" t="s">
        <v>457</v>
      </c>
      <c r="M1611" s="548"/>
      <c r="N1611" s="491"/>
      <c r="O1611" s="559">
        <f>-TrialBalance!L244</f>
        <v>0</v>
      </c>
      <c r="P1611" s="634"/>
      <c r="Q1611" s="469"/>
      <c r="R1611" s="512" t="str">
        <f t="shared" ref="R1611:R1612" si="78">IF(O1611=0,"DELETE"," ")</f>
        <v>DELETE</v>
      </c>
      <c r="S1611" s="517">
        <f>-O1611</f>
        <v>0</v>
      </c>
    </row>
    <row r="1612" spans="2:19" ht="31.5" customHeight="1" x14ac:dyDescent="0.45">
      <c r="B1612" s="582"/>
      <c r="C1612" s="583"/>
      <c r="D1612" s="449" t="s">
        <v>1565</v>
      </c>
      <c r="M1612" s="548"/>
      <c r="N1612" s="491"/>
      <c r="O1612" s="559">
        <f>-TrialBalance!L249</f>
        <v>0</v>
      </c>
      <c r="P1612" s="634"/>
      <c r="Q1612" s="469"/>
      <c r="R1612" s="512" t="str">
        <f t="shared" si="78"/>
        <v>DELETE</v>
      </c>
      <c r="S1612" s="517">
        <f>-O1612</f>
        <v>0</v>
      </c>
    </row>
    <row r="1613" spans="2:19" ht="9" customHeight="1" x14ac:dyDescent="0.45">
      <c r="B1613" s="582"/>
      <c r="C1613" s="583"/>
      <c r="M1613" s="548"/>
      <c r="N1613" s="491"/>
      <c r="O1613" s="560"/>
      <c r="P1613" s="634"/>
      <c r="Q1613" s="469"/>
      <c r="R1613" s="512" t="str">
        <f t="shared" ref="R1613:R1614" si="79">R$1608</f>
        <v>DELETE</v>
      </c>
    </row>
    <row r="1614" spans="2:19" ht="9" customHeight="1" x14ac:dyDescent="0.45">
      <c r="B1614" s="582"/>
      <c r="C1614" s="583"/>
      <c r="M1614" s="548"/>
      <c r="N1614" s="491"/>
      <c r="O1614" s="548"/>
      <c r="P1614" s="634"/>
      <c r="Q1614" s="469"/>
      <c r="R1614" s="512" t="str">
        <f t="shared" si="79"/>
        <v>DELETE</v>
      </c>
    </row>
    <row r="1615" spans="2:19" ht="9" customHeight="1" x14ac:dyDescent="0.45">
      <c r="B1615" s="582"/>
      <c r="C1615" s="583"/>
      <c r="M1615" s="548"/>
      <c r="N1615" s="491"/>
      <c r="O1615" s="535"/>
      <c r="P1615" s="634"/>
      <c r="Q1615" s="469"/>
      <c r="R1615" s="512" t="str">
        <f t="shared" si="74"/>
        <v>DELETE</v>
      </c>
    </row>
    <row r="1616" spans="2:19" ht="9" customHeight="1" x14ac:dyDescent="0.45">
      <c r="B1616" s="582"/>
      <c r="C1616" s="583"/>
      <c r="M1616" s="548"/>
      <c r="N1616" s="491"/>
      <c r="O1616" s="548"/>
      <c r="P1616" s="634"/>
      <c r="Q1616" s="469"/>
      <c r="R1616" s="512" t="str">
        <f t="shared" si="74"/>
        <v>DELETE</v>
      </c>
    </row>
    <row r="1617" spans="2:21" ht="31.5" customHeight="1" x14ac:dyDescent="0.45">
      <c r="B1617" s="582"/>
      <c r="C1617" s="583"/>
      <c r="D1617" s="449" t="s">
        <v>1528</v>
      </c>
      <c r="K1617" s="464"/>
      <c r="M1617" s="548"/>
      <c r="N1617" s="491"/>
      <c r="O1617" s="531">
        <f>SUM(S1590:S1613)</f>
        <v>0</v>
      </c>
      <c r="P1617" s="634"/>
      <c r="Q1617" s="469"/>
      <c r="R1617" s="512" t="str">
        <f t="shared" si="74"/>
        <v>DELETE</v>
      </c>
      <c r="U1617" s="513" t="b">
        <f>O1617=O1621+O1622</f>
        <v>1</v>
      </c>
    </row>
    <row r="1618" spans="2:21" ht="9" customHeight="1" thickBot="1" x14ac:dyDescent="0.5">
      <c r="B1618" s="582"/>
      <c r="C1618" s="583"/>
      <c r="M1618" s="548"/>
      <c r="N1618" s="491"/>
      <c r="O1618" s="536"/>
      <c r="P1618" s="634"/>
      <c r="Q1618" s="469"/>
      <c r="R1618" s="512" t="str">
        <f t="shared" si="74"/>
        <v>DELETE</v>
      </c>
    </row>
    <row r="1619" spans="2:21" ht="9" customHeight="1" thickTop="1" x14ac:dyDescent="0.45">
      <c r="B1619" s="582"/>
      <c r="C1619" s="583"/>
      <c r="M1619" s="548"/>
      <c r="N1619" s="491"/>
      <c r="O1619" s="531"/>
      <c r="P1619" s="634"/>
      <c r="Q1619" s="469"/>
      <c r="R1619" s="512" t="str">
        <f t="shared" si="74"/>
        <v>DELETE</v>
      </c>
    </row>
    <row r="1620" spans="2:21" ht="9" customHeight="1" x14ac:dyDescent="0.45">
      <c r="B1620" s="582"/>
      <c r="C1620" s="583"/>
      <c r="M1620" s="548"/>
      <c r="N1620" s="491"/>
      <c r="O1620" s="558"/>
      <c r="P1620" s="634"/>
      <c r="Q1620" s="469"/>
      <c r="R1620" s="512" t="str">
        <f t="shared" si="74"/>
        <v>DELETE</v>
      </c>
    </row>
    <row r="1621" spans="2:21" ht="31.5" customHeight="1" x14ac:dyDescent="0.45">
      <c r="B1621" s="582"/>
      <c r="C1621" s="583"/>
      <c r="D1621" s="449" t="s">
        <v>457</v>
      </c>
      <c r="M1621" s="548"/>
      <c r="N1621" s="491"/>
      <c r="O1621" s="559">
        <f>SUM(TrialBalance!L240:L244)</f>
        <v>0</v>
      </c>
      <c r="P1621" s="634"/>
      <c r="Q1621" s="469"/>
      <c r="R1621" s="512" t="str">
        <f t="shared" si="74"/>
        <v>DELETE</v>
      </c>
    </row>
    <row r="1622" spans="2:21" ht="31.5" customHeight="1" x14ac:dyDescent="0.45">
      <c r="B1622" s="582"/>
      <c r="C1622" s="583"/>
      <c r="D1622" s="449" t="s">
        <v>1565</v>
      </c>
      <c r="M1622" s="548"/>
      <c r="N1622" s="491"/>
      <c r="O1622" s="559">
        <f>SUM(TrialBalance!L246:L249)</f>
        <v>0</v>
      </c>
      <c r="P1622" s="634"/>
      <c r="Q1622" s="469"/>
      <c r="R1622" s="512" t="str">
        <f t="shared" si="74"/>
        <v>DELETE</v>
      </c>
    </row>
    <row r="1623" spans="2:21" ht="9" customHeight="1" x14ac:dyDescent="0.45">
      <c r="B1623" s="582"/>
      <c r="C1623" s="583"/>
      <c r="M1623" s="548"/>
      <c r="N1623" s="491"/>
      <c r="O1623" s="560"/>
      <c r="P1623" s="634"/>
      <c r="Q1623" s="469"/>
      <c r="R1623" s="512" t="str">
        <f t="shared" si="74"/>
        <v>DELETE</v>
      </c>
    </row>
    <row r="1624" spans="2:21" ht="9" customHeight="1" x14ac:dyDescent="0.45">
      <c r="B1624" s="582"/>
      <c r="C1624" s="583"/>
      <c r="M1624" s="548"/>
      <c r="N1624" s="491"/>
      <c r="O1624" s="531"/>
      <c r="P1624" s="634"/>
      <c r="Q1624" s="469"/>
      <c r="R1624" s="512" t="str">
        <f t="shared" si="74"/>
        <v>DELETE</v>
      </c>
    </row>
    <row r="1625" spans="2:21" ht="31.5" customHeight="1" x14ac:dyDescent="0.45">
      <c r="B1625" s="582"/>
      <c r="M1625" s="633"/>
      <c r="N1625" s="634"/>
      <c r="O1625" s="633"/>
      <c r="P1625" s="634"/>
      <c r="Q1625" s="469"/>
      <c r="R1625" s="512" t="str">
        <f t="shared" si="74"/>
        <v>DELETE</v>
      </c>
    </row>
    <row r="1626" spans="2:21" ht="31.5" customHeight="1" x14ac:dyDescent="0.45">
      <c r="B1626" s="582"/>
      <c r="D1626" s="449" t="str">
        <f>IF(SUM(TrialBalance!L240:L244)=0," ",IF(Criteria!F133="Yes",CONCATENATE("Investment property is pledged as security - See Note ",'FS2'!B2115)," "))</f>
        <v xml:space="preserve"> </v>
      </c>
      <c r="M1626" s="633"/>
      <c r="N1626" s="634"/>
      <c r="O1626" s="633"/>
      <c r="P1626" s="634"/>
      <c r="Q1626" s="469"/>
      <c r="R1626" s="512" t="str">
        <f>IF(R$1587="DELETE","DELETE",IF(D1626=" ","DELETE"," "))</f>
        <v>DELETE</v>
      </c>
    </row>
    <row r="1627" spans="2:21" ht="31.5" customHeight="1" x14ac:dyDescent="0.45">
      <c r="B1627" s="582"/>
      <c r="M1627" s="633"/>
      <c r="N1627" s="634"/>
      <c r="O1627" s="633"/>
      <c r="P1627" s="634"/>
      <c r="Q1627" s="469"/>
      <c r="R1627" s="512" t="str">
        <f t="shared" si="74"/>
        <v>DELETE</v>
      </c>
    </row>
    <row r="1628" spans="2:21" ht="31.5" customHeight="1" x14ac:dyDescent="0.45">
      <c r="B1628" s="582"/>
      <c r="M1628" s="633"/>
      <c r="N1628" s="634"/>
      <c r="O1628" s="633"/>
      <c r="P1628" s="634"/>
      <c r="Q1628" s="469"/>
      <c r="R1628" s="512" t="str">
        <f t="shared" si="74"/>
        <v>DELETE</v>
      </c>
    </row>
    <row r="1629" spans="2:21" ht="31.5" customHeight="1" x14ac:dyDescent="0.45">
      <c r="B1629" s="567"/>
      <c r="C1629" s="461"/>
      <c r="D1629" s="461"/>
      <c r="E1629" s="461"/>
      <c r="F1629" s="461"/>
      <c r="G1629" s="461"/>
      <c r="H1629" s="461"/>
      <c r="I1629" s="461"/>
      <c r="J1629" s="461"/>
      <c r="K1629" s="461"/>
      <c r="L1629" s="461"/>
      <c r="M1629" s="630"/>
      <c r="N1629" s="631"/>
      <c r="O1629" s="630"/>
      <c r="P1629" s="631"/>
      <c r="Q1629" s="479"/>
      <c r="R1629" s="512" t="str">
        <f t="shared" si="74"/>
        <v>DELETE</v>
      </c>
    </row>
    <row r="1630" spans="2:21" ht="31.5" customHeight="1" x14ac:dyDescent="0.45">
      <c r="B1630" s="527"/>
      <c r="R1630" s="512" t="str">
        <f t="shared" si="74"/>
        <v>DELETE</v>
      </c>
    </row>
    <row r="1631" spans="2:21" ht="31.5" customHeight="1" x14ac:dyDescent="0.45">
      <c r="B1631" s="527"/>
      <c r="R1631" s="512" t="str">
        <f t="shared" ref="R1631:R1642" si="80">R$1683</f>
        <v>DELETE</v>
      </c>
    </row>
    <row r="1632" spans="2:21" ht="31.5" customHeight="1" x14ac:dyDescent="0.45">
      <c r="B1632" s="527"/>
      <c r="D1632" s="450" t="str">
        <f>Criteria!E9</f>
        <v>ABC COMPANY (PROPRIETARY) LIMITED</v>
      </c>
      <c r="O1632" s="529" t="s">
        <v>121</v>
      </c>
      <c r="Q1632" s="451">
        <f>MAX($Q$114:Q1631)+1</f>
        <v>37</v>
      </c>
      <c r="R1632" s="512" t="str">
        <f t="shared" si="80"/>
        <v>DELETE</v>
      </c>
    </row>
    <row r="1633" spans="2:18" ht="31.5" customHeight="1" x14ac:dyDescent="0.45">
      <c r="B1633" s="527"/>
      <c r="D1633" s="450" t="str">
        <f>Criteria!E10</f>
        <v>T/A SEAFRONT HOTEL, SEAFRONT RESTAURANT AND RENTAL PROPERTIES</v>
      </c>
      <c r="R1633" s="512" t="str">
        <f>IF(R$1683="DELETE","DELETE",IF(D1633=0,"DELETE"," "))</f>
        <v>DELETE</v>
      </c>
    </row>
    <row r="1634" spans="2:18" ht="31.5" customHeight="1" x14ac:dyDescent="0.45">
      <c r="B1634" s="527"/>
      <c r="R1634" s="512" t="str">
        <f t="shared" si="80"/>
        <v>DELETE</v>
      </c>
    </row>
    <row r="1635" spans="2:18" ht="31.5" customHeight="1" x14ac:dyDescent="0.45">
      <c r="B1635" s="527"/>
      <c r="D1635" s="450" t="s">
        <v>451</v>
      </c>
      <c r="R1635" s="512" t="str">
        <f t="shared" si="80"/>
        <v>DELETE</v>
      </c>
    </row>
    <row r="1636" spans="2:18" ht="31.5" customHeight="1" x14ac:dyDescent="0.45">
      <c r="B1636" s="527"/>
      <c r="D1636" s="450" t="str">
        <f>Criteria!E20</f>
        <v>29 FEBRUARY 2024</v>
      </c>
      <c r="J1636" s="449" t="s">
        <v>303</v>
      </c>
      <c r="R1636" s="512" t="str">
        <f t="shared" si="80"/>
        <v>DELETE</v>
      </c>
    </row>
    <row r="1637" spans="2:18" ht="31.5" customHeight="1" x14ac:dyDescent="0.45">
      <c r="B1637" s="527"/>
      <c r="R1637" s="512" t="str">
        <f t="shared" si="80"/>
        <v>DELETE</v>
      </c>
    </row>
    <row r="1638" spans="2:18" ht="31.5" customHeight="1" x14ac:dyDescent="0.45">
      <c r="B1638" s="566"/>
      <c r="C1638" s="466"/>
      <c r="D1638" s="466"/>
      <c r="E1638" s="466"/>
      <c r="F1638" s="466"/>
      <c r="G1638" s="466"/>
      <c r="H1638" s="466"/>
      <c r="I1638" s="466"/>
      <c r="J1638" s="466"/>
      <c r="K1638" s="466"/>
      <c r="L1638" s="466"/>
      <c r="M1638" s="642"/>
      <c r="N1638" s="643"/>
      <c r="O1638" s="642"/>
      <c r="P1638" s="643"/>
      <c r="Q1638" s="467"/>
      <c r="R1638" s="512" t="str">
        <f t="shared" si="80"/>
        <v>DELETE</v>
      </c>
    </row>
    <row r="1639" spans="2:18" ht="31.5" customHeight="1" x14ac:dyDescent="0.45">
      <c r="B1639" s="582"/>
      <c r="M1639" s="633"/>
      <c r="N1639" s="634"/>
      <c r="O1639" s="549">
        <f>Criteria!E22</f>
        <v>2024</v>
      </c>
      <c r="P1639" s="634"/>
      <c r="Q1639" s="469"/>
      <c r="R1639" s="512" t="str">
        <f t="shared" si="80"/>
        <v>DELETE</v>
      </c>
    </row>
    <row r="1640" spans="2:18" ht="31.5" customHeight="1" x14ac:dyDescent="0.45">
      <c r="B1640" s="582"/>
      <c r="M1640" s="633"/>
      <c r="N1640" s="634"/>
      <c r="O1640" s="633"/>
      <c r="P1640" s="634"/>
      <c r="Q1640" s="469"/>
      <c r="R1640" s="512" t="str">
        <f t="shared" si="80"/>
        <v>DELETE</v>
      </c>
    </row>
    <row r="1641" spans="2:18" ht="31.5" customHeight="1" x14ac:dyDescent="0.45">
      <c r="B1641" s="582"/>
      <c r="C1641" s="449" t="s">
        <v>1698</v>
      </c>
      <c r="M1641" s="633"/>
      <c r="N1641" s="634"/>
      <c r="O1641" s="633"/>
      <c r="P1641" s="634"/>
      <c r="Q1641" s="469"/>
      <c r="R1641" s="512" t="str">
        <f t="shared" si="80"/>
        <v>DELETE</v>
      </c>
    </row>
    <row r="1642" spans="2:18" ht="31.5" customHeight="1" x14ac:dyDescent="0.45">
      <c r="B1642" s="582"/>
      <c r="M1642" s="633"/>
      <c r="N1642" s="634"/>
      <c r="O1642" s="633"/>
      <c r="P1642" s="634"/>
      <c r="Q1642" s="469"/>
      <c r="R1642" s="512" t="str">
        <f t="shared" si="80"/>
        <v>DELETE</v>
      </c>
    </row>
    <row r="1643" spans="2:18" ht="31.5" customHeight="1" x14ac:dyDescent="0.45">
      <c r="B1643" s="582"/>
      <c r="D1643" s="449">
        <f>Criteria!C180</f>
        <v>0</v>
      </c>
      <c r="M1643" s="633"/>
      <c r="N1643" s="634"/>
      <c r="O1643" s="639">
        <f>Criteria!F180</f>
        <v>0</v>
      </c>
      <c r="P1643" s="634"/>
      <c r="Q1643" s="469"/>
      <c r="R1643" s="512" t="str">
        <f>IF(O1643=0,"DELETE"," ")</f>
        <v>DELETE</v>
      </c>
    </row>
    <row r="1644" spans="2:18" ht="31.5" customHeight="1" x14ac:dyDescent="0.45">
      <c r="B1644" s="582"/>
      <c r="D1644" s="449">
        <f>Criteria!C181</f>
        <v>0</v>
      </c>
      <c r="M1644" s="633"/>
      <c r="N1644" s="634"/>
      <c r="O1644" s="639">
        <f>Criteria!F181</f>
        <v>0</v>
      </c>
      <c r="P1644" s="634"/>
      <c r="Q1644" s="469"/>
      <c r="R1644" s="512" t="str">
        <f t="shared" ref="R1644:R1680" si="81">IF(O1644=0,"DELETE"," ")</f>
        <v>DELETE</v>
      </c>
    </row>
    <row r="1645" spans="2:18" ht="31.5" customHeight="1" x14ac:dyDescent="0.45">
      <c r="B1645" s="582"/>
      <c r="D1645" s="449">
        <f>Criteria!C182</f>
        <v>0</v>
      </c>
      <c r="M1645" s="633"/>
      <c r="N1645" s="634"/>
      <c r="O1645" s="639">
        <f>Criteria!F182</f>
        <v>0</v>
      </c>
      <c r="P1645" s="634"/>
      <c r="Q1645" s="469"/>
      <c r="R1645" s="512" t="str">
        <f t="shared" si="81"/>
        <v>DELETE</v>
      </c>
    </row>
    <row r="1646" spans="2:18" ht="31.5" customHeight="1" x14ac:dyDescent="0.45">
      <c r="B1646" s="582"/>
      <c r="D1646" s="449">
        <f>Criteria!C183</f>
        <v>0</v>
      </c>
      <c r="M1646" s="633"/>
      <c r="N1646" s="634"/>
      <c r="O1646" s="639">
        <f>Criteria!F183</f>
        <v>0</v>
      </c>
      <c r="P1646" s="634"/>
      <c r="Q1646" s="469"/>
      <c r="R1646" s="512" t="str">
        <f t="shared" si="81"/>
        <v>DELETE</v>
      </c>
    </row>
    <row r="1647" spans="2:18" ht="31.5" customHeight="1" x14ac:dyDescent="0.45">
      <c r="B1647" s="582"/>
      <c r="D1647" s="449">
        <f>Criteria!C184</f>
        <v>0</v>
      </c>
      <c r="M1647" s="633"/>
      <c r="N1647" s="634"/>
      <c r="O1647" s="639">
        <f>Criteria!F184</f>
        <v>0</v>
      </c>
      <c r="P1647" s="634"/>
      <c r="Q1647" s="469"/>
      <c r="R1647" s="512" t="str">
        <f t="shared" si="81"/>
        <v>DELETE</v>
      </c>
    </row>
    <row r="1648" spans="2:18" ht="31.5" customHeight="1" x14ac:dyDescent="0.45">
      <c r="B1648" s="582"/>
      <c r="D1648" s="449">
        <f>Criteria!C185</f>
        <v>0</v>
      </c>
      <c r="M1648" s="633"/>
      <c r="N1648" s="634"/>
      <c r="O1648" s="639">
        <f>Criteria!F185</f>
        <v>0</v>
      </c>
      <c r="P1648" s="634"/>
      <c r="Q1648" s="469"/>
      <c r="R1648" s="512" t="str">
        <f t="shared" si="81"/>
        <v>DELETE</v>
      </c>
    </row>
    <row r="1649" spans="2:18" ht="31.5" customHeight="1" x14ac:dyDescent="0.45">
      <c r="B1649" s="582"/>
      <c r="D1649" s="449">
        <f>Criteria!C186</f>
        <v>0</v>
      </c>
      <c r="M1649" s="633"/>
      <c r="N1649" s="634"/>
      <c r="O1649" s="639">
        <f>Criteria!F186</f>
        <v>0</v>
      </c>
      <c r="P1649" s="634"/>
      <c r="Q1649" s="469"/>
      <c r="R1649" s="512" t="str">
        <f t="shared" si="81"/>
        <v>DELETE</v>
      </c>
    </row>
    <row r="1650" spans="2:18" ht="31.5" customHeight="1" x14ac:dyDescent="0.45">
      <c r="B1650" s="582"/>
      <c r="D1650" s="449">
        <f>Criteria!C187</f>
        <v>0</v>
      </c>
      <c r="M1650" s="633"/>
      <c r="N1650" s="634"/>
      <c r="O1650" s="639">
        <f>Criteria!F187</f>
        <v>0</v>
      </c>
      <c r="P1650" s="634"/>
      <c r="Q1650" s="469"/>
      <c r="R1650" s="512" t="str">
        <f t="shared" si="81"/>
        <v>DELETE</v>
      </c>
    </row>
    <row r="1651" spans="2:18" ht="31.5" customHeight="1" x14ac:dyDescent="0.45">
      <c r="B1651" s="582"/>
      <c r="D1651" s="449">
        <f>Criteria!C188</f>
        <v>0</v>
      </c>
      <c r="M1651" s="633"/>
      <c r="N1651" s="634"/>
      <c r="O1651" s="639">
        <f>Criteria!F188</f>
        <v>0</v>
      </c>
      <c r="P1651" s="634"/>
      <c r="Q1651" s="469"/>
      <c r="R1651" s="512" t="str">
        <f t="shared" si="81"/>
        <v>DELETE</v>
      </c>
    </row>
    <row r="1652" spans="2:18" ht="31.5" customHeight="1" x14ac:dyDescent="0.45">
      <c r="B1652" s="582"/>
      <c r="D1652" s="449">
        <f>Criteria!C189</f>
        <v>0</v>
      </c>
      <c r="M1652" s="633"/>
      <c r="N1652" s="634"/>
      <c r="O1652" s="639">
        <f>Criteria!F189</f>
        <v>0</v>
      </c>
      <c r="P1652" s="634"/>
      <c r="Q1652" s="469"/>
      <c r="R1652" s="512" t="str">
        <f t="shared" si="81"/>
        <v>DELETE</v>
      </c>
    </row>
    <row r="1653" spans="2:18" ht="31.5" customHeight="1" x14ac:dyDescent="0.45">
      <c r="B1653" s="582"/>
      <c r="D1653" s="449">
        <f>Criteria!C190</f>
        <v>0</v>
      </c>
      <c r="M1653" s="633"/>
      <c r="N1653" s="634"/>
      <c r="O1653" s="639">
        <f>Criteria!F190</f>
        <v>0</v>
      </c>
      <c r="P1653" s="634"/>
      <c r="Q1653" s="469"/>
      <c r="R1653" s="512" t="str">
        <f t="shared" si="81"/>
        <v>DELETE</v>
      </c>
    </row>
    <row r="1654" spans="2:18" ht="31.5" customHeight="1" x14ac:dyDescent="0.45">
      <c r="B1654" s="582"/>
      <c r="D1654" s="449">
        <f>Criteria!C191</f>
        <v>0</v>
      </c>
      <c r="M1654" s="633"/>
      <c r="N1654" s="634"/>
      <c r="O1654" s="639">
        <f>Criteria!F191</f>
        <v>0</v>
      </c>
      <c r="P1654" s="634"/>
      <c r="Q1654" s="469"/>
      <c r="R1654" s="512" t="str">
        <f t="shared" si="81"/>
        <v>DELETE</v>
      </c>
    </row>
    <row r="1655" spans="2:18" ht="31.5" customHeight="1" x14ac:dyDescent="0.45">
      <c r="B1655" s="582"/>
      <c r="D1655" s="449">
        <f>Criteria!C192</f>
        <v>0</v>
      </c>
      <c r="M1655" s="633"/>
      <c r="N1655" s="634"/>
      <c r="O1655" s="639">
        <f>Criteria!F192</f>
        <v>0</v>
      </c>
      <c r="P1655" s="634"/>
      <c r="Q1655" s="469"/>
      <c r="R1655" s="512" t="str">
        <f t="shared" si="81"/>
        <v>DELETE</v>
      </c>
    </row>
    <row r="1656" spans="2:18" ht="31.5" customHeight="1" x14ac:dyDescent="0.45">
      <c r="B1656" s="582"/>
      <c r="D1656" s="449">
        <f>Criteria!C193</f>
        <v>0</v>
      </c>
      <c r="M1656" s="633"/>
      <c r="N1656" s="634"/>
      <c r="O1656" s="639">
        <f>Criteria!F193</f>
        <v>0</v>
      </c>
      <c r="P1656" s="634"/>
      <c r="Q1656" s="469"/>
      <c r="R1656" s="512" t="str">
        <f t="shared" si="81"/>
        <v>DELETE</v>
      </c>
    </row>
    <row r="1657" spans="2:18" ht="31.5" customHeight="1" x14ac:dyDescent="0.45">
      <c r="B1657" s="582"/>
      <c r="D1657" s="449">
        <f>Criteria!C194</f>
        <v>0</v>
      </c>
      <c r="M1657" s="633"/>
      <c r="N1657" s="634"/>
      <c r="O1657" s="639">
        <f>Criteria!F194</f>
        <v>0</v>
      </c>
      <c r="P1657" s="634"/>
      <c r="Q1657" s="469"/>
      <c r="R1657" s="512" t="str">
        <f t="shared" si="81"/>
        <v>DELETE</v>
      </c>
    </row>
    <row r="1658" spans="2:18" ht="31.5" customHeight="1" x14ac:dyDescent="0.45">
      <c r="B1658" s="582"/>
      <c r="D1658" s="449">
        <f>Criteria!C195</f>
        <v>0</v>
      </c>
      <c r="M1658" s="633"/>
      <c r="N1658" s="634"/>
      <c r="O1658" s="639">
        <f>Criteria!F195</f>
        <v>0</v>
      </c>
      <c r="P1658" s="634"/>
      <c r="Q1658" s="469"/>
      <c r="R1658" s="512" t="str">
        <f t="shared" si="81"/>
        <v>DELETE</v>
      </c>
    </row>
    <row r="1659" spans="2:18" ht="31.5" customHeight="1" x14ac:dyDescent="0.45">
      <c r="B1659" s="582"/>
      <c r="D1659" s="449">
        <f>Criteria!C196</f>
        <v>0</v>
      </c>
      <c r="M1659" s="633"/>
      <c r="N1659" s="634"/>
      <c r="O1659" s="639">
        <f>Criteria!F196</f>
        <v>0</v>
      </c>
      <c r="P1659" s="634"/>
      <c r="Q1659" s="469"/>
      <c r="R1659" s="512" t="str">
        <f t="shared" si="81"/>
        <v>DELETE</v>
      </c>
    </row>
    <row r="1660" spans="2:18" ht="31.5" customHeight="1" x14ac:dyDescent="0.45">
      <c r="B1660" s="582"/>
      <c r="D1660" s="449">
        <f>Criteria!C197</f>
        <v>0</v>
      </c>
      <c r="M1660" s="633"/>
      <c r="N1660" s="634"/>
      <c r="O1660" s="639">
        <f>Criteria!F197</f>
        <v>0</v>
      </c>
      <c r="P1660" s="634"/>
      <c r="Q1660" s="469"/>
      <c r="R1660" s="512" t="str">
        <f t="shared" si="81"/>
        <v>DELETE</v>
      </c>
    </row>
    <row r="1661" spans="2:18" ht="31.5" customHeight="1" x14ac:dyDescent="0.45">
      <c r="B1661" s="582"/>
      <c r="D1661" s="449">
        <f>Criteria!C198</f>
        <v>0</v>
      </c>
      <c r="M1661" s="633"/>
      <c r="N1661" s="634"/>
      <c r="O1661" s="639">
        <f>Criteria!F198</f>
        <v>0</v>
      </c>
      <c r="P1661" s="634"/>
      <c r="Q1661" s="469"/>
      <c r="R1661" s="512" t="str">
        <f t="shared" si="81"/>
        <v>DELETE</v>
      </c>
    </row>
    <row r="1662" spans="2:18" ht="31.5" customHeight="1" x14ac:dyDescent="0.45">
      <c r="B1662" s="582"/>
      <c r="D1662" s="449">
        <f>Criteria!C199</f>
        <v>0</v>
      </c>
      <c r="M1662" s="633"/>
      <c r="N1662" s="634"/>
      <c r="O1662" s="639">
        <f>Criteria!F199</f>
        <v>0</v>
      </c>
      <c r="P1662" s="634"/>
      <c r="Q1662" s="469"/>
      <c r="R1662" s="512" t="str">
        <f t="shared" si="81"/>
        <v>DELETE</v>
      </c>
    </row>
    <row r="1663" spans="2:18" ht="31.5" customHeight="1" x14ac:dyDescent="0.45">
      <c r="B1663" s="582"/>
      <c r="D1663" s="449">
        <f>Criteria!C200</f>
        <v>0</v>
      </c>
      <c r="M1663" s="633"/>
      <c r="N1663" s="634"/>
      <c r="O1663" s="639">
        <f>Criteria!F200</f>
        <v>0</v>
      </c>
      <c r="P1663" s="634"/>
      <c r="Q1663" s="469"/>
      <c r="R1663" s="512" t="str">
        <f t="shared" si="81"/>
        <v>DELETE</v>
      </c>
    </row>
    <row r="1664" spans="2:18" ht="31.5" customHeight="1" x14ac:dyDescent="0.45">
      <c r="B1664" s="582"/>
      <c r="D1664" s="449">
        <f>Criteria!C201</f>
        <v>0</v>
      </c>
      <c r="M1664" s="633"/>
      <c r="N1664" s="634"/>
      <c r="O1664" s="639">
        <f>Criteria!F201</f>
        <v>0</v>
      </c>
      <c r="P1664" s="634"/>
      <c r="Q1664" s="469"/>
      <c r="R1664" s="512" t="str">
        <f t="shared" si="81"/>
        <v>DELETE</v>
      </c>
    </row>
    <row r="1665" spans="2:18" ht="31.5" customHeight="1" x14ac:dyDescent="0.45">
      <c r="B1665" s="582"/>
      <c r="D1665" s="449">
        <f>Criteria!C202</f>
        <v>0</v>
      </c>
      <c r="M1665" s="633"/>
      <c r="N1665" s="634"/>
      <c r="O1665" s="639">
        <f>Criteria!F202</f>
        <v>0</v>
      </c>
      <c r="P1665" s="634"/>
      <c r="Q1665" s="469"/>
      <c r="R1665" s="512" t="str">
        <f t="shared" si="81"/>
        <v>DELETE</v>
      </c>
    </row>
    <row r="1666" spans="2:18" ht="31.5" customHeight="1" x14ac:dyDescent="0.45">
      <c r="B1666" s="582"/>
      <c r="D1666" s="449">
        <f>Criteria!C203</f>
        <v>0</v>
      </c>
      <c r="M1666" s="633"/>
      <c r="N1666" s="634"/>
      <c r="O1666" s="639">
        <f>Criteria!F203</f>
        <v>0</v>
      </c>
      <c r="P1666" s="634"/>
      <c r="Q1666" s="469"/>
      <c r="R1666" s="512" t="str">
        <f t="shared" si="81"/>
        <v>DELETE</v>
      </c>
    </row>
    <row r="1667" spans="2:18" ht="31.5" customHeight="1" x14ac:dyDescent="0.45">
      <c r="B1667" s="582"/>
      <c r="D1667" s="449">
        <f>Criteria!C204</f>
        <v>0</v>
      </c>
      <c r="M1667" s="633"/>
      <c r="N1667" s="634"/>
      <c r="O1667" s="639">
        <f>Criteria!F204</f>
        <v>0</v>
      </c>
      <c r="P1667" s="634"/>
      <c r="Q1667" s="469"/>
      <c r="R1667" s="512" t="str">
        <f t="shared" si="81"/>
        <v>DELETE</v>
      </c>
    </row>
    <row r="1668" spans="2:18" ht="31.5" customHeight="1" x14ac:dyDescent="0.45">
      <c r="B1668" s="582"/>
      <c r="D1668" s="449">
        <f>Criteria!C205</f>
        <v>0</v>
      </c>
      <c r="M1668" s="633"/>
      <c r="N1668" s="634"/>
      <c r="O1668" s="639">
        <f>Criteria!F205</f>
        <v>0</v>
      </c>
      <c r="P1668" s="634"/>
      <c r="Q1668" s="469"/>
      <c r="R1668" s="512" t="str">
        <f t="shared" si="81"/>
        <v>DELETE</v>
      </c>
    </row>
    <row r="1669" spans="2:18" ht="31.5" customHeight="1" x14ac:dyDescent="0.45">
      <c r="B1669" s="582"/>
      <c r="D1669" s="449">
        <f>Criteria!C206</f>
        <v>0</v>
      </c>
      <c r="M1669" s="633"/>
      <c r="N1669" s="634"/>
      <c r="O1669" s="639">
        <f>Criteria!F206</f>
        <v>0</v>
      </c>
      <c r="P1669" s="634"/>
      <c r="Q1669" s="469"/>
      <c r="R1669" s="512" t="str">
        <f t="shared" si="81"/>
        <v>DELETE</v>
      </c>
    </row>
    <row r="1670" spans="2:18" ht="31.5" customHeight="1" x14ac:dyDescent="0.45">
      <c r="B1670" s="582"/>
      <c r="D1670" s="449">
        <f>Criteria!C207</f>
        <v>0</v>
      </c>
      <c r="M1670" s="633"/>
      <c r="N1670" s="634"/>
      <c r="O1670" s="639">
        <f>Criteria!F207</f>
        <v>0</v>
      </c>
      <c r="P1670" s="634"/>
      <c r="Q1670" s="469"/>
      <c r="R1670" s="512" t="str">
        <f t="shared" si="81"/>
        <v>DELETE</v>
      </c>
    </row>
    <row r="1671" spans="2:18" ht="31.5" customHeight="1" x14ac:dyDescent="0.45">
      <c r="B1671" s="582"/>
      <c r="D1671" s="449">
        <f>Criteria!C208</f>
        <v>0</v>
      </c>
      <c r="M1671" s="633"/>
      <c r="N1671" s="634"/>
      <c r="O1671" s="639">
        <f>Criteria!F208</f>
        <v>0</v>
      </c>
      <c r="P1671" s="634"/>
      <c r="Q1671" s="469"/>
      <c r="R1671" s="512" t="str">
        <f t="shared" si="81"/>
        <v>DELETE</v>
      </c>
    </row>
    <row r="1672" spans="2:18" ht="31.5" customHeight="1" x14ac:dyDescent="0.45">
      <c r="B1672" s="582"/>
      <c r="D1672" s="449">
        <f>Criteria!C209</f>
        <v>0</v>
      </c>
      <c r="M1672" s="633"/>
      <c r="N1672" s="634"/>
      <c r="O1672" s="639">
        <f>Criteria!F209</f>
        <v>0</v>
      </c>
      <c r="P1672" s="634"/>
      <c r="Q1672" s="469"/>
      <c r="R1672" s="512" t="str">
        <f t="shared" si="81"/>
        <v>DELETE</v>
      </c>
    </row>
    <row r="1673" spans="2:18" ht="31.5" customHeight="1" x14ac:dyDescent="0.45">
      <c r="B1673" s="582"/>
      <c r="D1673" s="449">
        <f>Criteria!C210</f>
        <v>0</v>
      </c>
      <c r="M1673" s="633"/>
      <c r="N1673" s="634"/>
      <c r="O1673" s="639">
        <f>Criteria!F210</f>
        <v>0</v>
      </c>
      <c r="P1673" s="634"/>
      <c r="Q1673" s="469"/>
      <c r="R1673" s="512" t="str">
        <f t="shared" si="81"/>
        <v>DELETE</v>
      </c>
    </row>
    <row r="1674" spans="2:18" ht="31.5" customHeight="1" x14ac:dyDescent="0.45">
      <c r="B1674" s="582"/>
      <c r="D1674" s="449">
        <f>Criteria!C211</f>
        <v>0</v>
      </c>
      <c r="M1674" s="633"/>
      <c r="N1674" s="634"/>
      <c r="O1674" s="639">
        <f>Criteria!F211</f>
        <v>0</v>
      </c>
      <c r="P1674" s="634"/>
      <c r="Q1674" s="469"/>
      <c r="R1674" s="512" t="str">
        <f t="shared" si="81"/>
        <v>DELETE</v>
      </c>
    </row>
    <row r="1675" spans="2:18" ht="31.5" customHeight="1" x14ac:dyDescent="0.45">
      <c r="B1675" s="582"/>
      <c r="D1675" s="449">
        <f>Criteria!C212</f>
        <v>0</v>
      </c>
      <c r="M1675" s="633"/>
      <c r="N1675" s="634"/>
      <c r="O1675" s="639">
        <f>Criteria!F212</f>
        <v>0</v>
      </c>
      <c r="P1675" s="634"/>
      <c r="Q1675" s="469"/>
      <c r="R1675" s="512" t="str">
        <f t="shared" si="81"/>
        <v>DELETE</v>
      </c>
    </row>
    <row r="1676" spans="2:18" ht="31.5" customHeight="1" x14ac:dyDescent="0.45">
      <c r="B1676" s="582"/>
      <c r="D1676" s="449">
        <f>Criteria!C213</f>
        <v>0</v>
      </c>
      <c r="M1676" s="633"/>
      <c r="N1676" s="634"/>
      <c r="O1676" s="639">
        <f>Criteria!F213</f>
        <v>0</v>
      </c>
      <c r="P1676" s="634"/>
      <c r="Q1676" s="469"/>
      <c r="R1676" s="512" t="str">
        <f t="shared" si="81"/>
        <v>DELETE</v>
      </c>
    </row>
    <row r="1677" spans="2:18" ht="31.5" customHeight="1" x14ac:dyDescent="0.45">
      <c r="B1677" s="582"/>
      <c r="D1677" s="449">
        <f>Criteria!C214</f>
        <v>0</v>
      </c>
      <c r="M1677" s="633"/>
      <c r="N1677" s="634"/>
      <c r="O1677" s="639">
        <f>Criteria!F214</f>
        <v>0</v>
      </c>
      <c r="P1677" s="634"/>
      <c r="Q1677" s="469"/>
      <c r="R1677" s="512" t="str">
        <f t="shared" si="81"/>
        <v>DELETE</v>
      </c>
    </row>
    <row r="1678" spans="2:18" ht="31.5" customHeight="1" x14ac:dyDescent="0.45">
      <c r="B1678" s="582"/>
      <c r="D1678" s="449">
        <f>Criteria!C215</f>
        <v>0</v>
      </c>
      <c r="M1678" s="633"/>
      <c r="N1678" s="634"/>
      <c r="O1678" s="639">
        <f>Criteria!F215</f>
        <v>0</v>
      </c>
      <c r="P1678" s="634"/>
      <c r="Q1678" s="469"/>
      <c r="R1678" s="512" t="str">
        <f t="shared" si="81"/>
        <v>DELETE</v>
      </c>
    </row>
    <row r="1679" spans="2:18" ht="31.5" customHeight="1" x14ac:dyDescent="0.45">
      <c r="B1679" s="582"/>
      <c r="D1679" s="449">
        <f>Criteria!C216</f>
        <v>0</v>
      </c>
      <c r="M1679" s="633"/>
      <c r="N1679" s="634"/>
      <c r="O1679" s="639">
        <f>Criteria!F216</f>
        <v>0</v>
      </c>
      <c r="P1679" s="634"/>
      <c r="Q1679" s="469"/>
      <c r="R1679" s="512" t="str">
        <f t="shared" si="81"/>
        <v>DELETE</v>
      </c>
    </row>
    <row r="1680" spans="2:18" ht="31.5" customHeight="1" x14ac:dyDescent="0.45">
      <c r="B1680" s="582"/>
      <c r="D1680" s="449">
        <f>Criteria!C217</f>
        <v>0</v>
      </c>
      <c r="M1680" s="633"/>
      <c r="N1680" s="634"/>
      <c r="O1680" s="639">
        <f>Criteria!F217</f>
        <v>0</v>
      </c>
      <c r="P1680" s="634"/>
      <c r="Q1680" s="469"/>
      <c r="R1680" s="512" t="str">
        <f t="shared" si="81"/>
        <v>DELETE</v>
      </c>
    </row>
    <row r="1681" spans="2:21" ht="9" customHeight="1" x14ac:dyDescent="0.45">
      <c r="B1681" s="582"/>
      <c r="M1681" s="633"/>
      <c r="N1681" s="634"/>
      <c r="O1681" s="630"/>
      <c r="P1681" s="634"/>
      <c r="Q1681" s="469"/>
      <c r="R1681" s="512" t="str">
        <f>R$1683</f>
        <v>DELETE</v>
      </c>
    </row>
    <row r="1682" spans="2:21" ht="9" customHeight="1" x14ac:dyDescent="0.45">
      <c r="B1682" s="582"/>
      <c r="M1682" s="633"/>
      <c r="N1682" s="634"/>
      <c r="O1682" s="633"/>
      <c r="P1682" s="634"/>
      <c r="Q1682" s="469"/>
      <c r="R1682" s="512" t="str">
        <f>R$1683</f>
        <v>DELETE</v>
      </c>
    </row>
    <row r="1683" spans="2:21" ht="31.5" customHeight="1" x14ac:dyDescent="0.45">
      <c r="B1683" s="582"/>
      <c r="M1683" s="633"/>
      <c r="N1683" s="634"/>
      <c r="O1683" s="639">
        <f>SUM(O1643:O1681)</f>
        <v>0</v>
      </c>
      <c r="P1683" s="634"/>
      <c r="Q1683" s="469"/>
      <c r="R1683" s="512" t="str">
        <f>IF(O1683=0,"DELETE"," ")</f>
        <v>DELETE</v>
      </c>
      <c r="U1683" s="513" t="b">
        <f>O1683=O1617</f>
        <v>1</v>
      </c>
    </row>
    <row r="1684" spans="2:21" ht="9" customHeight="1" thickBot="1" x14ac:dyDescent="0.5">
      <c r="B1684" s="582"/>
      <c r="M1684" s="633"/>
      <c r="N1684" s="634"/>
      <c r="O1684" s="663"/>
      <c r="P1684" s="634"/>
      <c r="Q1684" s="469"/>
      <c r="R1684" s="512" t="str">
        <f t="shared" ref="R1684:R1688" si="82">R$1683</f>
        <v>DELETE</v>
      </c>
    </row>
    <row r="1685" spans="2:21" ht="9" customHeight="1" thickTop="1" x14ac:dyDescent="0.45">
      <c r="B1685" s="582"/>
      <c r="M1685" s="633"/>
      <c r="N1685" s="634"/>
      <c r="O1685" s="633"/>
      <c r="P1685" s="634"/>
      <c r="Q1685" s="469"/>
      <c r="R1685" s="512" t="str">
        <f t="shared" si="82"/>
        <v>DELETE</v>
      </c>
    </row>
    <row r="1686" spans="2:21" ht="31.5" customHeight="1" x14ac:dyDescent="0.45">
      <c r="B1686" s="582"/>
      <c r="M1686" s="633"/>
      <c r="N1686" s="634"/>
      <c r="O1686" s="633"/>
      <c r="P1686" s="634"/>
      <c r="Q1686" s="469"/>
      <c r="R1686" s="512" t="str">
        <f t="shared" si="82"/>
        <v>DELETE</v>
      </c>
    </row>
    <row r="1687" spans="2:21" ht="31.5" customHeight="1" x14ac:dyDescent="0.45">
      <c r="B1687" s="567"/>
      <c r="C1687" s="461"/>
      <c r="D1687" s="461"/>
      <c r="E1687" s="461"/>
      <c r="F1687" s="461"/>
      <c r="G1687" s="461"/>
      <c r="H1687" s="461"/>
      <c r="I1687" s="461"/>
      <c r="J1687" s="461"/>
      <c r="K1687" s="461"/>
      <c r="L1687" s="461"/>
      <c r="M1687" s="630"/>
      <c r="N1687" s="631"/>
      <c r="O1687" s="630"/>
      <c r="P1687" s="631"/>
      <c r="Q1687" s="479"/>
      <c r="R1687" s="512" t="str">
        <f t="shared" si="82"/>
        <v>DELETE</v>
      </c>
    </row>
    <row r="1688" spans="2:21" ht="31.5" customHeight="1" x14ac:dyDescent="0.45">
      <c r="B1688" s="527"/>
      <c r="R1688" s="512" t="str">
        <f t="shared" si="82"/>
        <v>DELETE</v>
      </c>
    </row>
    <row r="1689" spans="2:21" ht="31.5" customHeight="1" x14ac:dyDescent="0.45">
      <c r="B1689" s="527"/>
      <c r="R1689" s="512" t="str">
        <f t="shared" ref="R1689:R1697" si="83">R$1699</f>
        <v>DELETE</v>
      </c>
    </row>
    <row r="1690" spans="2:21" ht="31.5" customHeight="1" x14ac:dyDescent="0.45">
      <c r="B1690" s="527"/>
      <c r="D1690" s="450" t="str">
        <f>Criteria!E9</f>
        <v>ABC COMPANY (PROPRIETARY) LIMITED</v>
      </c>
      <c r="O1690" s="529" t="s">
        <v>121</v>
      </c>
      <c r="Q1690" s="451">
        <f>MAX($Q$114:Q1689)+1</f>
        <v>38</v>
      </c>
      <c r="R1690" s="512" t="str">
        <f t="shared" si="83"/>
        <v>DELETE</v>
      </c>
    </row>
    <row r="1691" spans="2:21" ht="31.5" customHeight="1" x14ac:dyDescent="0.45">
      <c r="B1691" s="527"/>
      <c r="D1691" s="450" t="str">
        <f>Criteria!E10</f>
        <v>T/A SEAFRONT HOTEL, SEAFRONT RESTAURANT AND RENTAL PROPERTIES</v>
      </c>
      <c r="R1691" s="512" t="str">
        <f>IF(R$1699="DELETE","DELETE",IF(D1691=0,"DELETE"," "))</f>
        <v>DELETE</v>
      </c>
    </row>
    <row r="1692" spans="2:21" ht="31.5" customHeight="1" x14ac:dyDescent="0.45">
      <c r="B1692" s="527"/>
      <c r="R1692" s="512" t="str">
        <f t="shared" si="83"/>
        <v>DELETE</v>
      </c>
    </row>
    <row r="1693" spans="2:21" ht="31.5" customHeight="1" x14ac:dyDescent="0.45">
      <c r="B1693" s="527"/>
      <c r="D1693" s="450" t="s">
        <v>451</v>
      </c>
      <c r="R1693" s="512" t="str">
        <f t="shared" si="83"/>
        <v>DELETE</v>
      </c>
    </row>
    <row r="1694" spans="2:21" ht="31.5" customHeight="1" x14ac:dyDescent="0.45">
      <c r="B1694" s="527"/>
      <c r="D1694" s="450" t="str">
        <f>Criteria!E20</f>
        <v>29 FEBRUARY 2024</v>
      </c>
      <c r="J1694" s="449" t="s">
        <v>303</v>
      </c>
      <c r="R1694" s="512" t="str">
        <f t="shared" si="83"/>
        <v>DELETE</v>
      </c>
    </row>
    <row r="1695" spans="2:21" ht="31.5" customHeight="1" x14ac:dyDescent="0.45">
      <c r="B1695" s="527"/>
      <c r="R1695" s="512" t="str">
        <f t="shared" si="83"/>
        <v>DELETE</v>
      </c>
    </row>
    <row r="1696" spans="2:21" ht="31.5" customHeight="1" x14ac:dyDescent="0.45">
      <c r="B1696" s="566"/>
      <c r="C1696" s="466"/>
      <c r="D1696" s="466"/>
      <c r="E1696" s="466"/>
      <c r="F1696" s="466"/>
      <c r="G1696" s="466"/>
      <c r="H1696" s="466"/>
      <c r="I1696" s="466"/>
      <c r="J1696" s="466"/>
      <c r="K1696" s="466"/>
      <c r="L1696" s="466"/>
      <c r="M1696" s="642"/>
      <c r="N1696" s="643"/>
      <c r="O1696" s="642"/>
      <c r="P1696" s="643"/>
      <c r="Q1696" s="467"/>
      <c r="R1696" s="512" t="str">
        <f t="shared" si="83"/>
        <v>DELETE</v>
      </c>
    </row>
    <row r="1697" spans="2:19" ht="31.5" customHeight="1" x14ac:dyDescent="0.45">
      <c r="B1697" s="563"/>
      <c r="C1697" s="450"/>
      <c r="L1697" s="452"/>
      <c r="M1697" s="527"/>
      <c r="N1697" s="449"/>
      <c r="O1697" s="549">
        <f>Criteria!E22</f>
        <v>2024</v>
      </c>
      <c r="P1697" s="634"/>
      <c r="Q1697" s="469"/>
      <c r="R1697" s="512" t="str">
        <f t="shared" si="83"/>
        <v>DELETE</v>
      </c>
    </row>
    <row r="1698" spans="2:19" ht="31.5" customHeight="1" x14ac:dyDescent="0.45">
      <c r="B1698" s="563"/>
      <c r="C1698" s="450"/>
      <c r="L1698" s="452"/>
      <c r="M1698" s="527"/>
      <c r="N1698" s="449"/>
      <c r="O1698" s="549"/>
      <c r="P1698" s="634"/>
      <c r="Q1698" s="469"/>
      <c r="R1698" s="512" t="str">
        <f>R$1699</f>
        <v>DELETE</v>
      </c>
    </row>
    <row r="1699" spans="2:19" ht="31.5" customHeight="1" x14ac:dyDescent="0.45">
      <c r="B1699" s="563">
        <f>MAX($B$804:B1698)+1</f>
        <v>11</v>
      </c>
      <c r="C1699" s="450" t="s">
        <v>57</v>
      </c>
      <c r="L1699" s="452"/>
      <c r="M1699" s="452"/>
      <c r="N1699" s="449"/>
      <c r="O1699" s="633"/>
      <c r="P1699" s="634"/>
      <c r="Q1699" s="469"/>
      <c r="R1699" s="512" t="str">
        <f>IF(O1764=0,"DELETE"," ")</f>
        <v>DELETE</v>
      </c>
    </row>
    <row r="1700" spans="2:19" ht="31.5" hidden="1" customHeight="1" x14ac:dyDescent="0.45">
      <c r="B1700" s="563"/>
      <c r="C1700" s="449">
        <f>B1699</f>
        <v>11</v>
      </c>
      <c r="L1700" s="452"/>
      <c r="M1700" s="452"/>
      <c r="N1700" s="449"/>
      <c r="O1700" s="633"/>
      <c r="P1700" s="634"/>
      <c r="Q1700" s="469"/>
      <c r="R1700" s="512" t="str">
        <f>IF(O1764=0,"DELETE"," ")</f>
        <v>DELETE</v>
      </c>
    </row>
    <row r="1701" spans="2:19" ht="31.5" customHeight="1" x14ac:dyDescent="0.45">
      <c r="B1701" s="563"/>
      <c r="C1701" s="583">
        <f>MAX(C1699:C1700)+0.1</f>
        <v>11.1</v>
      </c>
      <c r="D1701" s="449" t="s">
        <v>1522</v>
      </c>
      <c r="L1701" s="452"/>
      <c r="M1701" s="452"/>
      <c r="N1701" s="449"/>
      <c r="O1701" s="633"/>
      <c r="P1701" s="634"/>
      <c r="Q1701" s="469"/>
      <c r="R1701" s="512" t="str">
        <f>IF(O1715=0,"DELETE"," ")</f>
        <v>DELETE</v>
      </c>
    </row>
    <row r="1702" spans="2:19" ht="31.5" customHeight="1" x14ac:dyDescent="0.45">
      <c r="B1702" s="563"/>
      <c r="C1702" s="584"/>
      <c r="D1702" s="449" t="s">
        <v>1523</v>
      </c>
      <c r="H1702" s="452"/>
      <c r="L1702" s="452"/>
      <c r="M1702" s="452"/>
      <c r="N1702" s="449"/>
      <c r="O1702" s="639">
        <f>SUM(S1705:S1707)</f>
        <v>0</v>
      </c>
      <c r="P1702" s="634"/>
      <c r="Q1702" s="469"/>
      <c r="R1702" s="512" t="str">
        <f>R$1701</f>
        <v>DELETE</v>
      </c>
    </row>
    <row r="1703" spans="2:19" ht="9" customHeight="1" x14ac:dyDescent="0.45">
      <c r="B1703" s="563"/>
      <c r="C1703" s="584"/>
      <c r="L1703" s="452"/>
      <c r="M1703" s="452"/>
      <c r="N1703" s="449"/>
      <c r="O1703" s="639"/>
      <c r="P1703" s="634"/>
      <c r="Q1703" s="469"/>
      <c r="R1703" s="512" t="str">
        <f t="shared" ref="R1703:R1723" si="84">R$1701</f>
        <v>DELETE</v>
      </c>
    </row>
    <row r="1704" spans="2:19" ht="9" customHeight="1" x14ac:dyDescent="0.45">
      <c r="B1704" s="563"/>
      <c r="C1704" s="584"/>
      <c r="L1704" s="452"/>
      <c r="M1704" s="452"/>
      <c r="N1704" s="449"/>
      <c r="O1704" s="670"/>
      <c r="P1704" s="634"/>
      <c r="Q1704" s="469"/>
      <c r="R1704" s="512" t="str">
        <f t="shared" si="84"/>
        <v>DELETE</v>
      </c>
    </row>
    <row r="1705" spans="2:19" ht="31.5" customHeight="1" x14ac:dyDescent="0.45">
      <c r="B1705" s="563"/>
      <c r="C1705" s="584"/>
      <c r="D1705" s="449" t="s">
        <v>457</v>
      </c>
      <c r="L1705" s="452"/>
      <c r="M1705" s="452"/>
      <c r="N1705" s="449"/>
      <c r="O1705" s="671">
        <f>TrialBalance!L284</f>
        <v>0</v>
      </c>
      <c r="P1705" s="634"/>
      <c r="Q1705" s="469"/>
      <c r="R1705" s="512" t="str">
        <f t="shared" si="84"/>
        <v>DELETE</v>
      </c>
      <c r="S1705" s="517">
        <f>O1705</f>
        <v>0</v>
      </c>
    </row>
    <row r="1706" spans="2:19" ht="31.5" customHeight="1" x14ac:dyDescent="0.45">
      <c r="B1706" s="563"/>
      <c r="C1706" s="584"/>
      <c r="D1706" s="449" t="s">
        <v>1524</v>
      </c>
      <c r="L1706" s="452"/>
      <c r="M1706" s="452"/>
      <c r="N1706" s="449"/>
      <c r="O1706" s="671">
        <f>-TrialBalance!L287</f>
        <v>0</v>
      </c>
      <c r="P1706" s="634"/>
      <c r="Q1706" s="469"/>
      <c r="R1706" s="512" t="str">
        <f t="shared" si="84"/>
        <v>DELETE</v>
      </c>
      <c r="S1706" s="517">
        <f>-O1706</f>
        <v>0</v>
      </c>
    </row>
    <row r="1707" spans="2:19" ht="31.5" customHeight="1" x14ac:dyDescent="0.45">
      <c r="B1707" s="563"/>
      <c r="C1707" s="584"/>
      <c r="D1707" s="449" t="s">
        <v>1525</v>
      </c>
      <c r="L1707" s="452"/>
      <c r="M1707" s="452"/>
      <c r="N1707" s="449"/>
      <c r="O1707" s="671">
        <f>-TrialBalance!L290</f>
        <v>0</v>
      </c>
      <c r="P1707" s="634"/>
      <c r="Q1707" s="469"/>
      <c r="R1707" s="512" t="str">
        <f>IF(O1707=0,"DELETE"," ")</f>
        <v>DELETE</v>
      </c>
      <c r="S1707" s="517">
        <f>-O1707</f>
        <v>0</v>
      </c>
    </row>
    <row r="1708" spans="2:19" ht="9" customHeight="1" x14ac:dyDescent="0.45">
      <c r="B1708" s="563"/>
      <c r="C1708" s="584"/>
      <c r="L1708" s="452"/>
      <c r="M1708" s="452"/>
      <c r="N1708" s="449"/>
      <c r="O1708" s="672"/>
      <c r="P1708" s="634"/>
      <c r="Q1708" s="469"/>
      <c r="R1708" s="512" t="str">
        <f t="shared" si="84"/>
        <v>DELETE</v>
      </c>
      <c r="S1708" s="517"/>
    </row>
    <row r="1709" spans="2:19" ht="9" customHeight="1" x14ac:dyDescent="0.45">
      <c r="B1709" s="563"/>
      <c r="C1709" s="584"/>
      <c r="L1709" s="452"/>
      <c r="M1709" s="452"/>
      <c r="N1709" s="449"/>
      <c r="O1709" s="639"/>
      <c r="P1709" s="634"/>
      <c r="Q1709" s="469"/>
      <c r="R1709" s="512" t="str">
        <f t="shared" si="84"/>
        <v>DELETE</v>
      </c>
      <c r="S1709" s="517"/>
    </row>
    <row r="1710" spans="2:19" ht="31.5" customHeight="1" x14ac:dyDescent="0.45">
      <c r="B1710" s="563"/>
      <c r="C1710" s="584"/>
      <c r="D1710" s="449" t="s">
        <v>453</v>
      </c>
      <c r="L1710" s="452"/>
      <c r="M1710" s="452"/>
      <c r="N1710" s="449"/>
      <c r="O1710" s="639">
        <f>TrialBalance!L285</f>
        <v>0</v>
      </c>
      <c r="P1710" s="634"/>
      <c r="Q1710" s="469"/>
      <c r="R1710" s="512" t="str">
        <f>IF(O1710=0,"DELETE"," ")</f>
        <v>DELETE</v>
      </c>
      <c r="S1710" s="517"/>
    </row>
    <row r="1711" spans="2:19" ht="31.5" customHeight="1" x14ac:dyDescent="0.45">
      <c r="B1711" s="563"/>
      <c r="C1711" s="584"/>
      <c r="D1711" s="449" t="s">
        <v>1526</v>
      </c>
      <c r="L1711" s="452"/>
      <c r="M1711" s="452"/>
      <c r="N1711" s="449"/>
      <c r="O1711" s="639">
        <f>TrialBalance!L288</f>
        <v>0</v>
      </c>
      <c r="P1711" s="634"/>
      <c r="Q1711" s="469"/>
      <c r="R1711" s="512" t="str">
        <f t="shared" si="84"/>
        <v>DELETE</v>
      </c>
      <c r="S1711" s="517"/>
    </row>
    <row r="1712" spans="2:19" ht="31.5" customHeight="1" x14ac:dyDescent="0.45">
      <c r="B1712" s="563"/>
      <c r="C1712" s="584"/>
      <c r="D1712" s="449" t="s">
        <v>1527</v>
      </c>
      <c r="L1712" s="452"/>
      <c r="M1712" s="452"/>
      <c r="N1712" s="449"/>
      <c r="O1712" s="639">
        <f>TrialBalance!L291</f>
        <v>0</v>
      </c>
      <c r="P1712" s="634"/>
      <c r="Q1712" s="469"/>
      <c r="R1712" s="512" t="str">
        <f>IF(O1712=0,"DELETE"," ")</f>
        <v>DELETE</v>
      </c>
      <c r="S1712" s="517"/>
    </row>
    <row r="1713" spans="2:21" ht="9" customHeight="1" x14ac:dyDescent="0.45">
      <c r="B1713" s="563"/>
      <c r="C1713" s="584"/>
      <c r="L1713" s="452"/>
      <c r="M1713" s="452"/>
      <c r="N1713" s="449"/>
      <c r="O1713" s="640"/>
      <c r="P1713" s="634"/>
      <c r="Q1713" s="469"/>
      <c r="R1713" s="512" t="str">
        <f t="shared" si="84"/>
        <v>DELETE</v>
      </c>
      <c r="S1713" s="517"/>
    </row>
    <row r="1714" spans="2:21" ht="9" customHeight="1" x14ac:dyDescent="0.45">
      <c r="B1714" s="563"/>
      <c r="C1714" s="584"/>
      <c r="L1714" s="452"/>
      <c r="M1714" s="452"/>
      <c r="N1714" s="449"/>
      <c r="O1714" s="639"/>
      <c r="P1714" s="634"/>
      <c r="Q1714" s="469"/>
      <c r="R1714" s="512" t="str">
        <f t="shared" si="84"/>
        <v>DELETE</v>
      </c>
      <c r="S1714" s="517"/>
    </row>
    <row r="1715" spans="2:21" ht="31.5" customHeight="1" x14ac:dyDescent="0.45">
      <c r="B1715" s="563"/>
      <c r="C1715" s="584"/>
      <c r="D1715" s="449" t="s">
        <v>1528</v>
      </c>
      <c r="L1715" s="452"/>
      <c r="M1715" s="452"/>
      <c r="N1715" s="449"/>
      <c r="O1715" s="639">
        <f>SUM(S1719:S1721)</f>
        <v>0</v>
      </c>
      <c r="P1715" s="634"/>
      <c r="Q1715" s="469"/>
      <c r="R1715" s="512" t="str">
        <f t="shared" si="84"/>
        <v>DELETE</v>
      </c>
      <c r="S1715" s="517"/>
      <c r="U1715" s="513" t="b">
        <f>O1715=O1702+SUM(O1710:O1712)</f>
        <v>1</v>
      </c>
    </row>
    <row r="1716" spans="2:21" ht="9" customHeight="1" thickBot="1" x14ac:dyDescent="0.5">
      <c r="B1716" s="563"/>
      <c r="C1716" s="584"/>
      <c r="L1716" s="452"/>
      <c r="M1716" s="452"/>
      <c r="N1716" s="449"/>
      <c r="O1716" s="638"/>
      <c r="P1716" s="634"/>
      <c r="Q1716" s="469"/>
      <c r="R1716" s="512" t="str">
        <f t="shared" si="84"/>
        <v>DELETE</v>
      </c>
      <c r="S1716" s="517"/>
    </row>
    <row r="1717" spans="2:21" ht="9" customHeight="1" thickTop="1" x14ac:dyDescent="0.45">
      <c r="B1717" s="563"/>
      <c r="C1717" s="584"/>
      <c r="L1717" s="452"/>
      <c r="M1717" s="452"/>
      <c r="N1717" s="449"/>
      <c r="O1717" s="639"/>
      <c r="P1717" s="634"/>
      <c r="Q1717" s="469"/>
      <c r="R1717" s="512" t="str">
        <f t="shared" si="84"/>
        <v>DELETE</v>
      </c>
      <c r="S1717" s="517"/>
    </row>
    <row r="1718" spans="2:21" ht="9" customHeight="1" x14ac:dyDescent="0.45">
      <c r="B1718" s="563"/>
      <c r="C1718" s="584"/>
      <c r="L1718" s="452"/>
      <c r="M1718" s="452"/>
      <c r="N1718" s="449"/>
      <c r="O1718" s="670"/>
      <c r="P1718" s="634"/>
      <c r="Q1718" s="469"/>
      <c r="R1718" s="512" t="str">
        <f t="shared" si="84"/>
        <v>DELETE</v>
      </c>
      <c r="S1718" s="517"/>
    </row>
    <row r="1719" spans="2:21" ht="31.5" customHeight="1" x14ac:dyDescent="0.45">
      <c r="B1719" s="563"/>
      <c r="C1719" s="584"/>
      <c r="D1719" s="449" t="s">
        <v>457</v>
      </c>
      <c r="L1719" s="452"/>
      <c r="M1719" s="452"/>
      <c r="N1719" s="449"/>
      <c r="O1719" s="671">
        <f>TrialBalance!L284+TrialBalance!L285</f>
        <v>0</v>
      </c>
      <c r="P1719" s="634"/>
      <c r="Q1719" s="469"/>
      <c r="R1719" s="512" t="str">
        <f t="shared" si="84"/>
        <v>DELETE</v>
      </c>
      <c r="S1719" s="517">
        <f>O1719</f>
        <v>0</v>
      </c>
    </row>
    <row r="1720" spans="2:21" ht="31.5" customHeight="1" x14ac:dyDescent="0.45">
      <c r="B1720" s="563"/>
      <c r="C1720" s="584"/>
      <c r="D1720" s="449" t="s">
        <v>1524</v>
      </c>
      <c r="L1720" s="452"/>
      <c r="M1720" s="452"/>
      <c r="N1720" s="449"/>
      <c r="O1720" s="671">
        <f>-TrialBalance!L287-TrialBalance!L288</f>
        <v>0</v>
      </c>
      <c r="P1720" s="634"/>
      <c r="Q1720" s="469"/>
      <c r="R1720" s="512" t="str">
        <f t="shared" si="84"/>
        <v>DELETE</v>
      </c>
      <c r="S1720" s="517">
        <f>-O1720</f>
        <v>0</v>
      </c>
    </row>
    <row r="1721" spans="2:21" ht="31.5" customHeight="1" x14ac:dyDescent="0.45">
      <c r="B1721" s="563"/>
      <c r="C1721" s="584"/>
      <c r="D1721" s="449" t="s">
        <v>1525</v>
      </c>
      <c r="L1721" s="452"/>
      <c r="M1721" s="452"/>
      <c r="N1721" s="449"/>
      <c r="O1721" s="671">
        <f>-TrialBalance!L290-TrialBalance!L291</f>
        <v>0</v>
      </c>
      <c r="P1721" s="634"/>
      <c r="Q1721" s="469"/>
      <c r="R1721" s="512" t="str">
        <f>IF(O1721=0,"DELETE"," ")</f>
        <v>DELETE</v>
      </c>
      <c r="S1721" s="517">
        <f>-O1721</f>
        <v>0</v>
      </c>
    </row>
    <row r="1722" spans="2:21" ht="9" customHeight="1" x14ac:dyDescent="0.45">
      <c r="B1722" s="563"/>
      <c r="C1722" s="584"/>
      <c r="L1722" s="452"/>
      <c r="M1722" s="452"/>
      <c r="N1722" s="449"/>
      <c r="O1722" s="672"/>
      <c r="P1722" s="634"/>
      <c r="Q1722" s="469"/>
      <c r="R1722" s="512" t="str">
        <f t="shared" si="84"/>
        <v>DELETE</v>
      </c>
      <c r="S1722" s="517"/>
    </row>
    <row r="1723" spans="2:21" ht="9" customHeight="1" x14ac:dyDescent="0.45">
      <c r="B1723" s="563"/>
      <c r="C1723" s="584"/>
      <c r="L1723" s="452"/>
      <c r="M1723" s="452"/>
      <c r="N1723" s="449"/>
      <c r="O1723" s="639"/>
      <c r="P1723" s="634"/>
      <c r="Q1723" s="469"/>
      <c r="R1723" s="512" t="str">
        <f t="shared" si="84"/>
        <v>DELETE</v>
      </c>
      <c r="S1723" s="517"/>
    </row>
    <row r="1724" spans="2:21" ht="31.5" customHeight="1" x14ac:dyDescent="0.45">
      <c r="B1724" s="563"/>
      <c r="C1724" s="584"/>
      <c r="L1724" s="452"/>
      <c r="M1724" s="452"/>
      <c r="N1724" s="449"/>
      <c r="O1724" s="639"/>
      <c r="P1724" s="634"/>
      <c r="Q1724" s="469"/>
      <c r="R1724" s="512" t="str">
        <f>IF(R1701="DELETE","DELETE",IF(R1738="DELETE","DELETE"," "))</f>
        <v>DELETE</v>
      </c>
      <c r="S1724" s="517"/>
    </row>
    <row r="1725" spans="2:21" ht="31.5" customHeight="1" x14ac:dyDescent="0.45">
      <c r="B1725" s="563"/>
      <c r="C1725" s="584"/>
      <c r="L1725" s="452"/>
      <c r="M1725" s="452"/>
      <c r="N1725" s="449"/>
      <c r="O1725" s="639"/>
      <c r="P1725" s="634"/>
      <c r="Q1725" s="469"/>
      <c r="R1725" s="512" t="str">
        <f>R$1724</f>
        <v>DELETE</v>
      </c>
      <c r="S1725" s="517"/>
    </row>
    <row r="1726" spans="2:21" ht="31.5" customHeight="1" x14ac:dyDescent="0.45">
      <c r="B1726" s="564"/>
      <c r="C1726" s="585"/>
      <c r="D1726" s="461"/>
      <c r="E1726" s="461"/>
      <c r="F1726" s="461"/>
      <c r="G1726" s="461"/>
      <c r="H1726" s="461"/>
      <c r="I1726" s="461"/>
      <c r="J1726" s="461"/>
      <c r="K1726" s="461"/>
      <c r="L1726" s="684"/>
      <c r="M1726" s="684"/>
      <c r="N1726" s="461"/>
      <c r="O1726" s="640"/>
      <c r="P1726" s="631"/>
      <c r="Q1726" s="479"/>
      <c r="R1726" s="512" t="str">
        <f t="shared" ref="R1726:R1727" si="85">R$1724</f>
        <v>DELETE</v>
      </c>
      <c r="S1726" s="517"/>
    </row>
    <row r="1727" spans="2:21" ht="31.5" customHeight="1" x14ac:dyDescent="0.45">
      <c r="B1727" s="526"/>
      <c r="C1727" s="584"/>
      <c r="L1727" s="452"/>
      <c r="M1727" s="452"/>
      <c r="N1727" s="449"/>
      <c r="O1727" s="639"/>
      <c r="P1727" s="634"/>
      <c r="R1727" s="512" t="str">
        <f t="shared" si="85"/>
        <v>DELETE</v>
      </c>
      <c r="S1727" s="517"/>
    </row>
    <row r="1728" spans="2:21" ht="31.5" customHeight="1" x14ac:dyDescent="0.45">
      <c r="B1728" s="526"/>
      <c r="C1728" s="584"/>
      <c r="L1728" s="452"/>
      <c r="M1728" s="452"/>
      <c r="N1728" s="449"/>
      <c r="O1728" s="639"/>
      <c r="P1728" s="634"/>
      <c r="R1728" s="512" t="str">
        <f>IF(R1738="DELETE","DELETE",IF(R1701="DELETE","DELETE"," "))</f>
        <v>DELETE</v>
      </c>
      <c r="S1728" s="517"/>
    </row>
    <row r="1729" spans="2:19" ht="31.5" customHeight="1" x14ac:dyDescent="0.45">
      <c r="B1729" s="526"/>
      <c r="C1729" s="584"/>
      <c r="D1729" s="450" t="str">
        <f>Criteria!E9</f>
        <v>ABC COMPANY (PROPRIETARY) LIMITED</v>
      </c>
      <c r="O1729" s="529" t="s">
        <v>121</v>
      </c>
      <c r="Q1729" s="451">
        <f>MAX($Q$114:Q1728)+1</f>
        <v>39</v>
      </c>
      <c r="R1729" s="512" t="str">
        <f>R$1728</f>
        <v>DELETE</v>
      </c>
      <c r="S1729" s="517"/>
    </row>
    <row r="1730" spans="2:19" ht="31.5" customHeight="1" x14ac:dyDescent="0.45">
      <c r="B1730" s="526"/>
      <c r="C1730" s="584"/>
      <c r="D1730" s="450" t="str">
        <f>Criteria!E10</f>
        <v>T/A SEAFRONT HOTEL, SEAFRONT RESTAURANT AND RENTAL PROPERTIES</v>
      </c>
      <c r="R1730" s="512" t="str">
        <f>IF(R$1728="DELETE","DELETE",IF(D1730=0,"DELETE"," "))</f>
        <v>DELETE</v>
      </c>
      <c r="S1730" s="517"/>
    </row>
    <row r="1731" spans="2:19" ht="31.5" customHeight="1" x14ac:dyDescent="0.45">
      <c r="B1731" s="526"/>
      <c r="C1731" s="584"/>
      <c r="R1731" s="512" t="str">
        <f t="shared" ref="R1731:R1737" si="86">R$1728</f>
        <v>DELETE</v>
      </c>
      <c r="S1731" s="517"/>
    </row>
    <row r="1732" spans="2:19" ht="31.5" customHeight="1" x14ac:dyDescent="0.45">
      <c r="B1732" s="526"/>
      <c r="C1732" s="584"/>
      <c r="D1732" s="450" t="s">
        <v>451</v>
      </c>
      <c r="R1732" s="512" t="str">
        <f t="shared" si="86"/>
        <v>DELETE</v>
      </c>
      <c r="S1732" s="517"/>
    </row>
    <row r="1733" spans="2:19" ht="31.5" customHeight="1" x14ac:dyDescent="0.45">
      <c r="B1733" s="526"/>
      <c r="C1733" s="584"/>
      <c r="D1733" s="450" t="str">
        <f>Criteria!E20</f>
        <v>29 FEBRUARY 2024</v>
      </c>
      <c r="J1733" s="449" t="s">
        <v>303</v>
      </c>
      <c r="R1733" s="512" t="str">
        <f t="shared" si="86"/>
        <v>DELETE</v>
      </c>
      <c r="S1733" s="517"/>
    </row>
    <row r="1734" spans="2:19" ht="31.5" customHeight="1" x14ac:dyDescent="0.45">
      <c r="B1734" s="526"/>
      <c r="C1734" s="584"/>
      <c r="L1734" s="452"/>
      <c r="M1734" s="452"/>
      <c r="N1734" s="449"/>
      <c r="O1734" s="639"/>
      <c r="P1734" s="634"/>
      <c r="R1734" s="512" t="str">
        <f t="shared" si="86"/>
        <v>DELETE</v>
      </c>
      <c r="S1734" s="517"/>
    </row>
    <row r="1735" spans="2:19" ht="31.5" customHeight="1" x14ac:dyDescent="0.45">
      <c r="B1735" s="565"/>
      <c r="C1735" s="586"/>
      <c r="D1735" s="466"/>
      <c r="E1735" s="466"/>
      <c r="F1735" s="466"/>
      <c r="G1735" s="466"/>
      <c r="H1735" s="466"/>
      <c r="I1735" s="466"/>
      <c r="J1735" s="466"/>
      <c r="K1735" s="466"/>
      <c r="L1735" s="685"/>
      <c r="M1735" s="685"/>
      <c r="N1735" s="466"/>
      <c r="O1735" s="648"/>
      <c r="P1735" s="643"/>
      <c r="Q1735" s="467"/>
      <c r="R1735" s="512" t="str">
        <f t="shared" si="86"/>
        <v>DELETE</v>
      </c>
      <c r="S1735" s="517"/>
    </row>
    <row r="1736" spans="2:19" ht="31.5" customHeight="1" x14ac:dyDescent="0.45">
      <c r="B1736" s="563"/>
      <c r="C1736" s="584"/>
      <c r="L1736" s="452"/>
      <c r="M1736" s="452"/>
      <c r="N1736" s="449"/>
      <c r="O1736" s="549">
        <f>Criteria!E22</f>
        <v>2024</v>
      </c>
      <c r="P1736" s="634"/>
      <c r="Q1736" s="469"/>
      <c r="R1736" s="512" t="str">
        <f t="shared" si="86"/>
        <v>DELETE</v>
      </c>
      <c r="S1736" s="517"/>
    </row>
    <row r="1737" spans="2:19" ht="31.5" customHeight="1" x14ac:dyDescent="0.45">
      <c r="B1737" s="563"/>
      <c r="C1737" s="584"/>
      <c r="L1737" s="452"/>
      <c r="M1737" s="452"/>
      <c r="N1737" s="449"/>
      <c r="O1737" s="639"/>
      <c r="P1737" s="634"/>
      <c r="Q1737" s="469"/>
      <c r="R1737" s="512" t="str">
        <f t="shared" si="86"/>
        <v>DELETE</v>
      </c>
      <c r="S1737" s="517"/>
    </row>
    <row r="1738" spans="2:19" ht="31.5" customHeight="1" x14ac:dyDescent="0.45">
      <c r="B1738" s="563"/>
      <c r="C1738" s="583">
        <f>MAX(C1699:C1737)+0.1</f>
        <v>11.2</v>
      </c>
      <c r="D1738" s="449" t="s">
        <v>1529</v>
      </c>
      <c r="L1738" s="452"/>
      <c r="M1738" s="452"/>
      <c r="N1738" s="449"/>
      <c r="O1738" s="639"/>
      <c r="P1738" s="634"/>
      <c r="Q1738" s="469"/>
      <c r="R1738" s="512" t="str">
        <f>IF(O1752=0,"DELETE"," ")</f>
        <v>DELETE</v>
      </c>
      <c r="S1738" s="517"/>
    </row>
    <row r="1739" spans="2:19" ht="31.5" customHeight="1" x14ac:dyDescent="0.45">
      <c r="B1739" s="563"/>
      <c r="C1739" s="583"/>
      <c r="D1739" s="449" t="s">
        <v>1523</v>
      </c>
      <c r="H1739" s="452"/>
      <c r="L1739" s="452"/>
      <c r="M1739" s="452"/>
      <c r="N1739" s="449"/>
      <c r="O1739" s="639">
        <f>SUM(S1742:S1744)</f>
        <v>0</v>
      </c>
      <c r="P1739" s="634"/>
      <c r="Q1739" s="469"/>
      <c r="R1739" s="512" t="str">
        <f>R$1738</f>
        <v>DELETE</v>
      </c>
      <c r="S1739" s="517"/>
    </row>
    <row r="1740" spans="2:19" ht="9" customHeight="1" x14ac:dyDescent="0.45">
      <c r="B1740" s="563"/>
      <c r="C1740" s="583"/>
      <c r="L1740" s="452"/>
      <c r="M1740" s="452"/>
      <c r="N1740" s="449"/>
      <c r="O1740" s="639"/>
      <c r="P1740" s="634"/>
      <c r="Q1740" s="469"/>
      <c r="R1740" s="512" t="str">
        <f t="shared" ref="R1740:R1761" si="87">R$1738</f>
        <v>DELETE</v>
      </c>
      <c r="S1740" s="517"/>
    </row>
    <row r="1741" spans="2:19" ht="9" customHeight="1" x14ac:dyDescent="0.45">
      <c r="B1741" s="563"/>
      <c r="C1741" s="583"/>
      <c r="L1741" s="452"/>
      <c r="M1741" s="452"/>
      <c r="N1741" s="449"/>
      <c r="O1741" s="670"/>
      <c r="P1741" s="634"/>
      <c r="Q1741" s="469"/>
      <c r="R1741" s="512" t="str">
        <f t="shared" si="87"/>
        <v>DELETE</v>
      </c>
      <c r="S1741" s="517"/>
    </row>
    <row r="1742" spans="2:19" ht="31.5" customHeight="1" x14ac:dyDescent="0.45">
      <c r="B1742" s="563"/>
      <c r="C1742" s="583"/>
      <c r="D1742" s="449" t="s">
        <v>457</v>
      </c>
      <c r="L1742" s="452"/>
      <c r="M1742" s="452"/>
      <c r="N1742" s="449"/>
      <c r="O1742" s="671">
        <f>TrialBalance!L293</f>
        <v>0</v>
      </c>
      <c r="P1742" s="634"/>
      <c r="Q1742" s="469"/>
      <c r="R1742" s="512" t="str">
        <f t="shared" si="87"/>
        <v>DELETE</v>
      </c>
      <c r="S1742" s="517">
        <f>O1742</f>
        <v>0</v>
      </c>
    </row>
    <row r="1743" spans="2:19" ht="31.5" customHeight="1" x14ac:dyDescent="0.45">
      <c r="B1743" s="563"/>
      <c r="C1743" s="583"/>
      <c r="D1743" s="449" t="s">
        <v>1524</v>
      </c>
      <c r="L1743" s="452"/>
      <c r="M1743" s="452"/>
      <c r="N1743" s="449"/>
      <c r="O1743" s="671">
        <f>-TrialBalance!L296</f>
        <v>0</v>
      </c>
      <c r="P1743" s="634"/>
      <c r="Q1743" s="469"/>
      <c r="R1743" s="512" t="str">
        <f t="shared" si="87"/>
        <v>DELETE</v>
      </c>
      <c r="S1743" s="517">
        <f>-O1743</f>
        <v>0</v>
      </c>
    </row>
    <row r="1744" spans="2:19" ht="31.5" customHeight="1" x14ac:dyDescent="0.45">
      <c r="B1744" s="563"/>
      <c r="C1744" s="583"/>
      <c r="D1744" s="449" t="s">
        <v>1525</v>
      </c>
      <c r="L1744" s="452"/>
      <c r="M1744" s="452"/>
      <c r="N1744" s="449"/>
      <c r="O1744" s="671">
        <f>-TrialBalance!L299</f>
        <v>0</v>
      </c>
      <c r="P1744" s="634"/>
      <c r="Q1744" s="469"/>
      <c r="R1744" s="512" t="str">
        <f>IF(O1744=0,"DELETE"," ")</f>
        <v>DELETE</v>
      </c>
      <c r="S1744" s="517">
        <f>-O1744</f>
        <v>0</v>
      </c>
    </row>
    <row r="1745" spans="2:21" ht="9" customHeight="1" x14ac:dyDescent="0.45">
      <c r="B1745" s="563"/>
      <c r="C1745" s="583"/>
      <c r="L1745" s="452"/>
      <c r="M1745" s="452"/>
      <c r="N1745" s="449"/>
      <c r="O1745" s="672"/>
      <c r="P1745" s="634"/>
      <c r="Q1745" s="469"/>
      <c r="R1745" s="512" t="str">
        <f t="shared" si="87"/>
        <v>DELETE</v>
      </c>
      <c r="S1745" s="517"/>
    </row>
    <row r="1746" spans="2:21" ht="9" customHeight="1" x14ac:dyDescent="0.45">
      <c r="B1746" s="563"/>
      <c r="C1746" s="583"/>
      <c r="L1746" s="452"/>
      <c r="M1746" s="452"/>
      <c r="N1746" s="449"/>
      <c r="O1746" s="639"/>
      <c r="P1746" s="634"/>
      <c r="Q1746" s="469"/>
      <c r="R1746" s="512" t="str">
        <f t="shared" si="87"/>
        <v>DELETE</v>
      </c>
      <c r="S1746" s="517"/>
    </row>
    <row r="1747" spans="2:21" ht="31.5" customHeight="1" x14ac:dyDescent="0.45">
      <c r="B1747" s="563"/>
      <c r="C1747" s="583"/>
      <c r="D1747" s="449" t="s">
        <v>453</v>
      </c>
      <c r="L1747" s="452"/>
      <c r="M1747" s="452"/>
      <c r="N1747" s="449"/>
      <c r="O1747" s="639">
        <f>TrialBalance!L294</f>
        <v>0</v>
      </c>
      <c r="P1747" s="634"/>
      <c r="Q1747" s="469"/>
      <c r="R1747" s="512" t="str">
        <f>IF(O1747=0,"DELETE"," ")</f>
        <v>DELETE</v>
      </c>
      <c r="S1747" s="517"/>
    </row>
    <row r="1748" spans="2:21" ht="31.5" customHeight="1" x14ac:dyDescent="0.45">
      <c r="B1748" s="563"/>
      <c r="C1748" s="583"/>
      <c r="D1748" s="449" t="s">
        <v>1526</v>
      </c>
      <c r="L1748" s="452"/>
      <c r="M1748" s="452"/>
      <c r="N1748" s="449"/>
      <c r="O1748" s="639">
        <f>TrialBalance!L297</f>
        <v>0</v>
      </c>
      <c r="P1748" s="634"/>
      <c r="Q1748" s="469"/>
      <c r="R1748" s="512" t="str">
        <f t="shared" si="87"/>
        <v>DELETE</v>
      </c>
      <c r="S1748" s="517"/>
    </row>
    <row r="1749" spans="2:21" ht="31.5" customHeight="1" x14ac:dyDescent="0.45">
      <c r="B1749" s="563"/>
      <c r="C1749" s="583"/>
      <c r="D1749" s="449" t="s">
        <v>1527</v>
      </c>
      <c r="L1749" s="452"/>
      <c r="M1749" s="452"/>
      <c r="N1749" s="449"/>
      <c r="O1749" s="639">
        <f>TrialBalance!L300</f>
        <v>0</v>
      </c>
      <c r="P1749" s="634"/>
      <c r="Q1749" s="469"/>
      <c r="R1749" s="512" t="str">
        <f>IF(O1749=0,"DELETE"," ")</f>
        <v>DELETE</v>
      </c>
      <c r="S1749" s="517"/>
    </row>
    <row r="1750" spans="2:21" ht="9" customHeight="1" x14ac:dyDescent="0.45">
      <c r="B1750" s="563"/>
      <c r="C1750" s="583"/>
      <c r="L1750" s="452"/>
      <c r="M1750" s="452"/>
      <c r="N1750" s="449"/>
      <c r="O1750" s="640"/>
      <c r="P1750" s="634"/>
      <c r="Q1750" s="469"/>
      <c r="R1750" s="512" t="str">
        <f t="shared" si="87"/>
        <v>DELETE</v>
      </c>
      <c r="S1750" s="517"/>
    </row>
    <row r="1751" spans="2:21" ht="9" customHeight="1" x14ac:dyDescent="0.45">
      <c r="B1751" s="563"/>
      <c r="C1751" s="583"/>
      <c r="L1751" s="452"/>
      <c r="M1751" s="452"/>
      <c r="N1751" s="449"/>
      <c r="O1751" s="639"/>
      <c r="P1751" s="634"/>
      <c r="Q1751" s="469"/>
      <c r="R1751" s="512" t="str">
        <f t="shared" si="87"/>
        <v>DELETE</v>
      </c>
      <c r="S1751" s="517"/>
    </row>
    <row r="1752" spans="2:21" ht="31.5" customHeight="1" x14ac:dyDescent="0.45">
      <c r="B1752" s="563"/>
      <c r="C1752" s="583"/>
      <c r="D1752" s="449" t="s">
        <v>1528</v>
      </c>
      <c r="L1752" s="452"/>
      <c r="M1752" s="452"/>
      <c r="N1752" s="449"/>
      <c r="O1752" s="639">
        <f>SUM(S1756:S1758)</f>
        <v>0</v>
      </c>
      <c r="P1752" s="634"/>
      <c r="Q1752" s="469"/>
      <c r="R1752" s="512" t="str">
        <f t="shared" si="87"/>
        <v>DELETE</v>
      </c>
      <c r="S1752" s="517"/>
      <c r="U1752" s="513" t="b">
        <f>O1752=O1739+SUM(O1747:O1749)</f>
        <v>1</v>
      </c>
    </row>
    <row r="1753" spans="2:21" ht="9" customHeight="1" thickBot="1" x14ac:dyDescent="0.5">
      <c r="B1753" s="563"/>
      <c r="C1753" s="583"/>
      <c r="L1753" s="452"/>
      <c r="M1753" s="452"/>
      <c r="N1753" s="449"/>
      <c r="O1753" s="638"/>
      <c r="P1753" s="634"/>
      <c r="Q1753" s="469"/>
      <c r="R1753" s="512" t="str">
        <f t="shared" si="87"/>
        <v>DELETE</v>
      </c>
      <c r="S1753" s="517"/>
    </row>
    <row r="1754" spans="2:21" ht="9" customHeight="1" thickTop="1" x14ac:dyDescent="0.45">
      <c r="B1754" s="563"/>
      <c r="C1754" s="583"/>
      <c r="L1754" s="452"/>
      <c r="M1754" s="452"/>
      <c r="N1754" s="449"/>
      <c r="O1754" s="639"/>
      <c r="P1754" s="634"/>
      <c r="Q1754" s="469"/>
      <c r="R1754" s="512" t="str">
        <f t="shared" si="87"/>
        <v>DELETE</v>
      </c>
      <c r="S1754" s="517"/>
    </row>
    <row r="1755" spans="2:21" ht="9" customHeight="1" x14ac:dyDescent="0.45">
      <c r="B1755" s="563"/>
      <c r="C1755" s="583"/>
      <c r="L1755" s="452"/>
      <c r="M1755" s="452"/>
      <c r="N1755" s="449"/>
      <c r="O1755" s="670"/>
      <c r="P1755" s="634"/>
      <c r="Q1755" s="469"/>
      <c r="R1755" s="512" t="str">
        <f t="shared" si="87"/>
        <v>DELETE</v>
      </c>
      <c r="S1755" s="517"/>
    </row>
    <row r="1756" spans="2:21" ht="31.5" customHeight="1" x14ac:dyDescent="0.45">
      <c r="B1756" s="563"/>
      <c r="C1756" s="583"/>
      <c r="D1756" s="449" t="s">
        <v>457</v>
      </c>
      <c r="L1756" s="452"/>
      <c r="M1756" s="452"/>
      <c r="N1756" s="449"/>
      <c r="O1756" s="671">
        <f>TrialBalance!L293+TrialBalance!L294</f>
        <v>0</v>
      </c>
      <c r="P1756" s="634"/>
      <c r="Q1756" s="469"/>
      <c r="R1756" s="512" t="str">
        <f t="shared" si="87"/>
        <v>DELETE</v>
      </c>
      <c r="S1756" s="517">
        <f>O1756</f>
        <v>0</v>
      </c>
    </row>
    <row r="1757" spans="2:21" ht="31.5" customHeight="1" x14ac:dyDescent="0.45">
      <c r="B1757" s="563"/>
      <c r="C1757" s="583"/>
      <c r="D1757" s="449" t="s">
        <v>1524</v>
      </c>
      <c r="L1757" s="452"/>
      <c r="M1757" s="452"/>
      <c r="N1757" s="449"/>
      <c r="O1757" s="671">
        <f>-TrialBalance!L296-TrialBalance!L297</f>
        <v>0</v>
      </c>
      <c r="P1757" s="634"/>
      <c r="Q1757" s="469"/>
      <c r="R1757" s="512" t="str">
        <f t="shared" si="87"/>
        <v>DELETE</v>
      </c>
      <c r="S1757" s="517">
        <f>-O1757</f>
        <v>0</v>
      </c>
    </row>
    <row r="1758" spans="2:21" ht="31.5" customHeight="1" x14ac:dyDescent="0.45">
      <c r="B1758" s="563"/>
      <c r="C1758" s="583"/>
      <c r="D1758" s="449" t="s">
        <v>1525</v>
      </c>
      <c r="L1758" s="452"/>
      <c r="M1758" s="452"/>
      <c r="N1758" s="449"/>
      <c r="O1758" s="671">
        <f>-TrialBalance!L299-TrialBalance!L300</f>
        <v>0</v>
      </c>
      <c r="P1758" s="634"/>
      <c r="Q1758" s="469"/>
      <c r="R1758" s="512" t="str">
        <f>IF(O1758=0,"DELETE"," ")</f>
        <v>DELETE</v>
      </c>
      <c r="S1758" s="517">
        <f>-O1758</f>
        <v>0</v>
      </c>
    </row>
    <row r="1759" spans="2:21" ht="9" customHeight="1" x14ac:dyDescent="0.45">
      <c r="B1759" s="563"/>
      <c r="C1759" s="583"/>
      <c r="L1759" s="452"/>
      <c r="M1759" s="452"/>
      <c r="N1759" s="449"/>
      <c r="O1759" s="672"/>
      <c r="P1759" s="634"/>
      <c r="Q1759" s="469"/>
      <c r="R1759" s="512" t="str">
        <f t="shared" si="87"/>
        <v>DELETE</v>
      </c>
      <c r="S1759" s="517"/>
    </row>
    <row r="1760" spans="2:21" ht="9" customHeight="1" x14ac:dyDescent="0.45">
      <c r="B1760" s="563"/>
      <c r="C1760" s="583"/>
      <c r="L1760" s="452"/>
      <c r="M1760" s="452"/>
      <c r="N1760" s="449"/>
      <c r="O1760" s="639"/>
      <c r="P1760" s="634"/>
      <c r="Q1760" s="469"/>
      <c r="R1760" s="512" t="str">
        <f t="shared" si="87"/>
        <v>DELETE</v>
      </c>
    </row>
    <row r="1761" spans="2:18" ht="31.5" customHeight="1" x14ac:dyDescent="0.45">
      <c r="B1761" s="563"/>
      <c r="C1761" s="583"/>
      <c r="L1761" s="452"/>
      <c r="M1761" s="452"/>
      <c r="N1761" s="449"/>
      <c r="O1761" s="639"/>
      <c r="P1761" s="634"/>
      <c r="Q1761" s="469"/>
      <c r="R1761" s="512" t="str">
        <f t="shared" si="87"/>
        <v>DELETE</v>
      </c>
    </row>
    <row r="1762" spans="2:18" ht="9" customHeight="1" x14ac:dyDescent="0.45">
      <c r="B1762" s="563"/>
      <c r="C1762" s="583"/>
      <c r="L1762" s="452"/>
      <c r="M1762" s="452"/>
      <c r="N1762" s="449"/>
      <c r="O1762" s="640"/>
      <c r="P1762" s="634"/>
      <c r="Q1762" s="469"/>
      <c r="R1762" s="512" t="str">
        <f t="shared" ref="R1762:R1770" si="88">R$1699</f>
        <v>DELETE</v>
      </c>
    </row>
    <row r="1763" spans="2:18" ht="9" customHeight="1" x14ac:dyDescent="0.45">
      <c r="B1763" s="563"/>
      <c r="C1763" s="583"/>
      <c r="L1763" s="452"/>
      <c r="M1763" s="452"/>
      <c r="N1763" s="449"/>
      <c r="O1763" s="639"/>
      <c r="P1763" s="634"/>
      <c r="Q1763" s="469"/>
      <c r="R1763" s="512" t="str">
        <f t="shared" si="88"/>
        <v>DELETE</v>
      </c>
    </row>
    <row r="1764" spans="2:18" ht="31.5" customHeight="1" x14ac:dyDescent="0.45">
      <c r="B1764" s="563"/>
      <c r="C1764" s="583"/>
      <c r="D1764" s="449" t="s">
        <v>456</v>
      </c>
      <c r="L1764" s="452"/>
      <c r="M1764" s="452"/>
      <c r="N1764" s="449"/>
      <c r="O1764" s="639">
        <f>SUM(TrialBalance!L284:L300)</f>
        <v>0</v>
      </c>
      <c r="P1764" s="634"/>
      <c r="Q1764" s="469"/>
      <c r="R1764" s="512" t="str">
        <f t="shared" si="88"/>
        <v>DELETE</v>
      </c>
    </row>
    <row r="1765" spans="2:18" ht="9" customHeight="1" thickBot="1" x14ac:dyDescent="0.5">
      <c r="B1765" s="563"/>
      <c r="C1765" s="583"/>
      <c r="L1765" s="452"/>
      <c r="M1765" s="452"/>
      <c r="N1765" s="449"/>
      <c r="O1765" s="638"/>
      <c r="P1765" s="634"/>
      <c r="Q1765" s="469"/>
      <c r="R1765" s="512" t="str">
        <f t="shared" si="88"/>
        <v>DELETE</v>
      </c>
    </row>
    <row r="1766" spans="2:18" ht="9" customHeight="1" thickTop="1" x14ac:dyDescent="0.45">
      <c r="B1766" s="563"/>
      <c r="C1766" s="583"/>
      <c r="L1766" s="452"/>
      <c r="M1766" s="452"/>
      <c r="N1766" s="449"/>
      <c r="O1766" s="639"/>
      <c r="P1766" s="634"/>
      <c r="Q1766" s="469"/>
      <c r="R1766" s="512" t="str">
        <f t="shared" si="88"/>
        <v>DELETE</v>
      </c>
    </row>
    <row r="1767" spans="2:18" ht="31.5" customHeight="1" x14ac:dyDescent="0.45">
      <c r="B1767" s="563"/>
      <c r="C1767" s="450"/>
      <c r="L1767" s="452"/>
      <c r="M1767" s="527"/>
      <c r="N1767" s="449"/>
      <c r="O1767" s="639"/>
      <c r="P1767" s="634"/>
      <c r="Q1767" s="469"/>
      <c r="R1767" s="512" t="str">
        <f t="shared" si="88"/>
        <v>DELETE</v>
      </c>
    </row>
    <row r="1768" spans="2:18" ht="31.5" customHeight="1" x14ac:dyDescent="0.45">
      <c r="B1768" s="563"/>
      <c r="C1768" s="450"/>
      <c r="M1768" s="548"/>
      <c r="N1768" s="491"/>
      <c r="O1768" s="548"/>
      <c r="P1768" s="634"/>
      <c r="Q1768" s="469"/>
      <c r="R1768" s="512" t="str">
        <f t="shared" si="88"/>
        <v>DELETE</v>
      </c>
    </row>
    <row r="1769" spans="2:18" ht="31.5" customHeight="1" x14ac:dyDescent="0.45">
      <c r="B1769" s="564"/>
      <c r="C1769" s="502"/>
      <c r="D1769" s="461"/>
      <c r="E1769" s="461"/>
      <c r="F1769" s="461"/>
      <c r="G1769" s="461"/>
      <c r="H1769" s="461"/>
      <c r="I1769" s="461"/>
      <c r="J1769" s="461"/>
      <c r="K1769" s="461"/>
      <c r="L1769" s="461"/>
      <c r="M1769" s="535"/>
      <c r="N1769" s="473"/>
      <c r="O1769" s="535"/>
      <c r="P1769" s="631"/>
      <c r="Q1769" s="479"/>
      <c r="R1769" s="512" t="str">
        <f t="shared" si="88"/>
        <v>DELETE</v>
      </c>
    </row>
    <row r="1770" spans="2:18" ht="31.5" customHeight="1" x14ac:dyDescent="0.45">
      <c r="B1770" s="527"/>
      <c r="R1770" s="512" t="str">
        <f t="shared" si="88"/>
        <v>DELETE</v>
      </c>
    </row>
    <row r="1771" spans="2:18" ht="31.5" customHeight="1" x14ac:dyDescent="0.45">
      <c r="B1771" s="526"/>
      <c r="C1771" s="450"/>
      <c r="M1771" s="531"/>
      <c r="N1771" s="470"/>
      <c r="O1771" s="531"/>
      <c r="R1771" s="512" t="str">
        <f>R$1787</f>
        <v>DELETE</v>
      </c>
    </row>
    <row r="1772" spans="2:18" ht="31.5" customHeight="1" x14ac:dyDescent="0.45">
      <c r="B1772" s="526"/>
      <c r="C1772" s="450"/>
      <c r="D1772" s="450" t="str">
        <f>Criteria!E9</f>
        <v>ABC COMPANY (PROPRIETARY) LIMITED</v>
      </c>
      <c r="M1772" s="639"/>
      <c r="N1772" s="647"/>
      <c r="O1772" s="548" t="s">
        <v>121</v>
      </c>
      <c r="P1772" s="634"/>
      <c r="Q1772" s="451">
        <f>MAX($Q$114:Q1771)+1</f>
        <v>40</v>
      </c>
      <c r="R1772" s="512" t="str">
        <f t="shared" ref="R1772:R1781" si="89">R$1787</f>
        <v>DELETE</v>
      </c>
    </row>
    <row r="1773" spans="2:18" ht="31.5" customHeight="1" x14ac:dyDescent="0.45">
      <c r="B1773" s="526"/>
      <c r="C1773" s="450"/>
      <c r="D1773" s="450" t="str">
        <f>Criteria!E10</f>
        <v>T/A SEAFRONT HOTEL, SEAFRONT RESTAURANT AND RENTAL PROPERTIES</v>
      </c>
      <c r="M1773" s="639"/>
      <c r="N1773" s="647"/>
      <c r="O1773" s="639"/>
      <c r="P1773" s="634"/>
      <c r="R1773" s="512" t="str">
        <f>IF(R$1787="DELETE","DELETE",IF(D1773=0,"DELETE"," "))</f>
        <v>DELETE</v>
      </c>
    </row>
    <row r="1774" spans="2:18" ht="31.5" customHeight="1" x14ac:dyDescent="0.45">
      <c r="B1774" s="526"/>
      <c r="C1774" s="450"/>
      <c r="M1774" s="639"/>
      <c r="N1774" s="647"/>
      <c r="O1774" s="639"/>
      <c r="P1774" s="634"/>
      <c r="R1774" s="512" t="str">
        <f t="shared" si="89"/>
        <v>DELETE</v>
      </c>
    </row>
    <row r="1775" spans="2:18" ht="31.5" customHeight="1" x14ac:dyDescent="0.45">
      <c r="B1775" s="526"/>
      <c r="C1775" s="450"/>
      <c r="D1775" s="450" t="s">
        <v>451</v>
      </c>
      <c r="M1775" s="639"/>
      <c r="N1775" s="647"/>
      <c r="O1775" s="639"/>
      <c r="P1775" s="634"/>
      <c r="R1775" s="512" t="str">
        <f t="shared" si="89"/>
        <v>DELETE</v>
      </c>
    </row>
    <row r="1776" spans="2:18" ht="31.5" customHeight="1" x14ac:dyDescent="0.45">
      <c r="B1776" s="526"/>
      <c r="C1776" s="450"/>
      <c r="D1776" s="450" t="str">
        <f>Criteria!E20</f>
        <v>29 FEBRUARY 2024</v>
      </c>
      <c r="J1776" s="449" t="s">
        <v>303</v>
      </c>
      <c r="M1776" s="639"/>
      <c r="N1776" s="647"/>
      <c r="O1776" s="639"/>
      <c r="P1776" s="634"/>
      <c r="R1776" s="512" t="str">
        <f t="shared" si="89"/>
        <v>DELETE</v>
      </c>
    </row>
    <row r="1777" spans="2:18" ht="31.5" customHeight="1" x14ac:dyDescent="0.45">
      <c r="B1777" s="526"/>
      <c r="C1777" s="450"/>
      <c r="M1777" s="531"/>
      <c r="N1777" s="470"/>
      <c r="O1777" s="531"/>
      <c r="R1777" s="512" t="str">
        <f t="shared" si="89"/>
        <v>DELETE</v>
      </c>
    </row>
    <row r="1778" spans="2:18" ht="31.5" customHeight="1" x14ac:dyDescent="0.45">
      <c r="B1778" s="565"/>
      <c r="C1778" s="503"/>
      <c r="D1778" s="466"/>
      <c r="E1778" s="466"/>
      <c r="F1778" s="466"/>
      <c r="G1778" s="466"/>
      <c r="H1778" s="466"/>
      <c r="I1778" s="466"/>
      <c r="J1778" s="466"/>
      <c r="K1778" s="466"/>
      <c r="L1778" s="466"/>
      <c r="M1778" s="546"/>
      <c r="N1778" s="471"/>
      <c r="O1778" s="546"/>
      <c r="P1778" s="643"/>
      <c r="Q1778" s="467"/>
      <c r="R1778" s="512" t="str">
        <f t="shared" si="89"/>
        <v>DELETE</v>
      </c>
    </row>
    <row r="1779" spans="2:18" ht="31.5" customHeight="1" x14ac:dyDescent="0.45">
      <c r="B1779" s="563"/>
      <c r="C1779" s="450"/>
      <c r="M1779" s="548"/>
      <c r="N1779" s="491"/>
      <c r="O1779" s="549">
        <f>Criteria!E22</f>
        <v>2024</v>
      </c>
      <c r="P1779" s="634"/>
      <c r="Q1779" s="469"/>
      <c r="R1779" s="512" t="str">
        <f t="shared" si="89"/>
        <v>DELETE</v>
      </c>
    </row>
    <row r="1780" spans="2:18" ht="31.5" customHeight="1" x14ac:dyDescent="0.45">
      <c r="B1780" s="563"/>
      <c r="C1780" s="450"/>
      <c r="M1780" s="548"/>
      <c r="N1780" s="491"/>
      <c r="O1780" s="548"/>
      <c r="P1780" s="634"/>
      <c r="Q1780" s="469"/>
      <c r="R1780" s="512" t="str">
        <f t="shared" si="89"/>
        <v>DELETE</v>
      </c>
    </row>
    <row r="1781" spans="2:18" ht="31.5" customHeight="1" x14ac:dyDescent="0.45">
      <c r="B1781" s="563">
        <f>MAX($B$804:B1780)+1</f>
        <v>12</v>
      </c>
      <c r="C1781" s="450" t="str">
        <f>IF(COUNTIF(TrialBalance!L303:L305,"&gt;0")&gt;1,"INVESTMENTS IN ASSOCIATES","INVESTMENT IN ASSOCIATE")</f>
        <v>INVESTMENT IN ASSOCIATE</v>
      </c>
      <c r="M1781" s="548"/>
      <c r="N1781" s="491"/>
      <c r="O1781" s="548"/>
      <c r="P1781" s="634"/>
      <c r="Q1781" s="469"/>
      <c r="R1781" s="512" t="str">
        <f t="shared" si="89"/>
        <v>DELETE</v>
      </c>
    </row>
    <row r="1782" spans="2:18" ht="31.5" customHeight="1" x14ac:dyDescent="0.45">
      <c r="B1782" s="563"/>
      <c r="C1782" s="450"/>
      <c r="D1782" s="449" t="str">
        <f>TrialBalance!C303</f>
        <v>100 Shares in ABC Company (Pty) Ltd - 100% interest</v>
      </c>
      <c r="M1782" s="548"/>
      <c r="N1782" s="491"/>
      <c r="O1782" s="548">
        <f>TrialBalance!L303</f>
        <v>0</v>
      </c>
      <c r="P1782" s="634"/>
      <c r="Q1782" s="469"/>
      <c r="R1782" s="512" t="str">
        <f t="shared" ref="R1782:R1784" si="90">IF(O1782=0,"DELETE"," ")</f>
        <v>DELETE</v>
      </c>
    </row>
    <row r="1783" spans="2:18" ht="31.5" customHeight="1" x14ac:dyDescent="0.45">
      <c r="B1783" s="563"/>
      <c r="C1783" s="450"/>
      <c r="D1783" s="449">
        <f>TrialBalance!C304</f>
        <v>0</v>
      </c>
      <c r="M1783" s="548"/>
      <c r="N1783" s="491"/>
      <c r="O1783" s="548">
        <f>TrialBalance!L304</f>
        <v>0</v>
      </c>
      <c r="P1783" s="634"/>
      <c r="Q1783" s="469"/>
      <c r="R1783" s="512" t="str">
        <f t="shared" si="90"/>
        <v>DELETE</v>
      </c>
    </row>
    <row r="1784" spans="2:18" ht="31.5" customHeight="1" x14ac:dyDescent="0.45">
      <c r="B1784" s="563"/>
      <c r="C1784" s="450"/>
      <c r="D1784" s="449">
        <f>TrialBalance!C305</f>
        <v>0</v>
      </c>
      <c r="M1784" s="548"/>
      <c r="N1784" s="491"/>
      <c r="O1784" s="548">
        <f>TrialBalance!L305</f>
        <v>0</v>
      </c>
      <c r="P1784" s="634"/>
      <c r="Q1784" s="469"/>
      <c r="R1784" s="512" t="str">
        <f t="shared" si="90"/>
        <v>DELETE</v>
      </c>
    </row>
    <row r="1785" spans="2:18" ht="9" customHeight="1" x14ac:dyDescent="0.45">
      <c r="B1785" s="563"/>
      <c r="C1785" s="450"/>
      <c r="M1785" s="548"/>
      <c r="N1785" s="491"/>
      <c r="O1785" s="535"/>
      <c r="P1785" s="634"/>
      <c r="Q1785" s="469"/>
      <c r="R1785" s="512" t="str">
        <f t="shared" ref="R1785:R1794" si="91">R$1787</f>
        <v>DELETE</v>
      </c>
    </row>
    <row r="1786" spans="2:18" ht="9" customHeight="1" x14ac:dyDescent="0.45">
      <c r="B1786" s="563"/>
      <c r="C1786" s="450"/>
      <c r="M1786" s="548"/>
      <c r="N1786" s="491"/>
      <c r="O1786" s="548"/>
      <c r="P1786" s="634"/>
      <c r="Q1786" s="469"/>
      <c r="R1786" s="512" t="str">
        <f t="shared" si="91"/>
        <v>DELETE</v>
      </c>
    </row>
    <row r="1787" spans="2:18" ht="31.5" customHeight="1" x14ac:dyDescent="0.45">
      <c r="B1787" s="563"/>
      <c r="C1787" s="450"/>
      <c r="M1787" s="548"/>
      <c r="N1787" s="491"/>
      <c r="O1787" s="548">
        <f>SUM(O1782:O1786)</f>
        <v>0</v>
      </c>
      <c r="P1787" s="634"/>
      <c r="Q1787" s="469"/>
      <c r="R1787" s="512" t="str">
        <f t="shared" ref="R1787" si="92">IF(O1787=0,"DELETE"," ")</f>
        <v>DELETE</v>
      </c>
    </row>
    <row r="1788" spans="2:18" ht="9" customHeight="1" thickBot="1" x14ac:dyDescent="0.5">
      <c r="B1788" s="563"/>
      <c r="C1788" s="450"/>
      <c r="M1788" s="548"/>
      <c r="N1788" s="491"/>
      <c r="O1788" s="536"/>
      <c r="P1788" s="634"/>
      <c r="Q1788" s="469"/>
      <c r="R1788" s="512" t="str">
        <f t="shared" si="91"/>
        <v>DELETE</v>
      </c>
    </row>
    <row r="1789" spans="2:18" ht="9" customHeight="1" thickTop="1" x14ac:dyDescent="0.45">
      <c r="B1789" s="563"/>
      <c r="C1789" s="450"/>
      <c r="M1789" s="548"/>
      <c r="N1789" s="491"/>
      <c r="O1789" s="548"/>
      <c r="P1789" s="634"/>
      <c r="Q1789" s="469"/>
      <c r="R1789" s="512" t="str">
        <f t="shared" si="91"/>
        <v>DELETE</v>
      </c>
    </row>
    <row r="1790" spans="2:18" ht="31.5" customHeight="1" x14ac:dyDescent="0.45">
      <c r="B1790" s="563"/>
      <c r="C1790" s="449" t="str">
        <f>IF(COUNTIF(TrialBalance!L303:L305,"&gt;0")&gt;1,"The shares of the associates are not publicly traded.","The shares of the associate are not publicly traded.")</f>
        <v>The shares of the associate are not publicly traded.</v>
      </c>
      <c r="M1790" s="548"/>
      <c r="N1790" s="491"/>
      <c r="O1790" s="548"/>
      <c r="P1790" s="634"/>
      <c r="Q1790" s="469"/>
      <c r="R1790" s="512" t="str">
        <f t="shared" si="91"/>
        <v>DELETE</v>
      </c>
    </row>
    <row r="1791" spans="2:18" ht="31.5" customHeight="1" x14ac:dyDescent="0.45">
      <c r="B1791" s="563"/>
      <c r="C1791" s="450"/>
      <c r="M1791" s="548"/>
      <c r="N1791" s="491"/>
      <c r="O1791" s="548"/>
      <c r="P1791" s="634"/>
      <c r="Q1791" s="469"/>
      <c r="R1791" s="512" t="str">
        <f t="shared" si="91"/>
        <v>DELETE</v>
      </c>
    </row>
    <row r="1792" spans="2:18" ht="31.5" customHeight="1" x14ac:dyDescent="0.45">
      <c r="B1792" s="563"/>
      <c r="C1792" s="450"/>
      <c r="M1792" s="548"/>
      <c r="N1792" s="491"/>
      <c r="O1792" s="548"/>
      <c r="P1792" s="634"/>
      <c r="Q1792" s="469"/>
      <c r="R1792" s="512" t="str">
        <f t="shared" si="91"/>
        <v>DELETE</v>
      </c>
    </row>
    <row r="1793" spans="2:18" ht="31.5" customHeight="1" x14ac:dyDescent="0.45">
      <c r="B1793" s="564"/>
      <c r="C1793" s="502"/>
      <c r="D1793" s="461"/>
      <c r="E1793" s="461"/>
      <c r="F1793" s="461"/>
      <c r="G1793" s="461"/>
      <c r="H1793" s="461"/>
      <c r="I1793" s="461"/>
      <c r="J1793" s="461"/>
      <c r="K1793" s="461"/>
      <c r="L1793" s="461"/>
      <c r="M1793" s="535"/>
      <c r="N1793" s="473"/>
      <c r="O1793" s="535"/>
      <c r="P1793" s="631"/>
      <c r="Q1793" s="479"/>
      <c r="R1793" s="512" t="str">
        <f t="shared" si="91"/>
        <v>DELETE</v>
      </c>
    </row>
    <row r="1794" spans="2:18" ht="31.5" customHeight="1" x14ac:dyDescent="0.45">
      <c r="B1794" s="526"/>
      <c r="C1794" s="450"/>
      <c r="M1794" s="531"/>
      <c r="N1794" s="470"/>
      <c r="O1794" s="531"/>
      <c r="R1794" s="512" t="str">
        <f t="shared" si="91"/>
        <v>DELETE</v>
      </c>
    </row>
    <row r="1795" spans="2:18" ht="31.5" customHeight="1" x14ac:dyDescent="0.45">
      <c r="B1795" s="527"/>
      <c r="R1795" s="512" t="str">
        <f>R$1813</f>
        <v>DELETE</v>
      </c>
    </row>
    <row r="1796" spans="2:18" ht="31.5" customHeight="1" x14ac:dyDescent="0.45">
      <c r="B1796" s="527"/>
      <c r="D1796" s="450" t="str">
        <f>Criteria!E9</f>
        <v>ABC COMPANY (PROPRIETARY) LIMITED</v>
      </c>
      <c r="O1796" s="529" t="s">
        <v>121</v>
      </c>
      <c r="Q1796" s="451">
        <f>MAX($Q$114:Q1795)+1</f>
        <v>41</v>
      </c>
      <c r="R1796" s="512" t="str">
        <f t="shared" ref="R1796:R1805" si="93">R$1813</f>
        <v>DELETE</v>
      </c>
    </row>
    <row r="1797" spans="2:18" ht="31.5" customHeight="1" x14ac:dyDescent="0.45">
      <c r="B1797" s="527"/>
      <c r="D1797" s="450" t="str">
        <f>Criteria!E10</f>
        <v>T/A SEAFRONT HOTEL, SEAFRONT RESTAURANT AND RENTAL PROPERTIES</v>
      </c>
      <c r="R1797" s="512" t="str">
        <f>IF(R$1813="DELETE","DELETE",IF(D1797=0,"DELETE"," "))</f>
        <v>DELETE</v>
      </c>
    </row>
    <row r="1798" spans="2:18" ht="31.5" customHeight="1" x14ac:dyDescent="0.45">
      <c r="B1798" s="527"/>
      <c r="R1798" s="512" t="str">
        <f t="shared" si="93"/>
        <v>DELETE</v>
      </c>
    </row>
    <row r="1799" spans="2:18" ht="31.5" customHeight="1" x14ac:dyDescent="0.45">
      <c r="B1799" s="527"/>
      <c r="D1799" s="450" t="s">
        <v>451</v>
      </c>
      <c r="R1799" s="512" t="str">
        <f t="shared" si="93"/>
        <v>DELETE</v>
      </c>
    </row>
    <row r="1800" spans="2:18" ht="31.5" customHeight="1" x14ac:dyDescent="0.45">
      <c r="B1800" s="527"/>
      <c r="D1800" s="450" t="str">
        <f>Criteria!E20</f>
        <v>29 FEBRUARY 2024</v>
      </c>
      <c r="J1800" s="449" t="s">
        <v>303</v>
      </c>
      <c r="R1800" s="512" t="str">
        <f t="shared" si="93"/>
        <v>DELETE</v>
      </c>
    </row>
    <row r="1801" spans="2:18" ht="31.5" customHeight="1" x14ac:dyDescent="0.45">
      <c r="B1801" s="527"/>
      <c r="R1801" s="512" t="str">
        <f t="shared" si="93"/>
        <v>DELETE</v>
      </c>
    </row>
    <row r="1802" spans="2:18" ht="31.5" customHeight="1" x14ac:dyDescent="0.45">
      <c r="B1802" s="566"/>
      <c r="C1802" s="466"/>
      <c r="D1802" s="466"/>
      <c r="E1802" s="466"/>
      <c r="F1802" s="466"/>
      <c r="G1802" s="466"/>
      <c r="H1802" s="466"/>
      <c r="I1802" s="466"/>
      <c r="J1802" s="466"/>
      <c r="K1802" s="466"/>
      <c r="L1802" s="466"/>
      <c r="M1802" s="642"/>
      <c r="N1802" s="643"/>
      <c r="O1802" s="642"/>
      <c r="P1802" s="643"/>
      <c r="Q1802" s="467"/>
      <c r="R1802" s="512" t="str">
        <f t="shared" si="93"/>
        <v>DELETE</v>
      </c>
    </row>
    <row r="1803" spans="2:18" ht="31.5" customHeight="1" x14ac:dyDescent="0.45">
      <c r="B1803" s="582"/>
      <c r="L1803" s="452"/>
      <c r="M1803" s="527"/>
      <c r="N1803" s="449"/>
      <c r="O1803" s="525">
        <f>Criteria!E22</f>
        <v>2024</v>
      </c>
      <c r="Q1803" s="469"/>
      <c r="R1803" s="512" t="str">
        <f t="shared" si="93"/>
        <v>DELETE</v>
      </c>
    </row>
    <row r="1804" spans="2:18" ht="31.5" customHeight="1" x14ac:dyDescent="0.45">
      <c r="B1804" s="582"/>
      <c r="L1804" s="452"/>
      <c r="M1804" s="527"/>
      <c r="N1804" s="449"/>
      <c r="Q1804" s="469"/>
      <c r="R1804" s="512" t="str">
        <f t="shared" si="93"/>
        <v>DELETE</v>
      </c>
    </row>
    <row r="1805" spans="2:18" ht="31.5" customHeight="1" x14ac:dyDescent="0.45">
      <c r="B1805" s="563">
        <f>MAX($B$804:B1804)+1</f>
        <v>13</v>
      </c>
      <c r="C1805" s="450" t="str">
        <f>IF(COUNTIF(TrialBalance!L307:L311,"&gt;0")&gt;1,"LISTED INVESTMENTS","LISTED INVESTMENT")</f>
        <v>LISTED INVESTMENT</v>
      </c>
      <c r="L1805" s="452"/>
      <c r="M1805" s="527"/>
      <c r="N1805" s="449"/>
      <c r="O1805" s="635"/>
      <c r="Q1805" s="469"/>
      <c r="R1805" s="512" t="str">
        <f t="shared" si="93"/>
        <v>DELETE</v>
      </c>
    </row>
    <row r="1806" spans="2:18" ht="31.5" customHeight="1" x14ac:dyDescent="0.45">
      <c r="B1806" s="563"/>
      <c r="C1806" s="450"/>
      <c r="D1806" s="449">
        <f>TrialBalance!C307</f>
        <v>0</v>
      </c>
      <c r="L1806" s="452"/>
      <c r="M1806" s="527"/>
      <c r="N1806" s="449"/>
      <c r="O1806" s="531">
        <f>TrialBalance!L307</f>
        <v>0</v>
      </c>
      <c r="Q1806" s="469"/>
      <c r="R1806" s="512" t="str">
        <f t="shared" ref="R1806:R1810" si="94">IF(O1806=0,"DELETE"," ")</f>
        <v>DELETE</v>
      </c>
    </row>
    <row r="1807" spans="2:18" ht="31.5" customHeight="1" x14ac:dyDescent="0.45">
      <c r="B1807" s="563"/>
      <c r="C1807" s="450"/>
      <c r="D1807" s="449">
        <f>TrialBalance!C308</f>
        <v>0</v>
      </c>
      <c r="L1807" s="452"/>
      <c r="M1807" s="527"/>
      <c r="N1807" s="449"/>
      <c r="O1807" s="531">
        <f>TrialBalance!L308</f>
        <v>0</v>
      </c>
      <c r="Q1807" s="469"/>
      <c r="R1807" s="512" t="str">
        <f t="shared" si="94"/>
        <v>DELETE</v>
      </c>
    </row>
    <row r="1808" spans="2:18" ht="31.5" customHeight="1" x14ac:dyDescent="0.45">
      <c r="B1808" s="563"/>
      <c r="C1808" s="450"/>
      <c r="D1808" s="449">
        <f>TrialBalance!C309</f>
        <v>0</v>
      </c>
      <c r="L1808" s="452"/>
      <c r="M1808" s="527"/>
      <c r="N1808" s="449"/>
      <c r="O1808" s="531">
        <f>TrialBalance!L309</f>
        <v>0</v>
      </c>
      <c r="Q1808" s="469"/>
      <c r="R1808" s="512" t="str">
        <f t="shared" si="94"/>
        <v>DELETE</v>
      </c>
    </row>
    <row r="1809" spans="2:18" ht="31.5" customHeight="1" x14ac:dyDescent="0.45">
      <c r="B1809" s="563"/>
      <c r="C1809" s="450"/>
      <c r="D1809" s="449">
        <f>TrialBalance!C310</f>
        <v>0</v>
      </c>
      <c r="L1809" s="452"/>
      <c r="M1809" s="527"/>
      <c r="N1809" s="449"/>
      <c r="O1809" s="531">
        <f>TrialBalance!L310</f>
        <v>0</v>
      </c>
      <c r="Q1809" s="469"/>
      <c r="R1809" s="512" t="str">
        <f t="shared" si="94"/>
        <v>DELETE</v>
      </c>
    </row>
    <row r="1810" spans="2:18" ht="31.5" customHeight="1" x14ac:dyDescent="0.45">
      <c r="B1810" s="563"/>
      <c r="C1810" s="450"/>
      <c r="D1810" s="449">
        <f>TrialBalance!C311</f>
        <v>0</v>
      </c>
      <c r="L1810" s="452"/>
      <c r="M1810" s="527"/>
      <c r="N1810" s="449"/>
      <c r="O1810" s="531">
        <f>TrialBalance!L311</f>
        <v>0</v>
      </c>
      <c r="Q1810" s="469"/>
      <c r="R1810" s="512" t="str">
        <f t="shared" si="94"/>
        <v>DELETE</v>
      </c>
    </row>
    <row r="1811" spans="2:18" ht="9" customHeight="1" x14ac:dyDescent="0.45">
      <c r="B1811" s="563"/>
      <c r="C1811" s="450"/>
      <c r="L1811" s="452"/>
      <c r="M1811" s="527"/>
      <c r="N1811" s="449"/>
      <c r="O1811" s="535"/>
      <c r="Q1811" s="469"/>
      <c r="R1811" s="512" t="str">
        <f>R1813</f>
        <v>DELETE</v>
      </c>
    </row>
    <row r="1812" spans="2:18" ht="9" customHeight="1" x14ac:dyDescent="0.45">
      <c r="B1812" s="563"/>
      <c r="C1812" s="450"/>
      <c r="L1812" s="452"/>
      <c r="M1812" s="527"/>
      <c r="N1812" s="449"/>
      <c r="O1812" s="531"/>
      <c r="Q1812" s="469"/>
      <c r="R1812" s="512" t="str">
        <f>R1813</f>
        <v>DELETE</v>
      </c>
    </row>
    <row r="1813" spans="2:18" ht="31.5" customHeight="1" x14ac:dyDescent="0.45">
      <c r="B1813" s="563"/>
      <c r="C1813" s="450"/>
      <c r="L1813" s="452"/>
      <c r="M1813" s="527"/>
      <c r="N1813" s="449"/>
      <c r="O1813" s="531">
        <f>SUM(O1806:O1812)</f>
        <v>0</v>
      </c>
      <c r="Q1813" s="469"/>
      <c r="R1813" s="512" t="str">
        <f t="shared" ref="R1813" si="95">IF(O1813=0,"DELETE"," ")</f>
        <v>DELETE</v>
      </c>
    </row>
    <row r="1814" spans="2:18" ht="9" customHeight="1" thickBot="1" x14ac:dyDescent="0.5">
      <c r="B1814" s="563"/>
      <c r="C1814" s="450"/>
      <c r="L1814" s="452"/>
      <c r="M1814" s="527"/>
      <c r="N1814" s="449"/>
      <c r="O1814" s="536"/>
      <c r="Q1814" s="469"/>
      <c r="R1814" s="512" t="str">
        <f>R1813</f>
        <v>DELETE</v>
      </c>
    </row>
    <row r="1815" spans="2:18" ht="9" customHeight="1" thickTop="1" x14ac:dyDescent="0.45">
      <c r="B1815" s="563"/>
      <c r="C1815" s="450"/>
      <c r="L1815" s="452"/>
      <c r="M1815" s="527"/>
      <c r="N1815" s="449"/>
      <c r="O1815" s="548"/>
      <c r="Q1815" s="469"/>
      <c r="R1815" s="512" t="str">
        <f>R1814</f>
        <v>DELETE</v>
      </c>
    </row>
    <row r="1816" spans="2:18" ht="31.5" customHeight="1" x14ac:dyDescent="0.45">
      <c r="B1816" s="563"/>
      <c r="C1816" s="450"/>
      <c r="L1816" s="452"/>
      <c r="M1816" s="527"/>
      <c r="N1816" s="449"/>
      <c r="O1816" s="548"/>
      <c r="Q1816" s="469"/>
      <c r="R1816" s="512" t="str">
        <f t="shared" ref="R1816:R1823" si="96">R$1813</f>
        <v>DELETE</v>
      </c>
    </row>
    <row r="1817" spans="2:18" ht="9" customHeight="1" x14ac:dyDescent="0.45">
      <c r="B1817" s="563"/>
      <c r="C1817" s="450"/>
      <c r="L1817" s="452"/>
      <c r="M1817" s="527"/>
      <c r="N1817" s="449"/>
      <c r="O1817" s="535"/>
      <c r="Q1817" s="469"/>
      <c r="R1817" s="512" t="str">
        <f>R1818</f>
        <v>DELETE</v>
      </c>
    </row>
    <row r="1818" spans="2:18" ht="9" customHeight="1" x14ac:dyDescent="0.45">
      <c r="B1818" s="563"/>
      <c r="C1818" s="450"/>
      <c r="L1818" s="452"/>
      <c r="M1818" s="527"/>
      <c r="N1818" s="449"/>
      <c r="O1818" s="548"/>
      <c r="Q1818" s="469"/>
      <c r="R1818" s="512" t="str">
        <f>R1819</f>
        <v>DELETE</v>
      </c>
    </row>
    <row r="1819" spans="2:18" ht="31.5" customHeight="1" x14ac:dyDescent="0.45">
      <c r="B1819" s="563"/>
      <c r="C1819" s="450"/>
      <c r="D1819" s="449" t="s">
        <v>957</v>
      </c>
      <c r="L1819" s="452"/>
      <c r="M1819" s="527"/>
      <c r="N1819" s="449"/>
      <c r="O1819" s="548">
        <f>Criteria!G249</f>
        <v>0</v>
      </c>
      <c r="Q1819" s="469"/>
      <c r="R1819" s="512" t="str">
        <f t="shared" ref="R1819" si="97">IF(O1819=0,"DELETE"," ")</f>
        <v>DELETE</v>
      </c>
    </row>
    <row r="1820" spans="2:18" ht="9" customHeight="1" thickBot="1" x14ac:dyDescent="0.5">
      <c r="B1820" s="563"/>
      <c r="C1820" s="450"/>
      <c r="L1820" s="452"/>
      <c r="M1820" s="527"/>
      <c r="N1820" s="449"/>
      <c r="O1820" s="536"/>
      <c r="Q1820" s="469"/>
      <c r="R1820" s="512" t="str">
        <f>R1819</f>
        <v>DELETE</v>
      </c>
    </row>
    <row r="1821" spans="2:18" ht="9" customHeight="1" thickTop="1" x14ac:dyDescent="0.45">
      <c r="B1821" s="563"/>
      <c r="C1821" s="450"/>
      <c r="L1821" s="452"/>
      <c r="M1821" s="527"/>
      <c r="N1821" s="449"/>
      <c r="O1821" s="548"/>
      <c r="Q1821" s="469"/>
      <c r="R1821" s="512" t="str">
        <f>R1820</f>
        <v>DELETE</v>
      </c>
    </row>
    <row r="1822" spans="2:18" ht="31.5" customHeight="1" x14ac:dyDescent="0.45">
      <c r="B1822" s="563"/>
      <c r="C1822" s="450"/>
      <c r="L1822" s="452"/>
      <c r="M1822" s="527"/>
      <c r="N1822" s="449"/>
      <c r="O1822" s="548"/>
      <c r="Q1822" s="469"/>
      <c r="R1822" s="512" t="str">
        <f t="shared" si="96"/>
        <v>DELETE</v>
      </c>
    </row>
    <row r="1823" spans="2:18" ht="31.5" customHeight="1" x14ac:dyDescent="0.45">
      <c r="B1823" s="563"/>
      <c r="C1823" s="450"/>
      <c r="M1823" s="548"/>
      <c r="N1823" s="491"/>
      <c r="O1823" s="548"/>
      <c r="Q1823" s="469"/>
      <c r="R1823" s="512" t="str">
        <f t="shared" si="96"/>
        <v>DELETE</v>
      </c>
    </row>
    <row r="1824" spans="2:18" ht="31.5" customHeight="1" x14ac:dyDescent="0.45">
      <c r="B1824" s="564"/>
      <c r="C1824" s="502"/>
      <c r="D1824" s="461"/>
      <c r="E1824" s="461"/>
      <c r="F1824" s="461"/>
      <c r="G1824" s="461"/>
      <c r="H1824" s="461"/>
      <c r="I1824" s="461"/>
      <c r="J1824" s="461"/>
      <c r="K1824" s="461"/>
      <c r="L1824" s="461"/>
      <c r="M1824" s="535"/>
      <c r="N1824" s="473"/>
      <c r="O1824" s="535"/>
      <c r="P1824" s="631"/>
      <c r="Q1824" s="479"/>
      <c r="R1824" s="512" t="str">
        <f>R$1813</f>
        <v>DELETE</v>
      </c>
    </row>
    <row r="1825" spans="2:22" ht="31.5" customHeight="1" x14ac:dyDescent="0.45">
      <c r="B1825" s="526"/>
      <c r="C1825" s="450"/>
      <c r="M1825" s="531"/>
      <c r="N1825" s="470"/>
      <c r="O1825" s="531"/>
      <c r="R1825" s="512" t="str">
        <f>R$1813</f>
        <v>DELETE</v>
      </c>
    </row>
    <row r="1826" spans="2:22" ht="31.5" customHeight="1" x14ac:dyDescent="0.45">
      <c r="B1826" s="526"/>
      <c r="C1826" s="450"/>
      <c r="M1826" s="531"/>
      <c r="N1826" s="470"/>
      <c r="O1826" s="531"/>
      <c r="R1826" s="512" t="str">
        <f>R$1844</f>
        <v>DELETE</v>
      </c>
    </row>
    <row r="1827" spans="2:22" ht="31.5" customHeight="1" x14ac:dyDescent="0.45">
      <c r="B1827" s="527"/>
      <c r="D1827" s="450" t="str">
        <f>Criteria!E9</f>
        <v>ABC COMPANY (PROPRIETARY) LIMITED</v>
      </c>
      <c r="O1827" s="529" t="s">
        <v>121</v>
      </c>
      <c r="Q1827" s="451">
        <f>MAX($Q$114:Q1826)+1</f>
        <v>42</v>
      </c>
      <c r="R1827" s="512" t="str">
        <f>R$1844</f>
        <v>DELETE</v>
      </c>
    </row>
    <row r="1828" spans="2:22" ht="31.5" customHeight="1" x14ac:dyDescent="0.45">
      <c r="B1828" s="527"/>
      <c r="D1828" s="450" t="str">
        <f>Criteria!E10</f>
        <v>T/A SEAFRONT HOTEL, SEAFRONT RESTAURANT AND RENTAL PROPERTIES</v>
      </c>
      <c r="R1828" s="512" t="str">
        <f>IF(R$1844="DELETE","DELETE",IF(D1828=0,"DELETE"," "))</f>
        <v>DELETE</v>
      </c>
    </row>
    <row r="1829" spans="2:22" ht="31.5" customHeight="1" x14ac:dyDescent="0.45">
      <c r="B1829" s="527"/>
      <c r="R1829" s="512" t="str">
        <f t="shared" ref="R1829:R1836" si="98">R$1844</f>
        <v>DELETE</v>
      </c>
    </row>
    <row r="1830" spans="2:22" ht="31.5" customHeight="1" x14ac:dyDescent="0.45">
      <c r="B1830" s="527"/>
      <c r="D1830" s="450" t="s">
        <v>451</v>
      </c>
      <c r="R1830" s="512" t="str">
        <f t="shared" si="98"/>
        <v>DELETE</v>
      </c>
    </row>
    <row r="1831" spans="2:22" ht="31.5" customHeight="1" x14ac:dyDescent="0.45">
      <c r="B1831" s="527"/>
      <c r="D1831" s="450" t="str">
        <f>Criteria!E20</f>
        <v>29 FEBRUARY 2024</v>
      </c>
      <c r="J1831" s="449" t="s">
        <v>303</v>
      </c>
      <c r="R1831" s="512" t="str">
        <f t="shared" si="98"/>
        <v>DELETE</v>
      </c>
    </row>
    <row r="1832" spans="2:22" ht="31.5" customHeight="1" x14ac:dyDescent="0.45">
      <c r="B1832" s="527"/>
      <c r="R1832" s="512" t="str">
        <f t="shared" si="98"/>
        <v>DELETE</v>
      </c>
    </row>
    <row r="1833" spans="2:22" ht="31.5" customHeight="1" x14ac:dyDescent="0.45">
      <c r="B1833" s="566"/>
      <c r="C1833" s="466"/>
      <c r="D1833" s="466"/>
      <c r="E1833" s="466"/>
      <c r="F1833" s="466"/>
      <c r="G1833" s="466"/>
      <c r="H1833" s="466"/>
      <c r="I1833" s="466"/>
      <c r="J1833" s="466"/>
      <c r="K1833" s="466"/>
      <c r="L1833" s="466"/>
      <c r="M1833" s="642"/>
      <c r="N1833" s="643"/>
      <c r="O1833" s="642"/>
      <c r="P1833" s="643"/>
      <c r="Q1833" s="467"/>
      <c r="R1833" s="512" t="str">
        <f t="shared" si="98"/>
        <v>DELETE</v>
      </c>
    </row>
    <row r="1834" spans="2:22" ht="31.5" customHeight="1" x14ac:dyDescent="0.45">
      <c r="B1834" s="582"/>
      <c r="L1834" s="452"/>
      <c r="M1834" s="527"/>
      <c r="N1834" s="449"/>
      <c r="O1834" s="525">
        <f>Criteria!E22</f>
        <v>2024</v>
      </c>
      <c r="Q1834" s="469"/>
      <c r="R1834" s="512" t="str">
        <f t="shared" si="98"/>
        <v>DELETE</v>
      </c>
    </row>
    <row r="1835" spans="2:22" ht="31.5" customHeight="1" x14ac:dyDescent="0.45">
      <c r="B1835" s="563"/>
      <c r="C1835" s="450"/>
      <c r="L1835" s="452"/>
      <c r="M1835" s="527"/>
      <c r="N1835" s="449"/>
      <c r="O1835" s="531"/>
      <c r="Q1835" s="469"/>
      <c r="R1835" s="512" t="str">
        <f t="shared" si="98"/>
        <v>DELETE</v>
      </c>
    </row>
    <row r="1836" spans="2:22" ht="31.5" customHeight="1" x14ac:dyDescent="0.45">
      <c r="B1836" s="563">
        <f>MAX($B$804:B1835)+1</f>
        <v>14</v>
      </c>
      <c r="C1836" s="450" t="str">
        <f>IF(COUNTIF(TrialBalance!L313:L317,"&gt;0")&gt;1,"OTHER INVESTMENTS","OTHER INVESTMENT")</f>
        <v>OTHER INVESTMENT</v>
      </c>
      <c r="D1836" s="452"/>
      <c r="L1836" s="452"/>
      <c r="M1836" s="527"/>
      <c r="N1836" s="449"/>
      <c r="O1836" s="531"/>
      <c r="Q1836" s="469"/>
      <c r="R1836" s="512" t="str">
        <f t="shared" si="98"/>
        <v>DELETE</v>
      </c>
      <c r="S1836" s="518"/>
      <c r="T1836" s="518"/>
      <c r="U1836" s="518"/>
      <c r="V1836" s="518"/>
    </row>
    <row r="1837" spans="2:22" ht="31.5" customHeight="1" x14ac:dyDescent="0.45">
      <c r="B1837" s="563"/>
      <c r="C1837" s="450"/>
      <c r="D1837" s="449">
        <f>TrialBalance!C313</f>
        <v>0</v>
      </c>
      <c r="L1837" s="452"/>
      <c r="M1837" s="527"/>
      <c r="N1837" s="449"/>
      <c r="O1837" s="531">
        <f>TrialBalance!L313</f>
        <v>0</v>
      </c>
      <c r="Q1837" s="469"/>
      <c r="R1837" s="512" t="str">
        <f t="shared" ref="R1837:R1841" si="99">IF(O1837=0,"DELETE"," ")</f>
        <v>DELETE</v>
      </c>
    </row>
    <row r="1838" spans="2:22" ht="31.5" customHeight="1" x14ac:dyDescent="0.45">
      <c r="B1838" s="563"/>
      <c r="C1838" s="450"/>
      <c r="D1838" s="449">
        <f>TrialBalance!C314</f>
        <v>0</v>
      </c>
      <c r="L1838" s="452"/>
      <c r="M1838" s="527"/>
      <c r="N1838" s="449"/>
      <c r="O1838" s="531">
        <f>TrialBalance!L314</f>
        <v>0</v>
      </c>
      <c r="Q1838" s="469"/>
      <c r="R1838" s="512" t="str">
        <f t="shared" si="99"/>
        <v>DELETE</v>
      </c>
    </row>
    <row r="1839" spans="2:22" ht="31.5" customHeight="1" x14ac:dyDescent="0.45">
      <c r="B1839" s="563"/>
      <c r="C1839" s="450"/>
      <c r="D1839" s="449">
        <f>TrialBalance!C315</f>
        <v>0</v>
      </c>
      <c r="L1839" s="452"/>
      <c r="M1839" s="527"/>
      <c r="N1839" s="449"/>
      <c r="O1839" s="531">
        <f>TrialBalance!L315</f>
        <v>0</v>
      </c>
      <c r="Q1839" s="469"/>
      <c r="R1839" s="512" t="str">
        <f t="shared" si="99"/>
        <v>DELETE</v>
      </c>
    </row>
    <row r="1840" spans="2:22" ht="31.5" customHeight="1" x14ac:dyDescent="0.45">
      <c r="B1840" s="563"/>
      <c r="C1840" s="450"/>
      <c r="D1840" s="449">
        <f>TrialBalance!C316</f>
        <v>0</v>
      </c>
      <c r="L1840" s="452"/>
      <c r="M1840" s="527"/>
      <c r="N1840" s="449"/>
      <c r="O1840" s="531">
        <f>TrialBalance!L316</f>
        <v>0</v>
      </c>
      <c r="Q1840" s="469"/>
      <c r="R1840" s="512" t="str">
        <f t="shared" si="99"/>
        <v>DELETE</v>
      </c>
    </row>
    <row r="1841" spans="2:22" ht="31.5" customHeight="1" x14ac:dyDescent="0.45">
      <c r="B1841" s="563"/>
      <c r="C1841" s="450"/>
      <c r="D1841" s="449">
        <f>TrialBalance!C317</f>
        <v>0</v>
      </c>
      <c r="L1841" s="452"/>
      <c r="M1841" s="527"/>
      <c r="N1841" s="449"/>
      <c r="O1841" s="531">
        <f>TrialBalance!L317</f>
        <v>0</v>
      </c>
      <c r="Q1841" s="469"/>
      <c r="R1841" s="512" t="str">
        <f t="shared" si="99"/>
        <v>DELETE</v>
      </c>
    </row>
    <row r="1842" spans="2:22" ht="9" customHeight="1" x14ac:dyDescent="0.45">
      <c r="B1842" s="563"/>
      <c r="C1842" s="450"/>
      <c r="L1842" s="452"/>
      <c r="M1842" s="527"/>
      <c r="N1842" s="449"/>
      <c r="O1842" s="535"/>
      <c r="Q1842" s="469"/>
      <c r="R1842" s="512" t="str">
        <f>R1844</f>
        <v>DELETE</v>
      </c>
    </row>
    <row r="1843" spans="2:22" ht="9" customHeight="1" x14ac:dyDescent="0.45">
      <c r="B1843" s="563"/>
      <c r="C1843" s="450"/>
      <c r="L1843" s="452"/>
      <c r="M1843" s="527"/>
      <c r="N1843" s="449"/>
      <c r="O1843" s="531"/>
      <c r="Q1843" s="469"/>
      <c r="R1843" s="512" t="str">
        <f>R1844</f>
        <v>DELETE</v>
      </c>
    </row>
    <row r="1844" spans="2:22" ht="31.5" customHeight="1" x14ac:dyDescent="0.45">
      <c r="B1844" s="563"/>
      <c r="C1844" s="450"/>
      <c r="L1844" s="452"/>
      <c r="M1844" s="527"/>
      <c r="N1844" s="449"/>
      <c r="O1844" s="531">
        <f>SUM(O1837:O1843)</f>
        <v>0</v>
      </c>
      <c r="Q1844" s="469"/>
      <c r="R1844" s="512" t="str">
        <f t="shared" ref="R1844" si="100">IF(O1844=0,"DELETE"," ")</f>
        <v>DELETE</v>
      </c>
      <c r="U1844" s="522"/>
      <c r="V1844" s="522"/>
    </row>
    <row r="1845" spans="2:22" ht="9" customHeight="1" thickBot="1" x14ac:dyDescent="0.5">
      <c r="B1845" s="563"/>
      <c r="C1845" s="450"/>
      <c r="L1845" s="452"/>
      <c r="M1845" s="527"/>
      <c r="N1845" s="449"/>
      <c r="O1845" s="536"/>
      <c r="Q1845" s="469"/>
      <c r="R1845" s="512" t="str">
        <f>R1844</f>
        <v>DELETE</v>
      </c>
    </row>
    <row r="1846" spans="2:22" ht="9" customHeight="1" thickTop="1" x14ac:dyDescent="0.45">
      <c r="B1846" s="563"/>
      <c r="C1846" s="450"/>
      <c r="L1846" s="452"/>
      <c r="M1846" s="527"/>
      <c r="N1846" s="449"/>
      <c r="O1846" s="548"/>
      <c r="Q1846" s="469"/>
      <c r="R1846" s="512" t="str">
        <f>R1845</f>
        <v>DELETE</v>
      </c>
    </row>
    <row r="1847" spans="2:22" ht="31.5" customHeight="1" x14ac:dyDescent="0.45">
      <c r="B1847" s="563"/>
      <c r="C1847" s="450"/>
      <c r="L1847" s="452"/>
      <c r="M1847" s="527"/>
      <c r="N1847" s="449"/>
      <c r="O1847" s="531"/>
      <c r="Q1847" s="469"/>
      <c r="R1847" s="512" t="str">
        <f t="shared" ref="R1847:R1855" si="101">R$1844</f>
        <v>DELETE</v>
      </c>
    </row>
    <row r="1848" spans="2:22" ht="9" customHeight="1" x14ac:dyDescent="0.45">
      <c r="B1848" s="563"/>
      <c r="C1848" s="450"/>
      <c r="L1848" s="452"/>
      <c r="M1848" s="527"/>
      <c r="N1848" s="449"/>
      <c r="O1848" s="535"/>
      <c r="Q1848" s="469"/>
      <c r="R1848" s="512" t="str">
        <f>R1849</f>
        <v>DELETE</v>
      </c>
    </row>
    <row r="1849" spans="2:22" ht="9" customHeight="1" x14ac:dyDescent="0.45">
      <c r="B1849" s="563"/>
      <c r="C1849" s="450"/>
      <c r="L1849" s="452"/>
      <c r="M1849" s="527"/>
      <c r="N1849" s="449"/>
      <c r="O1849" s="531"/>
      <c r="Q1849" s="469"/>
      <c r="R1849" s="512" t="str">
        <f>R1850</f>
        <v>DELETE</v>
      </c>
    </row>
    <row r="1850" spans="2:22" ht="31.5" customHeight="1" x14ac:dyDescent="0.45">
      <c r="B1850" s="563"/>
      <c r="C1850" s="449" t="str">
        <f>IF(MAX(Criteria!I41:I45)&gt;1,"Directors' valuation","Director's valuation")</f>
        <v>Directors' valuation</v>
      </c>
      <c r="L1850" s="452"/>
      <c r="M1850" s="527"/>
      <c r="N1850" s="449"/>
      <c r="O1850" s="531">
        <f>Criteria!G252</f>
        <v>0</v>
      </c>
      <c r="Q1850" s="469"/>
      <c r="R1850" s="512" t="str">
        <f t="shared" ref="R1850" si="102">IF(O1850=0,"DELETE"," ")</f>
        <v>DELETE</v>
      </c>
    </row>
    <row r="1851" spans="2:22" ht="9" customHeight="1" thickBot="1" x14ac:dyDescent="0.5">
      <c r="B1851" s="563"/>
      <c r="C1851" s="450"/>
      <c r="L1851" s="452"/>
      <c r="M1851" s="527"/>
      <c r="N1851" s="449"/>
      <c r="O1851" s="536"/>
      <c r="Q1851" s="469"/>
      <c r="R1851" s="512" t="str">
        <f>R1850</f>
        <v>DELETE</v>
      </c>
    </row>
    <row r="1852" spans="2:22" ht="9" customHeight="1" thickTop="1" x14ac:dyDescent="0.45">
      <c r="B1852" s="563"/>
      <c r="C1852" s="450"/>
      <c r="L1852" s="452"/>
      <c r="M1852" s="527"/>
      <c r="N1852" s="449"/>
      <c r="O1852" s="531"/>
      <c r="Q1852" s="469"/>
      <c r="R1852" s="512" t="str">
        <f>R1851</f>
        <v>DELETE</v>
      </c>
    </row>
    <row r="1853" spans="2:22" ht="31.5" customHeight="1" x14ac:dyDescent="0.45">
      <c r="B1853" s="563"/>
      <c r="C1853" s="450"/>
      <c r="M1853" s="531"/>
      <c r="N1853" s="470"/>
      <c r="O1853" s="531"/>
      <c r="Q1853" s="469"/>
      <c r="R1853" s="512" t="str">
        <f t="shared" si="101"/>
        <v>DELETE</v>
      </c>
    </row>
    <row r="1854" spans="2:22" ht="31.5" customHeight="1" x14ac:dyDescent="0.45">
      <c r="B1854" s="564"/>
      <c r="C1854" s="502"/>
      <c r="D1854" s="461"/>
      <c r="E1854" s="461"/>
      <c r="F1854" s="461"/>
      <c r="G1854" s="461"/>
      <c r="H1854" s="461"/>
      <c r="I1854" s="461"/>
      <c r="J1854" s="461"/>
      <c r="K1854" s="461"/>
      <c r="L1854" s="461"/>
      <c r="M1854" s="535"/>
      <c r="N1854" s="473"/>
      <c r="O1854" s="535"/>
      <c r="P1854" s="631"/>
      <c r="Q1854" s="479"/>
      <c r="R1854" s="512" t="str">
        <f t="shared" si="101"/>
        <v>DELETE</v>
      </c>
    </row>
    <row r="1855" spans="2:22" ht="31.5" customHeight="1" x14ac:dyDescent="0.45">
      <c r="B1855" s="526"/>
      <c r="C1855" s="450"/>
      <c r="M1855" s="531"/>
      <c r="N1855" s="470"/>
      <c r="O1855" s="531"/>
      <c r="R1855" s="512" t="str">
        <f t="shared" si="101"/>
        <v>DELETE</v>
      </c>
    </row>
    <row r="1856" spans="2:22" ht="31.5" customHeight="1" x14ac:dyDescent="0.45">
      <c r="B1856" s="527"/>
      <c r="M1856" s="635"/>
      <c r="N1856" s="621"/>
      <c r="O1856" s="635"/>
      <c r="R1856" s="512" t="str">
        <f>R$1907</f>
        <v>DELETE</v>
      </c>
    </row>
    <row r="1857" spans="2:19" ht="31.5" customHeight="1" x14ac:dyDescent="0.45">
      <c r="B1857" s="527"/>
      <c r="D1857" s="450" t="str">
        <f>Criteria!E9</f>
        <v>ABC COMPANY (PROPRIETARY) LIMITED</v>
      </c>
      <c r="M1857" s="635"/>
      <c r="N1857" s="621"/>
      <c r="O1857" s="531" t="s">
        <v>121</v>
      </c>
      <c r="Q1857" s="451">
        <f>MAX($Q$114:Q1856)+1</f>
        <v>43</v>
      </c>
      <c r="R1857" s="512" t="str">
        <f t="shared" ref="R1857:R1866" si="103">R$1907</f>
        <v>DELETE</v>
      </c>
    </row>
    <row r="1858" spans="2:19" ht="31.5" customHeight="1" x14ac:dyDescent="0.45">
      <c r="B1858" s="527"/>
      <c r="D1858" s="450" t="str">
        <f>Criteria!E10</f>
        <v>T/A SEAFRONT HOTEL, SEAFRONT RESTAURANT AND RENTAL PROPERTIES</v>
      </c>
      <c r="M1858" s="635"/>
      <c r="N1858" s="621"/>
      <c r="O1858" s="635"/>
      <c r="R1858" s="512" t="str">
        <f>IF(R$1907="DELETE","DELETE",IF(D1858=0,"DELETE"," "))</f>
        <v>DELETE</v>
      </c>
    </row>
    <row r="1859" spans="2:19" ht="31.5" customHeight="1" x14ac:dyDescent="0.45">
      <c r="B1859" s="527"/>
      <c r="M1859" s="635"/>
      <c r="N1859" s="621"/>
      <c r="O1859" s="635"/>
      <c r="R1859" s="512" t="str">
        <f t="shared" si="103"/>
        <v>DELETE</v>
      </c>
    </row>
    <row r="1860" spans="2:19" ht="31.5" customHeight="1" x14ac:dyDescent="0.45">
      <c r="B1860" s="527"/>
      <c r="D1860" s="450" t="s">
        <v>451</v>
      </c>
      <c r="M1860" s="635"/>
      <c r="N1860" s="621"/>
      <c r="O1860" s="635"/>
      <c r="R1860" s="512" t="str">
        <f t="shared" si="103"/>
        <v>DELETE</v>
      </c>
    </row>
    <row r="1861" spans="2:19" ht="31.5" customHeight="1" x14ac:dyDescent="0.45">
      <c r="B1861" s="527"/>
      <c r="D1861" s="450" t="str">
        <f>Criteria!E20</f>
        <v>29 FEBRUARY 2024</v>
      </c>
      <c r="J1861" s="449" t="s">
        <v>303</v>
      </c>
      <c r="M1861" s="635"/>
      <c r="N1861" s="621"/>
      <c r="O1861" s="635"/>
      <c r="R1861" s="512" t="str">
        <f t="shared" si="103"/>
        <v>DELETE</v>
      </c>
    </row>
    <row r="1862" spans="2:19" ht="31.5" customHeight="1" x14ac:dyDescent="0.45">
      <c r="B1862" s="527"/>
      <c r="M1862" s="640"/>
      <c r="N1862" s="646"/>
      <c r="O1862" s="640"/>
      <c r="R1862" s="512" t="str">
        <f t="shared" si="103"/>
        <v>DELETE</v>
      </c>
    </row>
    <row r="1863" spans="2:19" ht="31.5" customHeight="1" x14ac:dyDescent="0.45">
      <c r="B1863" s="566"/>
      <c r="C1863" s="466"/>
      <c r="D1863" s="466"/>
      <c r="E1863" s="466"/>
      <c r="F1863" s="466"/>
      <c r="G1863" s="466"/>
      <c r="H1863" s="466"/>
      <c r="I1863" s="466"/>
      <c r="J1863" s="466"/>
      <c r="K1863" s="466"/>
      <c r="L1863" s="466"/>
      <c r="M1863" s="648"/>
      <c r="N1863" s="649"/>
      <c r="O1863" s="648"/>
      <c r="P1863" s="643"/>
      <c r="Q1863" s="467"/>
      <c r="R1863" s="512" t="str">
        <f t="shared" si="103"/>
        <v>DELETE</v>
      </c>
    </row>
    <row r="1864" spans="2:19" ht="31.5" customHeight="1" x14ac:dyDescent="0.45">
      <c r="B1864" s="563"/>
      <c r="C1864" s="450"/>
      <c r="L1864" s="452"/>
      <c r="M1864" s="527"/>
      <c r="N1864" s="449"/>
      <c r="O1864" s="525">
        <f>Criteria!E22</f>
        <v>2024</v>
      </c>
      <c r="Q1864" s="469"/>
      <c r="R1864" s="512" t="str">
        <f t="shared" si="103"/>
        <v>DELETE</v>
      </c>
    </row>
    <row r="1865" spans="2:19" ht="31.5" customHeight="1" x14ac:dyDescent="0.45">
      <c r="B1865" s="563"/>
      <c r="C1865" s="450"/>
      <c r="L1865" s="452"/>
      <c r="M1865" s="527"/>
      <c r="N1865" s="449"/>
      <c r="O1865" s="531"/>
      <c r="Q1865" s="469"/>
      <c r="R1865" s="512" t="str">
        <f t="shared" si="103"/>
        <v>DELETE</v>
      </c>
    </row>
    <row r="1866" spans="2:19" ht="31.5" customHeight="1" x14ac:dyDescent="0.45">
      <c r="B1866" s="563">
        <f>MAX($B$804:B1865)+1</f>
        <v>15</v>
      </c>
      <c r="C1866" s="450" t="str">
        <f>IF(COUNTIF(TrialBalance!L319:L352,"&gt;0")&gt;1,"NON - CURRENT RECEIVABLES","NON - CURRENT RECEIVABLE")</f>
        <v>NON - CURRENT RECEIVABLE</v>
      </c>
      <c r="L1866" s="452"/>
      <c r="M1866" s="527"/>
      <c r="N1866" s="449"/>
      <c r="O1866" s="531"/>
      <c r="Q1866" s="469"/>
      <c r="R1866" s="512" t="str">
        <f t="shared" si="103"/>
        <v>DELETE</v>
      </c>
    </row>
    <row r="1867" spans="2:19" ht="31.5" customHeight="1" x14ac:dyDescent="0.45">
      <c r="B1867" s="563"/>
      <c r="C1867" s="450"/>
      <c r="D1867" s="449" t="str">
        <f>IF(COUNTIF(O1870:O1883,"&gt;0")&gt;1,"Interest bearing non - current receivables","Interest bearing non - current receivable")</f>
        <v>Interest bearing non - current receivable</v>
      </c>
      <c r="L1867" s="452"/>
      <c r="M1867" s="527"/>
      <c r="N1867" s="449"/>
      <c r="O1867" s="531">
        <f>SUM(O1869:O1884)</f>
        <v>0</v>
      </c>
      <c r="Q1867" s="469"/>
      <c r="R1867" s="512" t="str">
        <f t="shared" ref="R1867" si="104">IF(O1867=0,"DELETE"," ")</f>
        <v>DELETE</v>
      </c>
      <c r="S1867" s="517">
        <f>O1867</f>
        <v>0</v>
      </c>
    </row>
    <row r="1868" spans="2:19" ht="9" customHeight="1" x14ac:dyDescent="0.45">
      <c r="B1868" s="563"/>
      <c r="C1868" s="450"/>
      <c r="L1868" s="452"/>
      <c r="M1868" s="527"/>
      <c r="N1868" s="449"/>
      <c r="O1868" s="531"/>
      <c r="Q1868" s="469"/>
      <c r="R1868" s="512" t="str">
        <f>R1867</f>
        <v>DELETE</v>
      </c>
    </row>
    <row r="1869" spans="2:19" ht="9" customHeight="1" x14ac:dyDescent="0.45">
      <c r="B1869" s="563"/>
      <c r="C1869" s="450"/>
      <c r="L1869" s="452"/>
      <c r="M1869" s="527"/>
      <c r="N1869" s="449"/>
      <c r="O1869" s="558"/>
      <c r="Q1869" s="469"/>
      <c r="R1869" s="512" t="str">
        <f>R1868</f>
        <v>DELETE</v>
      </c>
    </row>
    <row r="1870" spans="2:19" ht="31.5" customHeight="1" x14ac:dyDescent="0.45">
      <c r="B1870" s="563"/>
      <c r="C1870" s="450"/>
      <c r="D1870" s="449">
        <f>TrialBalance!C320</f>
        <v>0</v>
      </c>
      <c r="L1870" s="452"/>
      <c r="M1870" s="527"/>
      <c r="N1870" s="449"/>
      <c r="O1870" s="559">
        <f>TrialBalance!L320</f>
        <v>0</v>
      </c>
      <c r="Q1870" s="469"/>
      <c r="R1870" s="512" t="str">
        <f t="shared" ref="R1870:R1883" si="105">IF(O1870=0,"DELETE"," ")</f>
        <v>DELETE</v>
      </c>
    </row>
    <row r="1871" spans="2:19" ht="31.5" customHeight="1" x14ac:dyDescent="0.45">
      <c r="B1871" s="563"/>
      <c r="C1871" s="450"/>
      <c r="D1871" s="449">
        <f>TrialBalance!C321</f>
        <v>0</v>
      </c>
      <c r="L1871" s="452"/>
      <c r="M1871" s="527"/>
      <c r="N1871" s="449"/>
      <c r="O1871" s="559">
        <f>TrialBalance!L321</f>
        <v>0</v>
      </c>
      <c r="Q1871" s="469"/>
      <c r="R1871" s="512" t="str">
        <f t="shared" ref="R1871:R1872" si="106">IF(O1871=0,"DELETE"," ")</f>
        <v>DELETE</v>
      </c>
    </row>
    <row r="1872" spans="2:19" ht="31.5" customHeight="1" x14ac:dyDescent="0.45">
      <c r="B1872" s="563"/>
      <c r="C1872" s="450"/>
      <c r="D1872" s="449">
        <f>TrialBalance!C322</f>
        <v>0</v>
      </c>
      <c r="L1872" s="452"/>
      <c r="M1872" s="527"/>
      <c r="N1872" s="449"/>
      <c r="O1872" s="559">
        <f>TrialBalance!L322</f>
        <v>0</v>
      </c>
      <c r="Q1872" s="469"/>
      <c r="R1872" s="512" t="str">
        <f t="shared" si="106"/>
        <v>DELETE</v>
      </c>
    </row>
    <row r="1873" spans="2:19" ht="31.5" customHeight="1" x14ac:dyDescent="0.45">
      <c r="B1873" s="563"/>
      <c r="C1873" s="450"/>
      <c r="D1873" s="449">
        <f>TrialBalance!C323</f>
        <v>0</v>
      </c>
      <c r="L1873" s="452"/>
      <c r="M1873" s="527"/>
      <c r="N1873" s="449"/>
      <c r="O1873" s="559">
        <f>TrialBalance!L323</f>
        <v>0</v>
      </c>
      <c r="Q1873" s="469"/>
      <c r="R1873" s="512" t="str">
        <f t="shared" ref="R1873:R1878" si="107">IF(O1873=0,"DELETE"," ")</f>
        <v>DELETE</v>
      </c>
    </row>
    <row r="1874" spans="2:19" ht="31.5" customHeight="1" x14ac:dyDescent="0.45">
      <c r="B1874" s="563"/>
      <c r="C1874" s="450"/>
      <c r="D1874" s="449">
        <f>TrialBalance!C324</f>
        <v>0</v>
      </c>
      <c r="L1874" s="452"/>
      <c r="M1874" s="527"/>
      <c r="N1874" s="449"/>
      <c r="O1874" s="559">
        <f>TrialBalance!L324</f>
        <v>0</v>
      </c>
      <c r="Q1874" s="469"/>
      <c r="R1874" s="512" t="str">
        <f t="shared" si="107"/>
        <v>DELETE</v>
      </c>
    </row>
    <row r="1875" spans="2:19" ht="31.5" customHeight="1" x14ac:dyDescent="0.45">
      <c r="B1875" s="563"/>
      <c r="C1875" s="450"/>
      <c r="D1875" s="449">
        <f>TrialBalance!C325</f>
        <v>0</v>
      </c>
      <c r="L1875" s="452"/>
      <c r="M1875" s="527"/>
      <c r="N1875" s="449"/>
      <c r="O1875" s="559">
        <f>TrialBalance!L325</f>
        <v>0</v>
      </c>
      <c r="Q1875" s="469"/>
      <c r="R1875" s="512" t="str">
        <f t="shared" si="107"/>
        <v>DELETE</v>
      </c>
    </row>
    <row r="1876" spans="2:19" ht="31.5" customHeight="1" x14ac:dyDescent="0.45">
      <c r="B1876" s="563"/>
      <c r="C1876" s="450"/>
      <c r="D1876" s="449">
        <f>TrialBalance!C326</f>
        <v>0</v>
      </c>
      <c r="L1876" s="452"/>
      <c r="M1876" s="527"/>
      <c r="N1876" s="449"/>
      <c r="O1876" s="559">
        <f>TrialBalance!L326</f>
        <v>0</v>
      </c>
      <c r="Q1876" s="469"/>
      <c r="R1876" s="512" t="str">
        <f t="shared" si="107"/>
        <v>DELETE</v>
      </c>
    </row>
    <row r="1877" spans="2:19" ht="31.5" customHeight="1" x14ac:dyDescent="0.45">
      <c r="B1877" s="563"/>
      <c r="C1877" s="450"/>
      <c r="D1877" s="449">
        <f>TrialBalance!C327</f>
        <v>0</v>
      </c>
      <c r="L1877" s="452"/>
      <c r="M1877" s="527"/>
      <c r="N1877" s="449"/>
      <c r="O1877" s="559">
        <f>TrialBalance!L327</f>
        <v>0</v>
      </c>
      <c r="Q1877" s="469"/>
      <c r="R1877" s="512" t="str">
        <f t="shared" si="107"/>
        <v>DELETE</v>
      </c>
    </row>
    <row r="1878" spans="2:19" ht="31.5" customHeight="1" x14ac:dyDescent="0.45">
      <c r="B1878" s="563"/>
      <c r="C1878" s="450"/>
      <c r="D1878" s="449">
        <f>TrialBalance!C328</f>
        <v>0</v>
      </c>
      <c r="L1878" s="452"/>
      <c r="M1878" s="527"/>
      <c r="N1878" s="449"/>
      <c r="O1878" s="559">
        <f>TrialBalance!L328</f>
        <v>0</v>
      </c>
      <c r="Q1878" s="469"/>
      <c r="R1878" s="512" t="str">
        <f t="shared" si="107"/>
        <v>DELETE</v>
      </c>
    </row>
    <row r="1879" spans="2:19" ht="31.5" customHeight="1" x14ac:dyDescent="0.45">
      <c r="B1879" s="563"/>
      <c r="C1879" s="450"/>
      <c r="D1879" s="449">
        <f>TrialBalance!C329</f>
        <v>0</v>
      </c>
      <c r="L1879" s="452"/>
      <c r="M1879" s="527"/>
      <c r="N1879" s="449"/>
      <c r="O1879" s="559">
        <f>TrialBalance!L329</f>
        <v>0</v>
      </c>
      <c r="Q1879" s="469"/>
      <c r="R1879" s="512" t="str">
        <f t="shared" si="105"/>
        <v>DELETE</v>
      </c>
    </row>
    <row r="1880" spans="2:19" ht="31.5" customHeight="1" x14ac:dyDescent="0.45">
      <c r="B1880" s="563"/>
      <c r="C1880" s="450"/>
      <c r="D1880" s="449">
        <f>TrialBalance!C343</f>
        <v>0</v>
      </c>
      <c r="L1880" s="452"/>
      <c r="M1880" s="527"/>
      <c r="N1880" s="449"/>
      <c r="O1880" s="559">
        <f>TrialBalance!L343</f>
        <v>0</v>
      </c>
      <c r="Q1880" s="469"/>
      <c r="R1880" s="512" t="str">
        <f t="shared" si="105"/>
        <v>DELETE</v>
      </c>
    </row>
    <row r="1881" spans="2:19" ht="31.5" customHeight="1" x14ac:dyDescent="0.45">
      <c r="B1881" s="563"/>
      <c r="C1881" s="450"/>
      <c r="D1881" s="449">
        <f>TrialBalance!C344</f>
        <v>0</v>
      </c>
      <c r="L1881" s="452"/>
      <c r="M1881" s="527"/>
      <c r="N1881" s="449"/>
      <c r="O1881" s="559">
        <f>TrialBalance!L344</f>
        <v>0</v>
      </c>
      <c r="Q1881" s="469"/>
      <c r="R1881" s="512" t="str">
        <f t="shared" si="105"/>
        <v>DELETE</v>
      </c>
    </row>
    <row r="1882" spans="2:19" ht="31.5" customHeight="1" x14ac:dyDescent="0.45">
      <c r="B1882" s="563"/>
      <c r="C1882" s="450"/>
      <c r="D1882" s="449">
        <f>TrialBalance!C345</f>
        <v>0</v>
      </c>
      <c r="L1882" s="452"/>
      <c r="M1882" s="527"/>
      <c r="N1882" s="449"/>
      <c r="O1882" s="559">
        <f>TrialBalance!L345</f>
        <v>0</v>
      </c>
      <c r="Q1882" s="469"/>
      <c r="R1882" s="512" t="str">
        <f t="shared" ref="R1882" si="108">IF(O1882=0,"DELETE"," ")</f>
        <v>DELETE</v>
      </c>
    </row>
    <row r="1883" spans="2:19" ht="31.5" customHeight="1" x14ac:dyDescent="0.45">
      <c r="B1883" s="563"/>
      <c r="C1883" s="450"/>
      <c r="D1883" s="449">
        <f>TrialBalance!C346</f>
        <v>0</v>
      </c>
      <c r="L1883" s="452"/>
      <c r="M1883" s="527"/>
      <c r="N1883" s="449"/>
      <c r="O1883" s="559">
        <f>TrialBalance!L346</f>
        <v>0</v>
      </c>
      <c r="Q1883" s="469"/>
      <c r="R1883" s="512" t="str">
        <f t="shared" si="105"/>
        <v>DELETE</v>
      </c>
    </row>
    <row r="1884" spans="2:19" ht="9" customHeight="1" x14ac:dyDescent="0.45">
      <c r="B1884" s="563"/>
      <c r="C1884" s="450"/>
      <c r="L1884" s="452"/>
      <c r="M1884" s="527"/>
      <c r="N1884" s="449"/>
      <c r="O1884" s="560"/>
      <c r="Q1884" s="469"/>
      <c r="R1884" s="512" t="str">
        <f>R1867</f>
        <v>DELETE</v>
      </c>
    </row>
    <row r="1885" spans="2:19" ht="9" customHeight="1" x14ac:dyDescent="0.45">
      <c r="B1885" s="563"/>
      <c r="C1885" s="450"/>
      <c r="L1885" s="452"/>
      <c r="M1885" s="527"/>
      <c r="N1885" s="449"/>
      <c r="O1885" s="531"/>
      <c r="Q1885" s="469"/>
      <c r="R1885" s="512" t="str">
        <f>R1884</f>
        <v>DELETE</v>
      </c>
    </row>
    <row r="1886" spans="2:19" ht="31.5" customHeight="1" x14ac:dyDescent="0.45">
      <c r="B1886" s="563"/>
      <c r="C1886" s="450"/>
      <c r="D1886" s="449" t="str">
        <f>IF(COUNTIF(O1889:O1903,"&gt;0")&gt;1,"Interest free non - current receivables","Interest free non - current receivable")</f>
        <v>Interest free non - current receivable</v>
      </c>
      <c r="L1886" s="452"/>
      <c r="M1886" s="527"/>
      <c r="N1886" s="449"/>
      <c r="O1886" s="531">
        <f>SUM(O1888:O1904)</f>
        <v>0</v>
      </c>
      <c r="Q1886" s="469"/>
      <c r="R1886" s="512" t="str">
        <f t="shared" ref="R1886" si="109">IF(O1886=0,"DELETE"," ")</f>
        <v>DELETE</v>
      </c>
      <c r="S1886" s="517">
        <f>O1886</f>
        <v>0</v>
      </c>
    </row>
    <row r="1887" spans="2:19" ht="9" customHeight="1" x14ac:dyDescent="0.45">
      <c r="B1887" s="563"/>
      <c r="C1887" s="450"/>
      <c r="L1887" s="452"/>
      <c r="M1887" s="527"/>
      <c r="N1887" s="449"/>
      <c r="O1887" s="531"/>
      <c r="Q1887" s="469"/>
      <c r="R1887" s="512" t="str">
        <f>R1886</f>
        <v>DELETE</v>
      </c>
    </row>
    <row r="1888" spans="2:19" ht="9" customHeight="1" x14ac:dyDescent="0.45">
      <c r="B1888" s="563"/>
      <c r="C1888" s="450"/>
      <c r="L1888" s="452"/>
      <c r="M1888" s="527"/>
      <c r="N1888" s="449"/>
      <c r="O1888" s="558"/>
      <c r="Q1888" s="469"/>
      <c r="R1888" s="512" t="str">
        <f>R1887</f>
        <v>DELETE</v>
      </c>
    </row>
    <row r="1889" spans="2:18" ht="31.5" customHeight="1" x14ac:dyDescent="0.45">
      <c r="B1889" s="563"/>
      <c r="C1889" s="450"/>
      <c r="D1889" s="449">
        <f>TrialBalance!C331</f>
        <v>0</v>
      </c>
      <c r="L1889" s="452"/>
      <c r="M1889" s="527"/>
      <c r="N1889" s="449"/>
      <c r="O1889" s="559">
        <f>TrialBalance!L331</f>
        <v>0</v>
      </c>
      <c r="Q1889" s="469"/>
      <c r="R1889" s="512" t="str">
        <f t="shared" ref="R1889:R1903" si="110">IF(O1889=0,"DELETE"," ")</f>
        <v>DELETE</v>
      </c>
    </row>
    <row r="1890" spans="2:18" ht="31.5" customHeight="1" x14ac:dyDescent="0.45">
      <c r="B1890" s="563"/>
      <c r="C1890" s="450"/>
      <c r="D1890" s="449">
        <f>TrialBalance!C332</f>
        <v>0</v>
      </c>
      <c r="L1890" s="452"/>
      <c r="M1890" s="527"/>
      <c r="N1890" s="449"/>
      <c r="O1890" s="559">
        <f>TrialBalance!L332</f>
        <v>0</v>
      </c>
      <c r="Q1890" s="469"/>
      <c r="R1890" s="512" t="str">
        <f t="shared" ref="R1890" si="111">IF(O1890=0,"DELETE"," ")</f>
        <v>DELETE</v>
      </c>
    </row>
    <row r="1891" spans="2:18" ht="31.5" customHeight="1" x14ac:dyDescent="0.45">
      <c r="B1891" s="563"/>
      <c r="C1891" s="450"/>
      <c r="D1891" s="449">
        <f>TrialBalance!C333</f>
        <v>0</v>
      </c>
      <c r="L1891" s="452"/>
      <c r="M1891" s="527"/>
      <c r="N1891" s="449"/>
      <c r="O1891" s="559">
        <f>TrialBalance!L333</f>
        <v>0</v>
      </c>
      <c r="Q1891" s="469"/>
      <c r="R1891" s="512" t="str">
        <f t="shared" si="110"/>
        <v>DELETE</v>
      </c>
    </row>
    <row r="1892" spans="2:18" ht="31.5" customHeight="1" x14ac:dyDescent="0.45">
      <c r="B1892" s="563"/>
      <c r="C1892" s="450"/>
      <c r="D1892" s="449">
        <f>TrialBalance!C334</f>
        <v>0</v>
      </c>
      <c r="L1892" s="452"/>
      <c r="M1892" s="527"/>
      <c r="N1892" s="449"/>
      <c r="O1892" s="559">
        <f>TrialBalance!L334</f>
        <v>0</v>
      </c>
      <c r="Q1892" s="469"/>
      <c r="R1892" s="512" t="str">
        <f t="shared" ref="R1892:R1897" si="112">IF(O1892=0,"DELETE"," ")</f>
        <v>DELETE</v>
      </c>
    </row>
    <row r="1893" spans="2:18" ht="31.5" customHeight="1" x14ac:dyDescent="0.45">
      <c r="B1893" s="563"/>
      <c r="C1893" s="450"/>
      <c r="D1893" s="449">
        <f>TrialBalance!C335</f>
        <v>0</v>
      </c>
      <c r="L1893" s="452"/>
      <c r="M1893" s="527"/>
      <c r="N1893" s="449"/>
      <c r="O1893" s="559">
        <f>TrialBalance!L335</f>
        <v>0</v>
      </c>
      <c r="Q1893" s="469"/>
      <c r="R1893" s="512" t="str">
        <f t="shared" si="112"/>
        <v>DELETE</v>
      </c>
    </row>
    <row r="1894" spans="2:18" ht="31.5" customHeight="1" x14ac:dyDescent="0.45">
      <c r="B1894" s="563"/>
      <c r="C1894" s="450"/>
      <c r="D1894" s="449">
        <f>TrialBalance!C336</f>
        <v>0</v>
      </c>
      <c r="L1894" s="452"/>
      <c r="M1894" s="527"/>
      <c r="N1894" s="449"/>
      <c r="O1894" s="559">
        <f>TrialBalance!L336</f>
        <v>0</v>
      </c>
      <c r="Q1894" s="469"/>
      <c r="R1894" s="512" t="str">
        <f t="shared" si="112"/>
        <v>DELETE</v>
      </c>
    </row>
    <row r="1895" spans="2:18" ht="31.5" customHeight="1" x14ac:dyDescent="0.45">
      <c r="B1895" s="563"/>
      <c r="C1895" s="450"/>
      <c r="D1895" s="449">
        <f>TrialBalance!C337</f>
        <v>0</v>
      </c>
      <c r="L1895" s="452"/>
      <c r="M1895" s="527"/>
      <c r="N1895" s="449"/>
      <c r="O1895" s="559">
        <f>TrialBalance!L337</f>
        <v>0</v>
      </c>
      <c r="Q1895" s="469"/>
      <c r="R1895" s="512" t="str">
        <f t="shared" si="112"/>
        <v>DELETE</v>
      </c>
    </row>
    <row r="1896" spans="2:18" ht="31.5" customHeight="1" x14ac:dyDescent="0.45">
      <c r="B1896" s="563"/>
      <c r="C1896" s="450"/>
      <c r="D1896" s="449">
        <f>TrialBalance!C338</f>
        <v>0</v>
      </c>
      <c r="L1896" s="452"/>
      <c r="M1896" s="527"/>
      <c r="N1896" s="449"/>
      <c r="O1896" s="559">
        <f>TrialBalance!L338</f>
        <v>0</v>
      </c>
      <c r="Q1896" s="469"/>
      <c r="R1896" s="512" t="str">
        <f t="shared" si="112"/>
        <v>DELETE</v>
      </c>
    </row>
    <row r="1897" spans="2:18" ht="31.5" customHeight="1" x14ac:dyDescent="0.45">
      <c r="B1897" s="563"/>
      <c r="C1897" s="450"/>
      <c r="D1897" s="449">
        <f>TrialBalance!C339</f>
        <v>0</v>
      </c>
      <c r="L1897" s="452"/>
      <c r="M1897" s="527"/>
      <c r="N1897" s="449"/>
      <c r="O1897" s="559">
        <f>TrialBalance!L339</f>
        <v>0</v>
      </c>
      <c r="Q1897" s="469"/>
      <c r="R1897" s="512" t="str">
        <f t="shared" si="112"/>
        <v>DELETE</v>
      </c>
    </row>
    <row r="1898" spans="2:18" ht="31.5" customHeight="1" x14ac:dyDescent="0.45">
      <c r="B1898" s="563"/>
      <c r="C1898" s="450"/>
      <c r="D1898" s="449">
        <f>TrialBalance!C340</f>
        <v>0</v>
      </c>
      <c r="L1898" s="452"/>
      <c r="M1898" s="527"/>
      <c r="N1898" s="449"/>
      <c r="O1898" s="559">
        <f>TrialBalance!L340</f>
        <v>0</v>
      </c>
      <c r="Q1898" s="469"/>
      <c r="R1898" s="512" t="str">
        <f t="shared" si="110"/>
        <v>DELETE</v>
      </c>
    </row>
    <row r="1899" spans="2:18" ht="31.5" customHeight="1" x14ac:dyDescent="0.45">
      <c r="B1899" s="563"/>
      <c r="C1899" s="450"/>
      <c r="D1899" s="449">
        <f>TrialBalance!C348</f>
        <v>0</v>
      </c>
      <c r="L1899" s="452"/>
      <c r="M1899" s="527"/>
      <c r="N1899" s="449"/>
      <c r="O1899" s="559">
        <f>TrialBalance!L348</f>
        <v>0</v>
      </c>
      <c r="Q1899" s="469"/>
      <c r="R1899" s="512" t="str">
        <f t="shared" si="110"/>
        <v>DELETE</v>
      </c>
    </row>
    <row r="1900" spans="2:18" ht="31.5" customHeight="1" x14ac:dyDescent="0.45">
      <c r="B1900" s="563"/>
      <c r="C1900" s="450"/>
      <c r="D1900" s="449">
        <f>TrialBalance!C349</f>
        <v>0</v>
      </c>
      <c r="L1900" s="452"/>
      <c r="M1900" s="527"/>
      <c r="N1900" s="449"/>
      <c r="O1900" s="559">
        <f>TrialBalance!L349</f>
        <v>0</v>
      </c>
      <c r="Q1900" s="469"/>
      <c r="R1900" s="512" t="str">
        <f t="shared" si="110"/>
        <v>DELETE</v>
      </c>
    </row>
    <row r="1901" spans="2:18" ht="31.5" customHeight="1" x14ac:dyDescent="0.45">
      <c r="B1901" s="563"/>
      <c r="C1901" s="450"/>
      <c r="D1901" s="449">
        <f>TrialBalance!C350</f>
        <v>0</v>
      </c>
      <c r="L1901" s="452"/>
      <c r="M1901" s="527"/>
      <c r="N1901" s="449"/>
      <c r="O1901" s="559">
        <f>TrialBalance!L350</f>
        <v>0</v>
      </c>
      <c r="Q1901" s="469"/>
      <c r="R1901" s="512" t="str">
        <f t="shared" si="110"/>
        <v>DELETE</v>
      </c>
    </row>
    <row r="1902" spans="2:18" ht="31.5" customHeight="1" x14ac:dyDescent="0.45">
      <c r="B1902" s="563"/>
      <c r="C1902" s="450"/>
      <c r="D1902" s="449">
        <f>TrialBalance!C351</f>
        <v>0</v>
      </c>
      <c r="L1902" s="452"/>
      <c r="M1902" s="527"/>
      <c r="N1902" s="449"/>
      <c r="O1902" s="559">
        <f>TrialBalance!L351</f>
        <v>0</v>
      </c>
      <c r="Q1902" s="469"/>
      <c r="R1902" s="512" t="str">
        <f t="shared" si="110"/>
        <v>DELETE</v>
      </c>
    </row>
    <row r="1903" spans="2:18" ht="31.5" customHeight="1" x14ac:dyDescent="0.45">
      <c r="B1903" s="563"/>
      <c r="C1903" s="450"/>
      <c r="D1903" s="449">
        <f>TrialBalance!C352</f>
        <v>0</v>
      </c>
      <c r="L1903" s="452"/>
      <c r="M1903" s="527"/>
      <c r="N1903" s="449"/>
      <c r="O1903" s="559">
        <f>TrialBalance!L352</f>
        <v>0</v>
      </c>
      <c r="Q1903" s="469"/>
      <c r="R1903" s="512" t="str">
        <f t="shared" si="110"/>
        <v>DELETE</v>
      </c>
    </row>
    <row r="1904" spans="2:18" ht="9" customHeight="1" x14ac:dyDescent="0.45">
      <c r="B1904" s="563"/>
      <c r="C1904" s="450"/>
      <c r="L1904" s="452"/>
      <c r="M1904" s="527"/>
      <c r="N1904" s="449"/>
      <c r="O1904" s="560"/>
      <c r="Q1904" s="469"/>
      <c r="R1904" s="512" t="str">
        <f>R1886</f>
        <v>DELETE</v>
      </c>
    </row>
    <row r="1905" spans="2:18" ht="9" customHeight="1" x14ac:dyDescent="0.45">
      <c r="B1905" s="563"/>
      <c r="C1905" s="450"/>
      <c r="L1905" s="452"/>
      <c r="M1905" s="527"/>
      <c r="N1905" s="449"/>
      <c r="O1905" s="535"/>
      <c r="Q1905" s="469"/>
      <c r="R1905" s="512" t="str">
        <f t="shared" ref="R1905" si="113">R$1907</f>
        <v>DELETE</v>
      </c>
    </row>
    <row r="1906" spans="2:18" ht="9" customHeight="1" x14ac:dyDescent="0.45">
      <c r="B1906" s="563"/>
      <c r="C1906" s="450"/>
      <c r="L1906" s="452"/>
      <c r="M1906" s="527"/>
      <c r="N1906" s="449"/>
      <c r="O1906" s="531"/>
      <c r="Q1906" s="469"/>
      <c r="R1906" s="512" t="str">
        <f>R$1907</f>
        <v>DELETE</v>
      </c>
    </row>
    <row r="1907" spans="2:18" ht="31.5" customHeight="1" x14ac:dyDescent="0.45">
      <c r="B1907" s="563"/>
      <c r="C1907" s="450"/>
      <c r="L1907" s="452"/>
      <c r="M1907" s="527"/>
      <c r="N1907" s="449"/>
      <c r="O1907" s="531">
        <f>SUM(S1867:S1905)</f>
        <v>0</v>
      </c>
      <c r="Q1907" s="469"/>
      <c r="R1907" s="512" t="str">
        <f t="shared" ref="R1907" si="114">IF(O1907=0,"DELETE"," ")</f>
        <v>DELETE</v>
      </c>
    </row>
    <row r="1908" spans="2:18" ht="9" customHeight="1" thickBot="1" x14ac:dyDescent="0.5">
      <c r="B1908" s="563"/>
      <c r="C1908" s="450"/>
      <c r="L1908" s="452"/>
      <c r="M1908" s="527"/>
      <c r="N1908" s="449"/>
      <c r="O1908" s="536"/>
      <c r="Q1908" s="469"/>
      <c r="R1908" s="512" t="str">
        <f t="shared" ref="R1908:R1913" si="115">R$1907</f>
        <v>DELETE</v>
      </c>
    </row>
    <row r="1909" spans="2:18" ht="9" customHeight="1" thickTop="1" x14ac:dyDescent="0.45">
      <c r="B1909" s="563"/>
      <c r="C1909" s="450"/>
      <c r="L1909" s="452"/>
      <c r="M1909" s="527"/>
      <c r="N1909" s="449"/>
      <c r="O1909" s="548"/>
      <c r="Q1909" s="469"/>
      <c r="R1909" s="512" t="str">
        <f t="shared" si="115"/>
        <v>DELETE</v>
      </c>
    </row>
    <row r="1910" spans="2:18" ht="31.5" customHeight="1" x14ac:dyDescent="0.45">
      <c r="B1910" s="563"/>
      <c r="C1910" s="450"/>
      <c r="L1910" s="452"/>
      <c r="M1910" s="527"/>
      <c r="N1910" s="449"/>
      <c r="O1910" s="531"/>
      <c r="Q1910" s="469"/>
      <c r="R1910" s="512" t="str">
        <f t="shared" si="115"/>
        <v>DELETE</v>
      </c>
    </row>
    <row r="1911" spans="2:18" ht="31.5" customHeight="1" x14ac:dyDescent="0.45">
      <c r="B1911" s="563"/>
      <c r="C1911" s="450"/>
      <c r="M1911" s="531"/>
      <c r="N1911" s="470"/>
      <c r="O1911" s="531"/>
      <c r="Q1911" s="469"/>
      <c r="R1911" s="512" t="str">
        <f t="shared" si="115"/>
        <v>DELETE</v>
      </c>
    </row>
    <row r="1912" spans="2:18" ht="31.5" customHeight="1" x14ac:dyDescent="0.45">
      <c r="B1912" s="564"/>
      <c r="C1912" s="502"/>
      <c r="D1912" s="461"/>
      <c r="E1912" s="461"/>
      <c r="F1912" s="461"/>
      <c r="G1912" s="461"/>
      <c r="H1912" s="461"/>
      <c r="I1912" s="461"/>
      <c r="J1912" s="461"/>
      <c r="K1912" s="461"/>
      <c r="L1912" s="461"/>
      <c r="M1912" s="535"/>
      <c r="N1912" s="473"/>
      <c r="O1912" s="535"/>
      <c r="P1912" s="631"/>
      <c r="Q1912" s="479"/>
      <c r="R1912" s="512" t="str">
        <f t="shared" si="115"/>
        <v>DELETE</v>
      </c>
    </row>
    <row r="1913" spans="2:18" ht="31.5" customHeight="1" x14ac:dyDescent="0.45">
      <c r="B1913" s="527"/>
      <c r="M1913" s="635"/>
      <c r="N1913" s="621"/>
      <c r="O1913" s="635"/>
      <c r="R1913" s="512" t="str">
        <f t="shared" si="115"/>
        <v>DELETE</v>
      </c>
    </row>
    <row r="1914" spans="2:18" ht="31.5" customHeight="1" x14ac:dyDescent="0.45">
      <c r="B1914" s="527"/>
      <c r="M1914" s="635"/>
      <c r="N1914" s="621"/>
      <c r="O1914" s="635"/>
      <c r="R1914" s="512" t="str">
        <f>R$1932</f>
        <v>DELETE</v>
      </c>
    </row>
    <row r="1915" spans="2:18" ht="31.5" customHeight="1" x14ac:dyDescent="0.45">
      <c r="B1915" s="527"/>
      <c r="D1915" s="450" t="str">
        <f>Criteria!E9</f>
        <v>ABC COMPANY (PROPRIETARY) LIMITED</v>
      </c>
      <c r="M1915" s="635"/>
      <c r="N1915" s="621"/>
      <c r="O1915" s="531" t="s">
        <v>121</v>
      </c>
      <c r="Q1915" s="451">
        <f>MAX($Q$114:Q1914)+1</f>
        <v>44</v>
      </c>
      <c r="R1915" s="512" t="str">
        <f t="shared" ref="R1915:R1925" si="116">R$1932</f>
        <v>DELETE</v>
      </c>
    </row>
    <row r="1916" spans="2:18" ht="31.5" customHeight="1" x14ac:dyDescent="0.45">
      <c r="B1916" s="527"/>
      <c r="D1916" s="450" t="str">
        <f>Criteria!E10</f>
        <v>T/A SEAFRONT HOTEL, SEAFRONT RESTAURANT AND RENTAL PROPERTIES</v>
      </c>
      <c r="M1916" s="635"/>
      <c r="N1916" s="621"/>
      <c r="O1916" s="635"/>
      <c r="R1916" s="512" t="str">
        <f>IF(R$1932="DELETE","DELETE",IF(D1916=0,"DELETE"," "))</f>
        <v>DELETE</v>
      </c>
    </row>
    <row r="1917" spans="2:18" ht="31.5" customHeight="1" x14ac:dyDescent="0.45">
      <c r="B1917" s="527"/>
      <c r="M1917" s="635"/>
      <c r="N1917" s="621"/>
      <c r="O1917" s="635"/>
      <c r="R1917" s="512" t="str">
        <f t="shared" si="116"/>
        <v>DELETE</v>
      </c>
    </row>
    <row r="1918" spans="2:18" ht="31.5" customHeight="1" x14ac:dyDescent="0.45">
      <c r="B1918" s="527"/>
      <c r="D1918" s="450" t="s">
        <v>451</v>
      </c>
      <c r="M1918" s="635"/>
      <c r="N1918" s="621"/>
      <c r="O1918" s="635"/>
      <c r="R1918" s="512" t="str">
        <f t="shared" si="116"/>
        <v>DELETE</v>
      </c>
    </row>
    <row r="1919" spans="2:18" ht="31.5" customHeight="1" x14ac:dyDescent="0.45">
      <c r="B1919" s="527"/>
      <c r="D1919" s="450" t="str">
        <f>Criteria!E20</f>
        <v>29 FEBRUARY 2024</v>
      </c>
      <c r="J1919" s="449" t="s">
        <v>303</v>
      </c>
      <c r="M1919" s="635"/>
      <c r="N1919" s="621"/>
      <c r="O1919" s="635"/>
      <c r="R1919" s="512" t="str">
        <f t="shared" si="116"/>
        <v>DELETE</v>
      </c>
    </row>
    <row r="1920" spans="2:18" ht="31.5" customHeight="1" x14ac:dyDescent="0.45">
      <c r="B1920" s="527"/>
      <c r="D1920" s="450"/>
      <c r="M1920" s="635"/>
      <c r="N1920" s="621"/>
      <c r="O1920" s="635"/>
      <c r="R1920" s="512" t="str">
        <f t="shared" si="116"/>
        <v>DELETE</v>
      </c>
    </row>
    <row r="1921" spans="2:18" ht="31.5" customHeight="1" x14ac:dyDescent="0.45">
      <c r="B1921" s="565"/>
      <c r="C1921" s="503"/>
      <c r="D1921" s="466"/>
      <c r="E1921" s="466"/>
      <c r="F1921" s="466"/>
      <c r="G1921" s="466"/>
      <c r="H1921" s="466"/>
      <c r="I1921" s="466"/>
      <c r="J1921" s="466"/>
      <c r="K1921" s="466"/>
      <c r="L1921" s="466"/>
      <c r="M1921" s="546"/>
      <c r="N1921" s="471"/>
      <c r="O1921" s="546"/>
      <c r="P1921" s="643"/>
      <c r="Q1921" s="467"/>
      <c r="R1921" s="512" t="str">
        <f t="shared" si="116"/>
        <v>DELETE</v>
      </c>
    </row>
    <row r="1922" spans="2:18" ht="31.5" customHeight="1" x14ac:dyDescent="0.45">
      <c r="B1922" s="563"/>
      <c r="C1922" s="450"/>
      <c r="L1922" s="452"/>
      <c r="M1922" s="527"/>
      <c r="N1922" s="449"/>
      <c r="O1922" s="525">
        <f>Criteria!E22</f>
        <v>2024</v>
      </c>
      <c r="Q1922" s="469"/>
      <c r="R1922" s="512" t="str">
        <f t="shared" si="116"/>
        <v>DELETE</v>
      </c>
    </row>
    <row r="1923" spans="2:18" ht="31.5" customHeight="1" x14ac:dyDescent="0.45">
      <c r="B1923" s="563"/>
      <c r="C1923" s="450"/>
      <c r="L1923" s="452"/>
      <c r="M1923" s="527"/>
      <c r="N1923" s="449"/>
      <c r="O1923" s="531"/>
      <c r="Q1923" s="469"/>
      <c r="R1923" s="512" t="str">
        <f t="shared" si="116"/>
        <v>DELETE</v>
      </c>
    </row>
    <row r="1924" spans="2:18" ht="31.5" customHeight="1" x14ac:dyDescent="0.45">
      <c r="B1924" s="563">
        <f>MAX($B$804:B1923)+1</f>
        <v>16</v>
      </c>
      <c r="C1924" s="450" t="s">
        <v>1316</v>
      </c>
      <c r="L1924" s="452"/>
      <c r="M1924" s="527"/>
      <c r="N1924" s="449"/>
      <c r="O1924" s="531"/>
      <c r="Q1924" s="469"/>
      <c r="R1924" s="512" t="str">
        <f t="shared" si="116"/>
        <v>DELETE</v>
      </c>
    </row>
    <row r="1925" spans="2:18" ht="31.5" customHeight="1" x14ac:dyDescent="0.45">
      <c r="B1925" s="563"/>
      <c r="C1925" s="450"/>
      <c r="D1925" s="449" t="s">
        <v>1317</v>
      </c>
      <c r="L1925" s="452"/>
      <c r="M1925" s="527"/>
      <c r="N1925" s="449"/>
      <c r="O1925" s="531"/>
      <c r="Q1925" s="469"/>
      <c r="R1925" s="512" t="str">
        <f t="shared" si="116"/>
        <v>DELETE</v>
      </c>
    </row>
    <row r="1926" spans="2:18" ht="31.5" customHeight="1" x14ac:dyDescent="0.45">
      <c r="B1926" s="563"/>
      <c r="C1926" s="450"/>
      <c r="D1926" s="449" t="s">
        <v>651</v>
      </c>
      <c r="L1926" s="452"/>
      <c r="M1926" s="527"/>
      <c r="N1926" s="449"/>
      <c r="O1926" s="531">
        <f>TrialBalance!L354</f>
        <v>0</v>
      </c>
      <c r="Q1926" s="469"/>
      <c r="R1926" s="512" t="str">
        <f t="shared" ref="R1926:R1929" si="117">IF(O1926=0,"DELETE"," ")</f>
        <v>DELETE</v>
      </c>
    </row>
    <row r="1927" spans="2:18" ht="31.5" customHeight="1" x14ac:dyDescent="0.45">
      <c r="B1927" s="563"/>
      <c r="C1927" s="450"/>
      <c r="D1927" s="449" t="s">
        <v>652</v>
      </c>
      <c r="L1927" s="452"/>
      <c r="M1927" s="527"/>
      <c r="N1927" s="449"/>
      <c r="O1927" s="531">
        <f>TrialBalance!L355</f>
        <v>0</v>
      </c>
      <c r="Q1927" s="469"/>
      <c r="R1927" s="512" t="str">
        <f t="shared" si="117"/>
        <v>DELETE</v>
      </c>
    </row>
    <row r="1928" spans="2:18" ht="31.5" customHeight="1" x14ac:dyDescent="0.45">
      <c r="B1928" s="563"/>
      <c r="C1928" s="450"/>
      <c r="D1928" s="449" t="s">
        <v>653</v>
      </c>
      <c r="L1928" s="452"/>
      <c r="M1928" s="527"/>
      <c r="N1928" s="449"/>
      <c r="O1928" s="531">
        <f>TrialBalance!L356</f>
        <v>0</v>
      </c>
      <c r="Q1928" s="469"/>
      <c r="R1928" s="512" t="str">
        <f t="shared" si="117"/>
        <v>DELETE</v>
      </c>
    </row>
    <row r="1929" spans="2:18" ht="31.5" customHeight="1" x14ac:dyDescent="0.45">
      <c r="B1929" s="563"/>
      <c r="C1929" s="450"/>
      <c r="D1929" s="449" t="s">
        <v>654</v>
      </c>
      <c r="L1929" s="452"/>
      <c r="M1929" s="527"/>
      <c r="N1929" s="449"/>
      <c r="O1929" s="531">
        <f>TrialBalance!L357</f>
        <v>0</v>
      </c>
      <c r="Q1929" s="469"/>
      <c r="R1929" s="512" t="str">
        <f t="shared" si="117"/>
        <v>DELETE</v>
      </c>
    </row>
    <row r="1930" spans="2:18" ht="9" customHeight="1" x14ac:dyDescent="0.45">
      <c r="B1930" s="563"/>
      <c r="C1930" s="450"/>
      <c r="L1930" s="452"/>
      <c r="M1930" s="527"/>
      <c r="N1930" s="449"/>
      <c r="O1930" s="535"/>
      <c r="Q1930" s="469"/>
      <c r="R1930" s="512" t="str">
        <f t="shared" ref="R1930:R1938" si="118">R$1932</f>
        <v>DELETE</v>
      </c>
    </row>
    <row r="1931" spans="2:18" ht="9" customHeight="1" x14ac:dyDescent="0.45">
      <c r="B1931" s="563"/>
      <c r="C1931" s="450"/>
      <c r="L1931" s="452"/>
      <c r="M1931" s="527"/>
      <c r="N1931" s="449"/>
      <c r="O1931" s="531"/>
      <c r="Q1931" s="469"/>
      <c r="R1931" s="512" t="str">
        <f t="shared" si="118"/>
        <v>DELETE</v>
      </c>
    </row>
    <row r="1932" spans="2:18" ht="31.5" customHeight="1" x14ac:dyDescent="0.45">
      <c r="B1932" s="563"/>
      <c r="C1932" s="450"/>
      <c r="L1932" s="452"/>
      <c r="M1932" s="527"/>
      <c r="N1932" s="449"/>
      <c r="O1932" s="531">
        <f>SUM(O1926:O1931)</f>
        <v>0</v>
      </c>
      <c r="Q1932" s="469"/>
      <c r="R1932" s="512" t="str">
        <f t="shared" ref="R1932" si="119">IF(O1932=0,"DELETE"," ")</f>
        <v>DELETE</v>
      </c>
    </row>
    <row r="1933" spans="2:18" ht="9" customHeight="1" thickBot="1" x14ac:dyDescent="0.5">
      <c r="B1933" s="563"/>
      <c r="C1933" s="450"/>
      <c r="L1933" s="452"/>
      <c r="M1933" s="527"/>
      <c r="N1933" s="449"/>
      <c r="O1933" s="536"/>
      <c r="Q1933" s="469"/>
      <c r="R1933" s="512" t="str">
        <f t="shared" si="118"/>
        <v>DELETE</v>
      </c>
    </row>
    <row r="1934" spans="2:18" ht="9" customHeight="1" thickTop="1" x14ac:dyDescent="0.45">
      <c r="B1934" s="563"/>
      <c r="C1934" s="450"/>
      <c r="L1934" s="452"/>
      <c r="M1934" s="527"/>
      <c r="N1934" s="449"/>
      <c r="O1934" s="548"/>
      <c r="Q1934" s="469"/>
      <c r="R1934" s="512" t="str">
        <f t="shared" si="118"/>
        <v>DELETE</v>
      </c>
    </row>
    <row r="1935" spans="2:18" ht="31.5" customHeight="1" x14ac:dyDescent="0.45">
      <c r="B1935" s="563"/>
      <c r="C1935" s="450"/>
      <c r="L1935" s="452"/>
      <c r="M1935" s="527"/>
      <c r="N1935" s="449"/>
      <c r="O1935" s="531"/>
      <c r="Q1935" s="469"/>
      <c r="R1935" s="512" t="str">
        <f t="shared" si="118"/>
        <v>DELETE</v>
      </c>
    </row>
    <row r="1936" spans="2:18" ht="31.5" customHeight="1" x14ac:dyDescent="0.45">
      <c r="B1936" s="563"/>
      <c r="C1936" s="450"/>
      <c r="M1936" s="531"/>
      <c r="N1936" s="470"/>
      <c r="O1936" s="531"/>
      <c r="Q1936" s="469"/>
      <c r="R1936" s="512" t="str">
        <f t="shared" si="118"/>
        <v>DELETE</v>
      </c>
    </row>
    <row r="1937" spans="2:22" ht="31.5" customHeight="1" x14ac:dyDescent="0.45">
      <c r="B1937" s="564"/>
      <c r="C1937" s="502"/>
      <c r="D1937" s="461"/>
      <c r="E1937" s="461"/>
      <c r="F1937" s="461"/>
      <c r="G1937" s="461"/>
      <c r="H1937" s="461"/>
      <c r="I1937" s="461"/>
      <c r="J1937" s="461"/>
      <c r="K1937" s="461"/>
      <c r="L1937" s="461"/>
      <c r="M1937" s="535"/>
      <c r="N1937" s="473"/>
      <c r="O1937" s="535"/>
      <c r="P1937" s="631"/>
      <c r="Q1937" s="479"/>
      <c r="R1937" s="512" t="str">
        <f t="shared" si="118"/>
        <v>DELETE</v>
      </c>
    </row>
    <row r="1938" spans="2:22" ht="31.5" customHeight="1" x14ac:dyDescent="0.45">
      <c r="B1938" s="526"/>
      <c r="C1938" s="450"/>
      <c r="M1938" s="531"/>
      <c r="N1938" s="470"/>
      <c r="O1938" s="531"/>
      <c r="R1938" s="512" t="str">
        <f t="shared" si="118"/>
        <v>DELETE</v>
      </c>
    </row>
    <row r="1939" spans="2:22" ht="31.5" customHeight="1" x14ac:dyDescent="0.45">
      <c r="B1939" s="527"/>
      <c r="M1939" s="635"/>
      <c r="N1939" s="621"/>
      <c r="O1939" s="635"/>
      <c r="R1939" s="512" t="str">
        <f>R$1962</f>
        <v>DELETE</v>
      </c>
    </row>
    <row r="1940" spans="2:22" ht="31.5" customHeight="1" x14ac:dyDescent="0.45">
      <c r="B1940" s="527"/>
      <c r="D1940" s="450" t="str">
        <f>Criteria!E9</f>
        <v>ABC COMPANY (PROPRIETARY) LIMITED</v>
      </c>
      <c r="M1940" s="635"/>
      <c r="N1940" s="621"/>
      <c r="O1940" s="531" t="s">
        <v>121</v>
      </c>
      <c r="Q1940" s="451">
        <f>MAX($Q$114:Q1939)+1</f>
        <v>45</v>
      </c>
      <c r="R1940" s="512" t="str">
        <f t="shared" ref="R1940:R1949" si="120">R$1962</f>
        <v>DELETE</v>
      </c>
    </row>
    <row r="1941" spans="2:22" ht="31.5" customHeight="1" x14ac:dyDescent="0.45">
      <c r="B1941" s="527"/>
      <c r="D1941" s="450" t="str">
        <f>Criteria!E10</f>
        <v>T/A SEAFRONT HOTEL, SEAFRONT RESTAURANT AND RENTAL PROPERTIES</v>
      </c>
      <c r="M1941" s="635"/>
      <c r="N1941" s="621"/>
      <c r="O1941" s="635"/>
      <c r="R1941" s="512" t="str">
        <f>IF(R$1962="DELETE","DELETE",IF(D1941=0,"DELETE"," "))</f>
        <v>DELETE</v>
      </c>
    </row>
    <row r="1942" spans="2:22" ht="31.5" customHeight="1" x14ac:dyDescent="0.45">
      <c r="B1942" s="527"/>
      <c r="M1942" s="635"/>
      <c r="N1942" s="621"/>
      <c r="O1942" s="635"/>
      <c r="R1942" s="512" t="str">
        <f t="shared" si="120"/>
        <v>DELETE</v>
      </c>
    </row>
    <row r="1943" spans="2:22" ht="31.5" customHeight="1" x14ac:dyDescent="0.45">
      <c r="B1943" s="527"/>
      <c r="D1943" s="450" t="s">
        <v>451</v>
      </c>
      <c r="M1943" s="635"/>
      <c r="N1943" s="621"/>
      <c r="O1943" s="635"/>
      <c r="R1943" s="512" t="str">
        <f t="shared" si="120"/>
        <v>DELETE</v>
      </c>
    </row>
    <row r="1944" spans="2:22" ht="31.5" customHeight="1" x14ac:dyDescent="0.45">
      <c r="B1944" s="527"/>
      <c r="D1944" s="450" t="str">
        <f>Criteria!E20</f>
        <v>29 FEBRUARY 2024</v>
      </c>
      <c r="J1944" s="449" t="s">
        <v>303</v>
      </c>
      <c r="M1944" s="635"/>
      <c r="N1944" s="621"/>
      <c r="O1944" s="635"/>
      <c r="R1944" s="512" t="str">
        <f t="shared" si="120"/>
        <v>DELETE</v>
      </c>
    </row>
    <row r="1945" spans="2:22" ht="31.5" customHeight="1" x14ac:dyDescent="0.45">
      <c r="B1945" s="527"/>
      <c r="M1945" s="640"/>
      <c r="N1945" s="646"/>
      <c r="O1945" s="640"/>
      <c r="R1945" s="512" t="str">
        <f t="shared" si="120"/>
        <v>DELETE</v>
      </c>
    </row>
    <row r="1946" spans="2:22" ht="31.5" customHeight="1" x14ac:dyDescent="0.45">
      <c r="B1946" s="566"/>
      <c r="C1946" s="466"/>
      <c r="D1946" s="466"/>
      <c r="E1946" s="466"/>
      <c r="F1946" s="466"/>
      <c r="G1946" s="466"/>
      <c r="H1946" s="466"/>
      <c r="I1946" s="466"/>
      <c r="J1946" s="466"/>
      <c r="K1946" s="466"/>
      <c r="L1946" s="466"/>
      <c r="M1946" s="648"/>
      <c r="N1946" s="649"/>
      <c r="O1946" s="648"/>
      <c r="P1946" s="643"/>
      <c r="Q1946" s="467"/>
      <c r="R1946" s="512" t="str">
        <f t="shared" si="120"/>
        <v>DELETE</v>
      </c>
    </row>
    <row r="1947" spans="2:22" ht="31.5" customHeight="1" x14ac:dyDescent="0.45">
      <c r="B1947" s="582"/>
      <c r="L1947" s="452"/>
      <c r="M1947" s="527"/>
      <c r="N1947" s="449"/>
      <c r="O1947" s="525">
        <f>Criteria!E22</f>
        <v>2024</v>
      </c>
      <c r="Q1947" s="469"/>
      <c r="R1947" s="512" t="str">
        <f t="shared" si="120"/>
        <v>DELETE</v>
      </c>
    </row>
    <row r="1948" spans="2:22" ht="31.5" customHeight="1" x14ac:dyDescent="0.45">
      <c r="B1948" s="563"/>
      <c r="C1948" s="450"/>
      <c r="L1948" s="452"/>
      <c r="M1948" s="527"/>
      <c r="N1948" s="449"/>
      <c r="O1948" s="531"/>
      <c r="Q1948" s="469"/>
      <c r="R1948" s="512" t="str">
        <f t="shared" si="120"/>
        <v>DELETE</v>
      </c>
    </row>
    <row r="1949" spans="2:22" ht="31.5" customHeight="1" x14ac:dyDescent="0.45">
      <c r="B1949" s="563">
        <f>MAX($B$804:B1948)+1</f>
        <v>17</v>
      </c>
      <c r="C1949" s="450" t="s">
        <v>930</v>
      </c>
      <c r="L1949" s="452"/>
      <c r="M1949" s="527"/>
      <c r="N1949" s="449"/>
      <c r="O1949" s="531"/>
      <c r="Q1949" s="469"/>
      <c r="R1949" s="512" t="str">
        <f t="shared" si="120"/>
        <v>DELETE</v>
      </c>
    </row>
    <row r="1950" spans="2:22" ht="31.5" customHeight="1" x14ac:dyDescent="0.45">
      <c r="B1950" s="563"/>
      <c r="C1950" s="450"/>
      <c r="D1950" s="449" t="s">
        <v>655</v>
      </c>
      <c r="L1950" s="452"/>
      <c r="M1950" s="527"/>
      <c r="N1950" s="449"/>
      <c r="O1950" s="531">
        <f>TrialBalance!L359</f>
        <v>0</v>
      </c>
      <c r="Q1950" s="469"/>
      <c r="R1950" s="512" t="str">
        <f t="shared" ref="R1950:R1951" si="121">IF(O1950=0,"DELETE"," ")</f>
        <v>DELETE</v>
      </c>
      <c r="S1950" s="518">
        <f>O1950</f>
        <v>0</v>
      </c>
      <c r="T1950" s="518"/>
      <c r="U1950" s="518"/>
      <c r="V1950" s="518"/>
    </row>
    <row r="1951" spans="2:22" ht="31.5" customHeight="1" x14ac:dyDescent="0.45">
      <c r="B1951" s="563"/>
      <c r="C1951" s="450"/>
      <c r="D1951" s="449" t="s">
        <v>765</v>
      </c>
      <c r="L1951" s="452"/>
      <c r="M1951" s="527"/>
      <c r="N1951" s="449"/>
      <c r="O1951" s="531">
        <f>TrialBalance!L360</f>
        <v>0</v>
      </c>
      <c r="Q1951" s="469"/>
      <c r="R1951" s="512" t="str">
        <f t="shared" si="121"/>
        <v>DELETE</v>
      </c>
      <c r="S1951" s="518">
        <f>O1951</f>
        <v>0</v>
      </c>
      <c r="T1951" s="518"/>
      <c r="U1951" s="518"/>
      <c r="V1951" s="518"/>
    </row>
    <row r="1952" spans="2:22" ht="9" customHeight="1" x14ac:dyDescent="0.45">
      <c r="B1952" s="563"/>
      <c r="C1952" s="450"/>
      <c r="L1952" s="452"/>
      <c r="M1952" s="527"/>
      <c r="N1952" s="449"/>
      <c r="O1952" s="535"/>
      <c r="Q1952" s="469"/>
      <c r="R1952" s="512" t="str">
        <f>R1951</f>
        <v>DELETE</v>
      </c>
    </row>
    <row r="1953" spans="2:22" ht="9" customHeight="1" x14ac:dyDescent="0.45">
      <c r="B1953" s="563"/>
      <c r="C1953" s="450"/>
      <c r="L1953" s="452"/>
      <c r="M1953" s="527"/>
      <c r="N1953" s="449"/>
      <c r="O1953" s="531"/>
      <c r="Q1953" s="469"/>
      <c r="R1953" s="512" t="str">
        <f>R1952</f>
        <v>DELETE</v>
      </c>
    </row>
    <row r="1954" spans="2:22" ht="31.5" customHeight="1" x14ac:dyDescent="0.45">
      <c r="B1954" s="563"/>
      <c r="C1954" s="450"/>
      <c r="L1954" s="452"/>
      <c r="M1954" s="527"/>
      <c r="N1954" s="449"/>
      <c r="O1954" s="531">
        <f>SUM(O1950:O1953)</f>
        <v>0</v>
      </c>
      <c r="Q1954" s="469"/>
      <c r="R1954" s="512" t="str">
        <f>R1953</f>
        <v>DELETE</v>
      </c>
    </row>
    <row r="1955" spans="2:22" ht="31.5" customHeight="1" x14ac:dyDescent="0.45">
      <c r="B1955" s="563"/>
      <c r="C1955" s="450"/>
      <c r="D1955" s="449" t="s">
        <v>394</v>
      </c>
      <c r="L1955" s="452"/>
      <c r="M1955" s="527"/>
      <c r="N1955" s="449"/>
      <c r="O1955" s="531">
        <f>TrialBalance!L361</f>
        <v>0</v>
      </c>
      <c r="Q1955" s="469"/>
      <c r="R1955" s="512" t="str">
        <f t="shared" ref="R1955:R1959" si="122">IF(O1955=0,"DELETE"," ")</f>
        <v>DELETE</v>
      </c>
      <c r="S1955" s="518">
        <f>O1955</f>
        <v>0</v>
      </c>
      <c r="T1955" s="518"/>
      <c r="U1955" s="518"/>
      <c r="V1955" s="518"/>
    </row>
    <row r="1956" spans="2:22" ht="31.5" customHeight="1" x14ac:dyDescent="0.45">
      <c r="B1956" s="563"/>
      <c r="C1956" s="450"/>
      <c r="D1956" s="449" t="s">
        <v>360</v>
      </c>
      <c r="L1956" s="452"/>
      <c r="M1956" s="527"/>
      <c r="N1956" s="449"/>
      <c r="O1956" s="531">
        <f>TrialBalance!L362</f>
        <v>0</v>
      </c>
      <c r="Q1956" s="469"/>
      <c r="R1956" s="512" t="str">
        <f t="shared" si="122"/>
        <v>DELETE</v>
      </c>
      <c r="S1956" s="518">
        <f>O1956</f>
        <v>0</v>
      </c>
      <c r="T1956" s="518"/>
      <c r="U1956" s="518"/>
      <c r="V1956" s="518"/>
    </row>
    <row r="1957" spans="2:22" ht="31.5" customHeight="1" x14ac:dyDescent="0.45">
      <c r="B1957" s="563"/>
      <c r="C1957" s="450"/>
      <c r="D1957" s="449" t="s">
        <v>450</v>
      </c>
      <c r="L1957" s="452"/>
      <c r="M1957" s="527"/>
      <c r="N1957" s="449"/>
      <c r="O1957" s="531">
        <f>TrialBalance!L363</f>
        <v>0</v>
      </c>
      <c r="Q1957" s="469"/>
      <c r="R1957" s="512" t="str">
        <f t="shared" si="122"/>
        <v>DELETE</v>
      </c>
      <c r="S1957" s="518">
        <f>O1957</f>
        <v>0</v>
      </c>
      <c r="T1957" s="518"/>
      <c r="U1957" s="518"/>
      <c r="V1957" s="518"/>
    </row>
    <row r="1958" spans="2:22" ht="31.5" customHeight="1" x14ac:dyDescent="0.45">
      <c r="B1958" s="563"/>
      <c r="C1958" s="450"/>
      <c r="D1958" s="449" t="s">
        <v>657</v>
      </c>
      <c r="L1958" s="452"/>
      <c r="M1958" s="527"/>
      <c r="N1958" s="449"/>
      <c r="O1958" s="531">
        <f>TrialBalance!L364</f>
        <v>0</v>
      </c>
      <c r="Q1958" s="469"/>
      <c r="R1958" s="512" t="str">
        <f t="shared" si="122"/>
        <v>DELETE</v>
      </c>
      <c r="S1958" s="518">
        <f>O1958</f>
        <v>0</v>
      </c>
      <c r="T1958" s="518"/>
      <c r="U1958" s="518"/>
      <c r="V1958" s="518"/>
    </row>
    <row r="1959" spans="2:22" ht="31.5" customHeight="1" x14ac:dyDescent="0.45">
      <c r="B1959" s="563"/>
      <c r="C1959" s="450"/>
      <c r="D1959" s="449" t="s">
        <v>656</v>
      </c>
      <c r="L1959" s="452"/>
      <c r="M1959" s="527"/>
      <c r="N1959" s="449"/>
      <c r="O1959" s="531">
        <f>IF(TrialBalance!L398&gt;0,TrialBalance!L398,0)+IF(TrialBalance!L397&gt;0,TrialBalance!L397,0)</f>
        <v>0</v>
      </c>
      <c r="Q1959" s="469"/>
      <c r="R1959" s="512" t="str">
        <f t="shared" si="122"/>
        <v>DELETE</v>
      </c>
      <c r="S1959" s="518">
        <f>O1959</f>
        <v>0</v>
      </c>
      <c r="T1959" s="518"/>
      <c r="U1959" s="518"/>
      <c r="V1959" s="518"/>
    </row>
    <row r="1960" spans="2:22" ht="9" customHeight="1" x14ac:dyDescent="0.45">
      <c r="B1960" s="563"/>
      <c r="C1960" s="450"/>
      <c r="L1960" s="452"/>
      <c r="M1960" s="527"/>
      <c r="N1960" s="449"/>
      <c r="O1960" s="535"/>
      <c r="Q1960" s="469"/>
      <c r="R1960" s="512" t="str">
        <f t="shared" ref="R1960:R1969" si="123">R$1962</f>
        <v>DELETE</v>
      </c>
    </row>
    <row r="1961" spans="2:22" ht="9" customHeight="1" x14ac:dyDescent="0.45">
      <c r="B1961" s="563"/>
      <c r="C1961" s="450"/>
      <c r="L1961" s="452"/>
      <c r="M1961" s="527"/>
      <c r="N1961" s="449"/>
      <c r="O1961" s="531"/>
      <c r="Q1961" s="469"/>
      <c r="R1961" s="512" t="str">
        <f t="shared" si="123"/>
        <v>DELETE</v>
      </c>
    </row>
    <row r="1962" spans="2:22" ht="31.5" customHeight="1" x14ac:dyDescent="0.45">
      <c r="B1962" s="563"/>
      <c r="C1962" s="450"/>
      <c r="L1962" s="452"/>
      <c r="M1962" s="527"/>
      <c r="N1962" s="449"/>
      <c r="O1962" s="531">
        <f>SUM(S1950:S1959)</f>
        <v>0</v>
      </c>
      <c r="Q1962" s="469"/>
      <c r="R1962" s="512" t="str">
        <f t="shared" ref="R1962" si="124">IF(O1962=0,"DELETE"," ")</f>
        <v>DELETE</v>
      </c>
      <c r="S1962" s="517"/>
      <c r="T1962" s="517"/>
    </row>
    <row r="1963" spans="2:22" ht="9" customHeight="1" thickBot="1" x14ac:dyDescent="0.5">
      <c r="B1963" s="563"/>
      <c r="C1963" s="450"/>
      <c r="L1963" s="452"/>
      <c r="M1963" s="527"/>
      <c r="N1963" s="449"/>
      <c r="O1963" s="536"/>
      <c r="Q1963" s="469"/>
      <c r="R1963" s="512" t="str">
        <f t="shared" si="123"/>
        <v>DELETE</v>
      </c>
    </row>
    <row r="1964" spans="2:22" ht="9" customHeight="1" thickTop="1" x14ac:dyDescent="0.45">
      <c r="B1964" s="563"/>
      <c r="C1964" s="450"/>
      <c r="L1964" s="452"/>
      <c r="M1964" s="527"/>
      <c r="N1964" s="449"/>
      <c r="O1964" s="548"/>
      <c r="Q1964" s="469"/>
      <c r="R1964" s="512" t="str">
        <f t="shared" si="123"/>
        <v>DELETE</v>
      </c>
    </row>
    <row r="1965" spans="2:22" ht="31.5" customHeight="1" x14ac:dyDescent="0.45">
      <c r="B1965" s="563"/>
      <c r="C1965" s="450"/>
      <c r="D1965" s="449" t="str">
        <f>IF(Criteria!G300="Yes",Criteria!G302," ")</f>
        <v xml:space="preserve"> </v>
      </c>
      <c r="L1965" s="452"/>
      <c r="M1965" s="527"/>
      <c r="N1965" s="449"/>
      <c r="O1965" s="531"/>
      <c r="Q1965" s="469"/>
      <c r="R1965" s="512" t="str">
        <f>IF(D1965=" ","DELETE"," ")</f>
        <v>DELETE</v>
      </c>
    </row>
    <row r="1966" spans="2:22" ht="31.5" customHeight="1" x14ac:dyDescent="0.45">
      <c r="B1966" s="563"/>
      <c r="C1966" s="450"/>
      <c r="D1966" s="449" t="str">
        <f>IF(Criteria!G300="Yes",Criteria!G303," ")</f>
        <v xml:space="preserve"> </v>
      </c>
      <c r="M1966" s="531"/>
      <c r="N1966" s="470"/>
      <c r="O1966" s="531"/>
      <c r="Q1966" s="469"/>
      <c r="R1966" s="512" t="str">
        <f>IF(D1966=" ","DELETE"," ")</f>
        <v>DELETE</v>
      </c>
    </row>
    <row r="1967" spans="2:22" ht="31.5" customHeight="1" x14ac:dyDescent="0.45">
      <c r="B1967" s="563"/>
      <c r="C1967" s="450"/>
      <c r="M1967" s="531"/>
      <c r="N1967" s="470"/>
      <c r="O1967" s="531"/>
      <c r="Q1967" s="469"/>
      <c r="R1967" s="512" t="str">
        <f t="shared" si="123"/>
        <v>DELETE</v>
      </c>
    </row>
    <row r="1968" spans="2:22" ht="31.5" customHeight="1" x14ac:dyDescent="0.45">
      <c r="B1968" s="564"/>
      <c r="C1968" s="502"/>
      <c r="D1968" s="461"/>
      <c r="E1968" s="461"/>
      <c r="F1968" s="461"/>
      <c r="G1968" s="461"/>
      <c r="H1968" s="461"/>
      <c r="I1968" s="461"/>
      <c r="J1968" s="461"/>
      <c r="K1968" s="461"/>
      <c r="L1968" s="461"/>
      <c r="M1968" s="535"/>
      <c r="N1968" s="473"/>
      <c r="O1968" s="535"/>
      <c r="P1968" s="631"/>
      <c r="Q1968" s="479"/>
      <c r="R1968" s="512" t="str">
        <f t="shared" si="123"/>
        <v>DELETE</v>
      </c>
    </row>
    <row r="1969" spans="2:18" ht="31.5" customHeight="1" x14ac:dyDescent="0.45">
      <c r="B1969" s="527"/>
      <c r="M1969" s="635"/>
      <c r="N1969" s="621"/>
      <c r="O1969" s="635"/>
      <c r="R1969" s="512" t="str">
        <f t="shared" si="123"/>
        <v>DELETE</v>
      </c>
    </row>
    <row r="1970" spans="2:18" ht="31.5" customHeight="1" x14ac:dyDescent="0.45">
      <c r="B1970" s="527"/>
      <c r="M1970" s="635"/>
      <c r="N1970" s="621"/>
      <c r="O1970" s="635"/>
    </row>
    <row r="1971" spans="2:18" ht="31.5" customHeight="1" x14ac:dyDescent="0.45">
      <c r="B1971" s="527"/>
      <c r="D1971" s="450" t="str">
        <f>Criteria!E9</f>
        <v>ABC COMPANY (PROPRIETARY) LIMITED</v>
      </c>
      <c r="M1971" s="635"/>
      <c r="N1971" s="621"/>
      <c r="O1971" s="531" t="s">
        <v>121</v>
      </c>
      <c r="Q1971" s="451">
        <f>MAX($Q$114:Q1970)+1</f>
        <v>46</v>
      </c>
    </row>
    <row r="1972" spans="2:18" ht="31.5" customHeight="1" x14ac:dyDescent="0.45">
      <c r="B1972" s="527"/>
      <c r="D1972" s="450" t="str">
        <f>Criteria!E10</f>
        <v>T/A SEAFRONT HOTEL, SEAFRONT RESTAURANT AND RENTAL PROPERTIES</v>
      </c>
      <c r="M1972" s="635"/>
      <c r="N1972" s="621"/>
      <c r="O1972" s="635"/>
      <c r="R1972" s="512" t="str">
        <f>IF(D1972=0,"DELETE"," ")</f>
        <v xml:space="preserve"> </v>
      </c>
    </row>
    <row r="1973" spans="2:18" ht="31.5" customHeight="1" x14ac:dyDescent="0.45">
      <c r="B1973" s="527"/>
      <c r="M1973" s="635"/>
      <c r="N1973" s="621"/>
      <c r="O1973" s="635"/>
    </row>
    <row r="1974" spans="2:18" ht="31.5" customHeight="1" x14ac:dyDescent="0.45">
      <c r="B1974" s="527"/>
      <c r="D1974" s="450" t="s">
        <v>451</v>
      </c>
      <c r="M1974" s="635"/>
      <c r="N1974" s="621"/>
      <c r="O1974" s="635"/>
    </row>
    <row r="1975" spans="2:18" ht="31.5" customHeight="1" x14ac:dyDescent="0.45">
      <c r="B1975" s="527"/>
      <c r="D1975" s="450" t="str">
        <f>Criteria!E20</f>
        <v>29 FEBRUARY 2024</v>
      </c>
      <c r="J1975" s="449" t="s">
        <v>303</v>
      </c>
      <c r="M1975" s="635"/>
      <c r="N1975" s="621"/>
      <c r="O1975" s="635"/>
    </row>
    <row r="1976" spans="2:18" ht="31.5" customHeight="1" x14ac:dyDescent="0.45">
      <c r="B1976" s="527"/>
      <c r="D1976" s="450"/>
      <c r="M1976" s="635"/>
      <c r="N1976" s="621"/>
      <c r="O1976" s="635"/>
    </row>
    <row r="1977" spans="2:18" ht="31.5" customHeight="1" x14ac:dyDescent="0.45">
      <c r="B1977" s="565"/>
      <c r="C1977" s="503"/>
      <c r="D1977" s="466"/>
      <c r="E1977" s="466"/>
      <c r="F1977" s="466"/>
      <c r="G1977" s="466"/>
      <c r="H1977" s="466"/>
      <c r="I1977" s="466"/>
      <c r="J1977" s="466"/>
      <c r="K1977" s="466"/>
      <c r="L1977" s="466"/>
      <c r="M1977" s="546"/>
      <c r="N1977" s="471"/>
      <c r="O1977" s="546"/>
      <c r="P1977" s="643"/>
      <c r="Q1977" s="467"/>
    </row>
    <row r="1978" spans="2:18" ht="31.5" customHeight="1" x14ac:dyDescent="0.45">
      <c r="B1978" s="563"/>
      <c r="C1978" s="450"/>
      <c r="L1978" s="452"/>
      <c r="M1978" s="527"/>
      <c r="N1978" s="449"/>
      <c r="O1978" s="525">
        <f>Criteria!E22</f>
        <v>2024</v>
      </c>
      <c r="Q1978" s="469"/>
    </row>
    <row r="1979" spans="2:18" ht="31.5" customHeight="1" x14ac:dyDescent="0.45">
      <c r="B1979" s="563"/>
      <c r="C1979" s="450"/>
      <c r="L1979" s="452"/>
      <c r="M1979" s="527"/>
      <c r="N1979" s="449"/>
      <c r="O1979" s="531"/>
      <c r="Q1979" s="469"/>
    </row>
    <row r="1980" spans="2:18" ht="31.5" customHeight="1" x14ac:dyDescent="0.45">
      <c r="B1980" s="563">
        <f>MAX($B$804:B1979)+1</f>
        <v>18</v>
      </c>
      <c r="C1980" s="450" t="s">
        <v>205</v>
      </c>
      <c r="L1980" s="452"/>
      <c r="M1980" s="527"/>
      <c r="N1980" s="449"/>
      <c r="O1980" s="531"/>
      <c r="Q1980" s="469"/>
    </row>
    <row r="1981" spans="2:18" ht="31.5" customHeight="1" x14ac:dyDescent="0.45">
      <c r="B1981" s="563"/>
      <c r="C1981" s="450"/>
      <c r="D1981" s="449">
        <f>TrialBalance!C366</f>
        <v>0</v>
      </c>
      <c r="L1981" s="452"/>
      <c r="M1981" s="527"/>
      <c r="N1981" s="449"/>
      <c r="O1981" s="531">
        <f>IF(TrialBalance!L366&gt;0,TrialBalance!L366,0)</f>
        <v>0</v>
      </c>
      <c r="Q1981" s="469"/>
      <c r="R1981" s="512" t="str">
        <f t="shared" ref="R1981:R1987" si="125">IF(O1981=0,"DELETE"," ")</f>
        <v>DELETE</v>
      </c>
    </row>
    <row r="1982" spans="2:18" ht="31.5" customHeight="1" x14ac:dyDescent="0.45">
      <c r="B1982" s="563"/>
      <c r="C1982" s="450"/>
      <c r="D1982" s="449">
        <f>TrialBalance!C367</f>
        <v>0</v>
      </c>
      <c r="L1982" s="452"/>
      <c r="M1982" s="527"/>
      <c r="N1982" s="449"/>
      <c r="O1982" s="531">
        <f>IF(TrialBalance!L367&gt;0,TrialBalance!L367,0)</f>
        <v>0</v>
      </c>
      <c r="Q1982" s="469"/>
      <c r="R1982" s="512" t="str">
        <f t="shared" si="125"/>
        <v>DELETE</v>
      </c>
    </row>
    <row r="1983" spans="2:18" ht="31.5" customHeight="1" x14ac:dyDescent="0.45">
      <c r="B1983" s="563"/>
      <c r="C1983" s="450"/>
      <c r="D1983" s="449">
        <f>TrialBalance!C368</f>
        <v>0</v>
      </c>
      <c r="L1983" s="452"/>
      <c r="M1983" s="527"/>
      <c r="N1983" s="449"/>
      <c r="O1983" s="531">
        <f>IF(TrialBalance!L368&gt;0,TrialBalance!L368,0)</f>
        <v>0</v>
      </c>
      <c r="Q1983" s="469"/>
      <c r="R1983" s="512" t="str">
        <f t="shared" si="125"/>
        <v>DELETE</v>
      </c>
    </row>
    <row r="1984" spans="2:18" ht="31.5" customHeight="1" x14ac:dyDescent="0.45">
      <c r="B1984" s="563"/>
      <c r="C1984" s="450"/>
      <c r="D1984" s="449">
        <f>TrialBalance!C369</f>
        <v>0</v>
      </c>
      <c r="L1984" s="452"/>
      <c r="M1984" s="527"/>
      <c r="N1984" s="449"/>
      <c r="O1984" s="531">
        <f>IF(TrialBalance!L369&gt;0,TrialBalance!L369,0)</f>
        <v>0</v>
      </c>
      <c r="Q1984" s="469"/>
      <c r="R1984" s="512" t="str">
        <f t="shared" si="125"/>
        <v>DELETE</v>
      </c>
    </row>
    <row r="1985" spans="2:21" ht="31.5" customHeight="1" x14ac:dyDescent="0.45">
      <c r="B1985" s="563"/>
      <c r="C1985" s="450"/>
      <c r="D1985" s="449">
        <f>TrialBalance!C370</f>
        <v>0</v>
      </c>
      <c r="L1985" s="452"/>
      <c r="M1985" s="527"/>
      <c r="N1985" s="449"/>
      <c r="O1985" s="531">
        <f>IF(TrialBalance!L370&gt;0,TrialBalance!L370,0)</f>
        <v>0</v>
      </c>
      <c r="Q1985" s="469"/>
      <c r="R1985" s="512" t="str">
        <f t="shared" si="125"/>
        <v>DELETE</v>
      </c>
    </row>
    <row r="1986" spans="2:21" ht="31.5" customHeight="1" x14ac:dyDescent="0.45">
      <c r="B1986" s="563"/>
      <c r="C1986" s="450"/>
      <c r="D1986" s="449">
        <f>TrialBalance!C371</f>
        <v>0</v>
      </c>
      <c r="L1986" s="452"/>
      <c r="M1986" s="527"/>
      <c r="N1986" s="449"/>
      <c r="O1986" s="531">
        <f>IF(TrialBalance!L371&gt;0,TrialBalance!L371,0)</f>
        <v>0</v>
      </c>
      <c r="Q1986" s="469"/>
      <c r="R1986" s="512" t="str">
        <f t="shared" si="125"/>
        <v>DELETE</v>
      </c>
    </row>
    <row r="1987" spans="2:21" ht="31.5" customHeight="1" x14ac:dyDescent="0.45">
      <c r="B1987" s="563"/>
      <c r="C1987" s="450"/>
      <c r="D1987" s="449" t="s">
        <v>502</v>
      </c>
      <c r="L1987" s="452"/>
      <c r="M1987" s="527"/>
      <c r="N1987" s="449"/>
      <c r="O1987" s="531">
        <f>TrialBalance!L372</f>
        <v>0</v>
      </c>
      <c r="Q1987" s="469"/>
      <c r="R1987" s="512" t="str">
        <f t="shared" si="125"/>
        <v>DELETE</v>
      </c>
    </row>
    <row r="1988" spans="2:21" ht="9" customHeight="1" x14ac:dyDescent="0.45">
      <c r="B1988" s="563"/>
      <c r="C1988" s="450"/>
      <c r="L1988" s="452"/>
      <c r="M1988" s="527"/>
      <c r="N1988" s="449"/>
      <c r="O1988" s="535"/>
      <c r="Q1988" s="469"/>
      <c r="R1988" s="512" t="str">
        <f t="shared" ref="R1988:R2005" si="126">R$1990</f>
        <v>DELETE</v>
      </c>
    </row>
    <row r="1989" spans="2:21" ht="9" customHeight="1" x14ac:dyDescent="0.45">
      <c r="B1989" s="563"/>
      <c r="C1989" s="450"/>
      <c r="L1989" s="452"/>
      <c r="M1989" s="527"/>
      <c r="N1989" s="449"/>
      <c r="O1989" s="531"/>
      <c r="Q1989" s="469"/>
      <c r="R1989" s="512" t="str">
        <f t="shared" si="126"/>
        <v>DELETE</v>
      </c>
    </row>
    <row r="1990" spans="2:21" ht="31.5" customHeight="1" x14ac:dyDescent="0.45">
      <c r="B1990" s="563"/>
      <c r="C1990" s="450"/>
      <c r="L1990" s="452"/>
      <c r="M1990" s="527"/>
      <c r="N1990" s="449"/>
      <c r="O1990" s="531">
        <f>SUM(O1981:O1989)</f>
        <v>0</v>
      </c>
      <c r="Q1990" s="469"/>
      <c r="R1990" s="512" t="str">
        <f t="shared" ref="R1990" si="127">IF(O1990=0,"DELETE"," ")</f>
        <v>DELETE</v>
      </c>
      <c r="U1990" s="518"/>
    </row>
    <row r="1991" spans="2:21" ht="9" customHeight="1" thickBot="1" x14ac:dyDescent="0.5">
      <c r="B1991" s="563"/>
      <c r="C1991" s="450"/>
      <c r="L1991" s="452"/>
      <c r="M1991" s="527"/>
      <c r="N1991" s="449"/>
      <c r="O1991" s="536"/>
      <c r="Q1991" s="469"/>
      <c r="R1991" s="512" t="str">
        <f t="shared" si="126"/>
        <v>DELETE</v>
      </c>
    </row>
    <row r="1992" spans="2:21" ht="9" customHeight="1" thickTop="1" x14ac:dyDescent="0.45">
      <c r="B1992" s="563"/>
      <c r="C1992" s="450"/>
      <c r="L1992" s="452"/>
      <c r="M1992" s="527"/>
      <c r="N1992" s="449"/>
      <c r="O1992" s="548"/>
      <c r="Q1992" s="469"/>
      <c r="R1992" s="512" t="str">
        <f t="shared" si="126"/>
        <v>DELETE</v>
      </c>
    </row>
    <row r="1993" spans="2:21" ht="31.5" customHeight="1" x14ac:dyDescent="0.45">
      <c r="B1993" s="563"/>
      <c r="C1993" s="450"/>
      <c r="L1993" s="452"/>
      <c r="M1993" s="527"/>
      <c r="N1993" s="449"/>
      <c r="O1993" s="531"/>
      <c r="Q1993" s="469"/>
      <c r="R1993" s="512" t="str">
        <f t="shared" si="126"/>
        <v>DELETE</v>
      </c>
    </row>
    <row r="1994" spans="2:21" ht="31.5" customHeight="1" x14ac:dyDescent="0.45">
      <c r="B1994" s="563"/>
      <c r="C1994" s="450"/>
      <c r="M1994" s="531"/>
      <c r="N1994" s="470"/>
      <c r="O1994" s="531"/>
      <c r="Q1994" s="469"/>
      <c r="R1994" s="512" t="str">
        <f t="shared" si="126"/>
        <v>DELETE</v>
      </c>
    </row>
    <row r="1995" spans="2:21" ht="31.5" customHeight="1" x14ac:dyDescent="0.45">
      <c r="B1995" s="564"/>
      <c r="C1995" s="502"/>
      <c r="D1995" s="461"/>
      <c r="E1995" s="461"/>
      <c r="F1995" s="461"/>
      <c r="G1995" s="461"/>
      <c r="H1995" s="461"/>
      <c r="I1995" s="461"/>
      <c r="J1995" s="461"/>
      <c r="K1995" s="461"/>
      <c r="L1995" s="461"/>
      <c r="M1995" s="535"/>
      <c r="N1995" s="473"/>
      <c r="O1995" s="535"/>
      <c r="P1995" s="631"/>
      <c r="Q1995" s="479"/>
      <c r="R1995" s="512" t="str">
        <f t="shared" si="126"/>
        <v>DELETE</v>
      </c>
    </row>
    <row r="1996" spans="2:21" ht="31.5" customHeight="1" x14ac:dyDescent="0.45">
      <c r="B1996" s="526"/>
      <c r="C1996" s="450"/>
      <c r="M1996" s="531"/>
      <c r="N1996" s="470"/>
      <c r="O1996" s="531"/>
      <c r="R1996" s="512" t="str">
        <f t="shared" si="126"/>
        <v>DELETE</v>
      </c>
    </row>
    <row r="1997" spans="2:21" ht="31.5" customHeight="1" x14ac:dyDescent="0.45">
      <c r="B1997" s="526"/>
      <c r="C1997" s="450"/>
      <c r="M1997" s="531"/>
      <c r="N1997" s="470"/>
      <c r="O1997" s="531"/>
      <c r="R1997" s="512" t="str">
        <f t="shared" si="126"/>
        <v>DELETE</v>
      </c>
    </row>
    <row r="1998" spans="2:21" ht="31.5" customHeight="1" x14ac:dyDescent="0.45">
      <c r="B1998" s="526"/>
      <c r="C1998" s="450"/>
      <c r="D1998" s="450" t="str">
        <f>Criteria!E9</f>
        <v>ABC COMPANY (PROPRIETARY) LIMITED</v>
      </c>
      <c r="M1998" s="635"/>
      <c r="N1998" s="621"/>
      <c r="O1998" s="531" t="s">
        <v>121</v>
      </c>
      <c r="Q1998" s="451">
        <f>MAX($Q$114:Q1997)+1</f>
        <v>47</v>
      </c>
      <c r="R1998" s="512" t="str">
        <f t="shared" si="126"/>
        <v>DELETE</v>
      </c>
    </row>
    <row r="1999" spans="2:21" ht="31.5" customHeight="1" x14ac:dyDescent="0.45">
      <c r="B1999" s="526"/>
      <c r="C1999" s="450"/>
      <c r="D1999" s="450" t="str">
        <f>Criteria!E10</f>
        <v>T/A SEAFRONT HOTEL, SEAFRONT RESTAURANT AND RENTAL PROPERTIES</v>
      </c>
      <c r="M1999" s="635"/>
      <c r="N1999" s="621"/>
      <c r="O1999" s="635"/>
      <c r="R1999" s="512" t="str">
        <f>IF(R$1990="DELETE","DELETE",IF(D1999=0,"DELETE"," "))</f>
        <v>DELETE</v>
      </c>
    </row>
    <row r="2000" spans="2:21" ht="31.5" customHeight="1" x14ac:dyDescent="0.45">
      <c r="B2000" s="526"/>
      <c r="C2000" s="450"/>
      <c r="M2000" s="635"/>
      <c r="N2000" s="621"/>
      <c r="O2000" s="635"/>
      <c r="R2000" s="512" t="str">
        <f t="shared" si="126"/>
        <v>DELETE</v>
      </c>
    </row>
    <row r="2001" spans="2:18" ht="31.5" customHeight="1" x14ac:dyDescent="0.45">
      <c r="B2001" s="526"/>
      <c r="C2001" s="450"/>
      <c r="D2001" s="450" t="s">
        <v>451</v>
      </c>
      <c r="M2001" s="635"/>
      <c r="N2001" s="621"/>
      <c r="O2001" s="635"/>
      <c r="R2001" s="512" t="str">
        <f t="shared" si="126"/>
        <v>DELETE</v>
      </c>
    </row>
    <row r="2002" spans="2:18" ht="31.5" customHeight="1" x14ac:dyDescent="0.45">
      <c r="B2002" s="526"/>
      <c r="C2002" s="450"/>
      <c r="D2002" s="450" t="str">
        <f>Criteria!E20</f>
        <v>29 FEBRUARY 2024</v>
      </c>
      <c r="J2002" s="449" t="s">
        <v>303</v>
      </c>
      <c r="M2002" s="635"/>
      <c r="N2002" s="621"/>
      <c r="O2002" s="635"/>
      <c r="R2002" s="512" t="str">
        <f t="shared" si="126"/>
        <v>DELETE</v>
      </c>
    </row>
    <row r="2003" spans="2:18" ht="31.5" customHeight="1" x14ac:dyDescent="0.45">
      <c r="B2003" s="526"/>
      <c r="C2003" s="450"/>
      <c r="M2003" s="531"/>
      <c r="N2003" s="470"/>
      <c r="O2003" s="531"/>
      <c r="R2003" s="512" t="str">
        <f t="shared" si="126"/>
        <v>DELETE</v>
      </c>
    </row>
    <row r="2004" spans="2:18" ht="31.5" customHeight="1" x14ac:dyDescent="0.45">
      <c r="B2004" s="565"/>
      <c r="C2004" s="503"/>
      <c r="D2004" s="466"/>
      <c r="E2004" s="466"/>
      <c r="F2004" s="466"/>
      <c r="G2004" s="466"/>
      <c r="H2004" s="466"/>
      <c r="I2004" s="466"/>
      <c r="J2004" s="466"/>
      <c r="K2004" s="466"/>
      <c r="L2004" s="466"/>
      <c r="M2004" s="546"/>
      <c r="N2004" s="471"/>
      <c r="O2004" s="546"/>
      <c r="P2004" s="643"/>
      <c r="Q2004" s="467"/>
      <c r="R2004" s="512" t="str">
        <f t="shared" si="126"/>
        <v>DELETE</v>
      </c>
    </row>
    <row r="2005" spans="2:18" ht="31.5" customHeight="1" x14ac:dyDescent="0.45">
      <c r="B2005" s="563"/>
      <c r="C2005" s="450"/>
      <c r="M2005" s="548"/>
      <c r="N2005" s="491"/>
      <c r="O2005" s="525">
        <f>Criteria!E22</f>
        <v>2024</v>
      </c>
      <c r="P2005" s="634"/>
      <c r="Q2005" s="469"/>
      <c r="R2005" s="512" t="str">
        <f t="shared" si="126"/>
        <v>DELETE</v>
      </c>
    </row>
    <row r="2006" spans="2:18" ht="31.5" customHeight="1" x14ac:dyDescent="0.45">
      <c r="B2006" s="563"/>
      <c r="C2006" s="450"/>
      <c r="M2006" s="548"/>
      <c r="N2006" s="491"/>
      <c r="O2006" s="548"/>
      <c r="P2006" s="634"/>
      <c r="Q2006" s="469"/>
    </row>
    <row r="2007" spans="2:18" ht="31.5" customHeight="1" x14ac:dyDescent="0.45">
      <c r="B2007" s="563"/>
      <c r="C2007" s="449" t="str">
        <f>IF(SUM(TrialBalance!L366:L372)=0,"There were no Cash and cash equivalents balances at year end.","For the purpose of the Cash Flow Statement, Cash and cash equivalents include the following:")</f>
        <v>There were no Cash and cash equivalents balances at year end.</v>
      </c>
      <c r="M2007" s="548"/>
      <c r="N2007" s="491"/>
      <c r="O2007" s="548"/>
      <c r="P2007" s="634"/>
      <c r="Q2007" s="469"/>
    </row>
    <row r="2008" spans="2:18" ht="31.5" customHeight="1" x14ac:dyDescent="0.45">
      <c r="B2008" s="563"/>
      <c r="C2008" s="450"/>
      <c r="M2008" s="548"/>
      <c r="N2008" s="491"/>
      <c r="O2008" s="548"/>
      <c r="P2008" s="634"/>
      <c r="Q2008" s="469"/>
    </row>
    <row r="2009" spans="2:18" ht="31.5" customHeight="1" x14ac:dyDescent="0.45">
      <c r="B2009" s="563"/>
      <c r="C2009" s="450"/>
      <c r="D2009" s="449">
        <f>TrialBalance!C366</f>
        <v>0</v>
      </c>
      <c r="M2009" s="548"/>
      <c r="N2009" s="491"/>
      <c r="O2009" s="548">
        <f>TrialBalance!L366</f>
        <v>0</v>
      </c>
      <c r="P2009" s="634"/>
      <c r="Q2009" s="469"/>
      <c r="R2009" s="512" t="str">
        <f t="shared" ref="R2009:R2015" si="128">IF(O2009=0,"DELETE"," ")</f>
        <v>DELETE</v>
      </c>
    </row>
    <row r="2010" spans="2:18" ht="31.5" customHeight="1" x14ac:dyDescent="0.45">
      <c r="B2010" s="563"/>
      <c r="C2010" s="450"/>
      <c r="D2010" s="449">
        <f>TrialBalance!C367</f>
        <v>0</v>
      </c>
      <c r="M2010" s="548"/>
      <c r="N2010" s="491"/>
      <c r="O2010" s="548">
        <f>TrialBalance!L367</f>
        <v>0</v>
      </c>
      <c r="P2010" s="634"/>
      <c r="Q2010" s="469"/>
      <c r="R2010" s="512" t="str">
        <f t="shared" si="128"/>
        <v>DELETE</v>
      </c>
    </row>
    <row r="2011" spans="2:18" ht="31.5" customHeight="1" x14ac:dyDescent="0.45">
      <c r="B2011" s="563"/>
      <c r="C2011" s="450"/>
      <c r="D2011" s="449">
        <f>TrialBalance!C368</f>
        <v>0</v>
      </c>
      <c r="M2011" s="548"/>
      <c r="N2011" s="491"/>
      <c r="O2011" s="548">
        <f>TrialBalance!L368</f>
        <v>0</v>
      </c>
      <c r="P2011" s="634"/>
      <c r="Q2011" s="469"/>
      <c r="R2011" s="512" t="str">
        <f t="shared" si="128"/>
        <v>DELETE</v>
      </c>
    </row>
    <row r="2012" spans="2:18" ht="31.5" customHeight="1" x14ac:dyDescent="0.45">
      <c r="B2012" s="563"/>
      <c r="C2012" s="450"/>
      <c r="D2012" s="449">
        <f>TrialBalance!C369</f>
        <v>0</v>
      </c>
      <c r="M2012" s="548"/>
      <c r="N2012" s="491"/>
      <c r="O2012" s="548">
        <f>TrialBalance!L369</f>
        <v>0</v>
      </c>
      <c r="P2012" s="634"/>
      <c r="Q2012" s="469"/>
      <c r="R2012" s="512" t="str">
        <f t="shared" si="128"/>
        <v>DELETE</v>
      </c>
    </row>
    <row r="2013" spans="2:18" ht="31.5" customHeight="1" x14ac:dyDescent="0.45">
      <c r="B2013" s="563"/>
      <c r="C2013" s="450"/>
      <c r="D2013" s="449">
        <f>TrialBalance!C370</f>
        <v>0</v>
      </c>
      <c r="M2013" s="548"/>
      <c r="N2013" s="491"/>
      <c r="O2013" s="548">
        <f>TrialBalance!L370</f>
        <v>0</v>
      </c>
      <c r="P2013" s="634"/>
      <c r="Q2013" s="469"/>
      <c r="R2013" s="512" t="str">
        <f t="shared" si="128"/>
        <v>DELETE</v>
      </c>
    </row>
    <row r="2014" spans="2:18" ht="31.5" customHeight="1" x14ac:dyDescent="0.45">
      <c r="B2014" s="563"/>
      <c r="C2014" s="450"/>
      <c r="D2014" s="449">
        <f>TrialBalance!C371</f>
        <v>0</v>
      </c>
      <c r="M2014" s="548"/>
      <c r="N2014" s="491"/>
      <c r="O2014" s="548">
        <f>TrialBalance!L371</f>
        <v>0</v>
      </c>
      <c r="P2014" s="634"/>
      <c r="Q2014" s="469"/>
      <c r="R2014" s="512" t="str">
        <f t="shared" si="128"/>
        <v>DELETE</v>
      </c>
    </row>
    <row r="2015" spans="2:18" ht="31.5" customHeight="1" x14ac:dyDescent="0.45">
      <c r="B2015" s="563"/>
      <c r="C2015" s="450"/>
      <c r="D2015" s="449" t="str">
        <f>TrialBalance!C372</f>
        <v>Cash on hand</v>
      </c>
      <c r="M2015" s="548"/>
      <c r="N2015" s="491"/>
      <c r="O2015" s="548">
        <f>TrialBalance!L372</f>
        <v>0</v>
      </c>
      <c r="P2015" s="634"/>
      <c r="Q2015" s="469"/>
      <c r="R2015" s="512" t="str">
        <f t="shared" si="128"/>
        <v>DELETE</v>
      </c>
    </row>
    <row r="2016" spans="2:18" ht="9" customHeight="1" x14ac:dyDescent="0.45">
      <c r="B2016" s="563"/>
      <c r="C2016" s="450"/>
      <c r="M2016" s="548"/>
      <c r="N2016" s="491"/>
      <c r="O2016" s="535"/>
      <c r="P2016" s="634"/>
      <c r="Q2016" s="469"/>
      <c r="R2016" s="512" t="str">
        <f>R$2018</f>
        <v>DELETE</v>
      </c>
    </row>
    <row r="2017" spans="2:21" ht="9" customHeight="1" x14ac:dyDescent="0.45">
      <c r="B2017" s="563"/>
      <c r="C2017" s="450"/>
      <c r="M2017" s="548"/>
      <c r="N2017" s="491"/>
      <c r="O2017" s="548"/>
      <c r="P2017" s="634"/>
      <c r="Q2017" s="469"/>
      <c r="R2017" s="512" t="str">
        <f>R$2018</f>
        <v>DELETE</v>
      </c>
    </row>
    <row r="2018" spans="2:21" ht="31.5" customHeight="1" x14ac:dyDescent="0.45">
      <c r="B2018" s="563"/>
      <c r="C2018" s="450"/>
      <c r="M2018" s="548"/>
      <c r="N2018" s="491"/>
      <c r="O2018" s="548">
        <f>SUM(O2009:O2016)</f>
        <v>0</v>
      </c>
      <c r="P2018" s="634"/>
      <c r="Q2018" s="469"/>
      <c r="R2018" s="512" t="str">
        <f t="shared" ref="R2018" si="129">IF(O2018=0,"DELETE"," ")</f>
        <v>DELETE</v>
      </c>
      <c r="U2018" s="513" t="b">
        <f>O2018=O790</f>
        <v>1</v>
      </c>
    </row>
    <row r="2019" spans="2:21" ht="9" customHeight="1" thickBot="1" x14ac:dyDescent="0.5">
      <c r="B2019" s="563"/>
      <c r="C2019" s="450"/>
      <c r="M2019" s="548"/>
      <c r="N2019" s="491"/>
      <c r="O2019" s="536"/>
      <c r="P2019" s="634"/>
      <c r="Q2019" s="469"/>
      <c r="R2019" s="512" t="str">
        <f t="shared" ref="R2019:R2020" si="130">R$2018</f>
        <v>DELETE</v>
      </c>
    </row>
    <row r="2020" spans="2:21" ht="9" customHeight="1" thickTop="1" x14ac:dyDescent="0.45">
      <c r="B2020" s="563"/>
      <c r="C2020" s="450"/>
      <c r="M2020" s="548"/>
      <c r="N2020" s="491"/>
      <c r="O2020" s="548"/>
      <c r="P2020" s="634"/>
      <c r="Q2020" s="469"/>
      <c r="R2020" s="512" t="str">
        <f t="shared" si="130"/>
        <v>DELETE</v>
      </c>
    </row>
    <row r="2021" spans="2:21" ht="31.5" customHeight="1" x14ac:dyDescent="0.45">
      <c r="B2021" s="563"/>
      <c r="C2021" s="450"/>
      <c r="M2021" s="548"/>
      <c r="N2021" s="491"/>
      <c r="O2021" s="548"/>
      <c r="P2021" s="634"/>
      <c r="Q2021" s="469"/>
    </row>
    <row r="2022" spans="2:21" ht="31.5" customHeight="1" x14ac:dyDescent="0.45">
      <c r="B2022" s="563"/>
      <c r="C2022" s="450"/>
      <c r="M2022" s="548"/>
      <c r="N2022" s="491"/>
      <c r="O2022" s="548"/>
      <c r="P2022" s="634"/>
      <c r="Q2022" s="469"/>
    </row>
    <row r="2023" spans="2:21" ht="31.5" customHeight="1" x14ac:dyDescent="0.45">
      <c r="B2023" s="564"/>
      <c r="C2023" s="502"/>
      <c r="D2023" s="461"/>
      <c r="E2023" s="461"/>
      <c r="F2023" s="461"/>
      <c r="G2023" s="461"/>
      <c r="H2023" s="461"/>
      <c r="I2023" s="461"/>
      <c r="J2023" s="461"/>
      <c r="K2023" s="461"/>
      <c r="L2023" s="461"/>
      <c r="M2023" s="535"/>
      <c r="N2023" s="473"/>
      <c r="O2023" s="535"/>
      <c r="P2023" s="631"/>
      <c r="Q2023" s="479"/>
    </row>
    <row r="2024" spans="2:21" ht="31.5" customHeight="1" x14ac:dyDescent="0.45">
      <c r="B2024" s="526"/>
      <c r="C2024" s="450"/>
      <c r="M2024" s="531"/>
      <c r="N2024" s="470"/>
      <c r="O2024" s="531"/>
    </row>
    <row r="2025" spans="2:21" ht="31.5" customHeight="1" x14ac:dyDescent="0.45">
      <c r="B2025" s="526"/>
      <c r="C2025" s="450"/>
      <c r="M2025" s="531"/>
      <c r="N2025" s="470"/>
      <c r="O2025" s="531"/>
    </row>
    <row r="2026" spans="2:21" ht="31.5" customHeight="1" x14ac:dyDescent="0.45">
      <c r="B2026" s="527"/>
      <c r="D2026" s="450" t="str">
        <f>Criteria!E9</f>
        <v>ABC COMPANY (PROPRIETARY) LIMITED</v>
      </c>
      <c r="M2026" s="635"/>
      <c r="N2026" s="621"/>
      <c r="O2026" s="531" t="s">
        <v>121</v>
      </c>
      <c r="Q2026" s="451">
        <f>MAX($Q$114:Q2025)+1</f>
        <v>48</v>
      </c>
    </row>
    <row r="2027" spans="2:21" ht="31.5" customHeight="1" x14ac:dyDescent="0.45">
      <c r="B2027" s="527"/>
      <c r="D2027" s="450" t="str">
        <f>Criteria!E10</f>
        <v>T/A SEAFRONT HOTEL, SEAFRONT RESTAURANT AND RENTAL PROPERTIES</v>
      </c>
      <c r="M2027" s="635"/>
      <c r="N2027" s="621"/>
      <c r="O2027" s="635"/>
      <c r="R2027" s="512" t="str">
        <f>IF(D2027=0,"DELETE"," ")</f>
        <v xml:space="preserve"> </v>
      </c>
    </row>
    <row r="2028" spans="2:21" ht="31.5" customHeight="1" x14ac:dyDescent="0.45">
      <c r="B2028" s="527"/>
      <c r="M2028" s="635"/>
      <c r="N2028" s="621"/>
      <c r="O2028" s="635"/>
    </row>
    <row r="2029" spans="2:21" ht="31.5" customHeight="1" x14ac:dyDescent="0.45">
      <c r="B2029" s="527"/>
      <c r="D2029" s="450" t="s">
        <v>451</v>
      </c>
      <c r="M2029" s="635"/>
      <c r="N2029" s="621"/>
      <c r="O2029" s="635"/>
    </row>
    <row r="2030" spans="2:21" ht="31.5" customHeight="1" x14ac:dyDescent="0.45">
      <c r="B2030" s="527"/>
      <c r="D2030" s="450" t="str">
        <f>Criteria!E20</f>
        <v>29 FEBRUARY 2024</v>
      </c>
      <c r="J2030" s="449" t="s">
        <v>303</v>
      </c>
      <c r="M2030" s="635"/>
      <c r="N2030" s="621"/>
      <c r="O2030" s="635"/>
    </row>
    <row r="2031" spans="2:21" ht="31.5" customHeight="1" x14ac:dyDescent="0.45">
      <c r="B2031" s="527"/>
      <c r="D2031" s="450"/>
      <c r="M2031" s="635"/>
      <c r="N2031" s="621"/>
      <c r="O2031" s="635"/>
    </row>
    <row r="2032" spans="2:21" ht="31.5" customHeight="1" x14ac:dyDescent="0.45">
      <c r="B2032" s="565"/>
      <c r="C2032" s="503"/>
      <c r="D2032" s="466"/>
      <c r="E2032" s="466"/>
      <c r="F2032" s="466"/>
      <c r="G2032" s="466"/>
      <c r="H2032" s="466"/>
      <c r="I2032" s="466"/>
      <c r="J2032" s="466"/>
      <c r="K2032" s="466"/>
      <c r="L2032" s="466"/>
      <c r="M2032" s="546"/>
      <c r="N2032" s="471"/>
      <c r="O2032" s="546"/>
      <c r="P2032" s="643"/>
      <c r="Q2032" s="467"/>
    </row>
    <row r="2033" spans="2:18" ht="31.5" customHeight="1" x14ac:dyDescent="0.45">
      <c r="B2033" s="563"/>
      <c r="C2033" s="450"/>
      <c r="L2033" s="452"/>
      <c r="M2033" s="527"/>
      <c r="N2033" s="449"/>
      <c r="O2033" s="525">
        <f>Criteria!E22</f>
        <v>2024</v>
      </c>
      <c r="Q2033" s="469"/>
    </row>
    <row r="2034" spans="2:18" ht="31.5" customHeight="1" x14ac:dyDescent="0.45">
      <c r="B2034" s="563"/>
      <c r="C2034" s="450"/>
      <c r="L2034" s="452"/>
      <c r="M2034" s="527"/>
      <c r="N2034" s="449"/>
      <c r="O2034" s="531"/>
      <c r="Q2034" s="469"/>
    </row>
    <row r="2035" spans="2:18" ht="31.5" customHeight="1" x14ac:dyDescent="0.45">
      <c r="B2035" s="563">
        <f>MAX($B$804:B2034)+1</f>
        <v>19</v>
      </c>
      <c r="C2035" s="450" t="s">
        <v>571</v>
      </c>
      <c r="L2035" s="452"/>
      <c r="M2035" s="527"/>
      <c r="N2035" s="449"/>
      <c r="O2035" s="531"/>
      <c r="Q2035" s="469"/>
    </row>
    <row r="2036" spans="2:18" ht="31.5" customHeight="1" x14ac:dyDescent="0.45">
      <c r="B2036" s="563"/>
      <c r="C2036" s="450"/>
      <c r="D2036" s="449" t="s">
        <v>1483</v>
      </c>
      <c r="K2036" s="451"/>
      <c r="L2036" s="452"/>
      <c r="M2036" s="527"/>
      <c r="N2036" s="449"/>
      <c r="O2036" s="526"/>
      <c r="Q2036" s="469"/>
    </row>
    <row r="2037" spans="2:18" ht="31.5" customHeight="1" x14ac:dyDescent="0.45">
      <c r="B2037" s="563"/>
      <c r="D2037" s="449" t="str">
        <f>Criteria!G112</f>
        <v>1000 Ordinary shares of R1 each</v>
      </c>
      <c r="H2037" s="501"/>
      <c r="J2037" s="501"/>
      <c r="K2037" s="501"/>
      <c r="L2037" s="452"/>
      <c r="M2037" s="527"/>
      <c r="N2037" s="449"/>
      <c r="O2037" s="539">
        <f>Criteria!E112*Criteria!E113</f>
        <v>1000</v>
      </c>
      <c r="Q2037" s="469"/>
    </row>
    <row r="2038" spans="2:18" ht="9" customHeight="1" thickBot="1" x14ac:dyDescent="0.5">
      <c r="B2038" s="563"/>
      <c r="H2038" s="464"/>
      <c r="J2038" s="464"/>
      <c r="K2038" s="464"/>
      <c r="L2038" s="452"/>
      <c r="M2038" s="527"/>
      <c r="N2038" s="449"/>
      <c r="O2038" s="544"/>
      <c r="Q2038" s="469"/>
    </row>
    <row r="2039" spans="2:18" ht="31.5" customHeight="1" thickTop="1" x14ac:dyDescent="0.45">
      <c r="B2039" s="563"/>
      <c r="C2039" s="450"/>
      <c r="L2039" s="452"/>
      <c r="M2039" s="527"/>
      <c r="N2039" s="449"/>
      <c r="O2039" s="531"/>
      <c r="Q2039" s="469"/>
    </row>
    <row r="2040" spans="2:18" ht="31.5" customHeight="1" x14ac:dyDescent="0.45">
      <c r="B2040" s="563"/>
      <c r="D2040" s="449" t="s">
        <v>988</v>
      </c>
      <c r="L2040" s="452"/>
      <c r="M2040" s="527"/>
      <c r="N2040" s="449"/>
      <c r="O2040" s="40"/>
      <c r="Q2040" s="469"/>
    </row>
    <row r="2041" spans="2:18" ht="31.5" customHeight="1" x14ac:dyDescent="0.45">
      <c r="B2041" s="563"/>
      <c r="D2041" s="449" t="str">
        <f>Criteria!G115</f>
        <v>100 Ordinary shares of R1 each</v>
      </c>
      <c r="H2041" s="621"/>
      <c r="J2041" s="464"/>
      <c r="K2041" s="464"/>
      <c r="L2041" s="452"/>
      <c r="M2041" s="527"/>
      <c r="N2041" s="464"/>
      <c r="O2041" s="530">
        <f>-TrialBalance!L169-TrialBalance!L170</f>
        <v>0</v>
      </c>
      <c r="P2041" s="621"/>
      <c r="Q2041" s="469"/>
    </row>
    <row r="2042" spans="2:18" ht="9" customHeight="1" thickBot="1" x14ac:dyDescent="0.5">
      <c r="B2042" s="563"/>
      <c r="C2042" s="450"/>
      <c r="J2042" s="464"/>
      <c r="K2042" s="464"/>
      <c r="L2042" s="452"/>
      <c r="M2042" s="527"/>
      <c r="N2042" s="464"/>
      <c r="O2042" s="544"/>
      <c r="P2042" s="621"/>
      <c r="Q2042" s="469"/>
    </row>
    <row r="2043" spans="2:18" ht="31.5" customHeight="1" thickTop="1" x14ac:dyDescent="0.45">
      <c r="B2043" s="563"/>
      <c r="C2043" s="450"/>
      <c r="H2043" s="621"/>
      <c r="J2043" s="464"/>
      <c r="K2043" s="464"/>
      <c r="L2043" s="452"/>
      <c r="M2043" s="527"/>
      <c r="N2043" s="464"/>
      <c r="O2043" s="531"/>
      <c r="P2043" s="621"/>
      <c r="Q2043" s="469"/>
    </row>
    <row r="2044" spans="2:18" ht="31.5" customHeight="1" x14ac:dyDescent="0.45">
      <c r="B2044" s="563"/>
      <c r="C2044" s="450"/>
      <c r="H2044" s="621"/>
      <c r="J2044" s="464"/>
      <c r="K2044" s="464"/>
      <c r="L2044" s="452"/>
      <c r="M2044" s="527"/>
      <c r="N2044" s="464"/>
      <c r="O2044" s="531"/>
      <c r="P2044" s="621"/>
      <c r="Q2044" s="469"/>
    </row>
    <row r="2045" spans="2:18" ht="31.5" customHeight="1" x14ac:dyDescent="0.45">
      <c r="B2045" s="564"/>
      <c r="C2045" s="502"/>
      <c r="D2045" s="461"/>
      <c r="E2045" s="461"/>
      <c r="F2045" s="461"/>
      <c r="G2045" s="461"/>
      <c r="H2045" s="646"/>
      <c r="I2045" s="461"/>
      <c r="J2045" s="505"/>
      <c r="K2045" s="505"/>
      <c r="L2045" s="505"/>
      <c r="M2045" s="535"/>
      <c r="N2045" s="473"/>
      <c r="O2045" s="535"/>
      <c r="P2045" s="646"/>
      <c r="Q2045" s="479"/>
    </row>
    <row r="2046" spans="2:18" ht="31.5" customHeight="1" x14ac:dyDescent="0.45">
      <c r="B2046" s="526"/>
      <c r="C2046" s="450"/>
      <c r="M2046" s="531"/>
      <c r="N2046" s="470"/>
      <c r="O2046" s="531"/>
    </row>
    <row r="2047" spans="2:18" ht="31.5" customHeight="1" x14ac:dyDescent="0.45">
      <c r="B2047" s="526"/>
      <c r="C2047" s="450"/>
      <c r="M2047" s="531"/>
      <c r="N2047" s="470"/>
      <c r="O2047" s="531"/>
      <c r="R2047" s="512" t="str">
        <f>R$2063</f>
        <v>DELETE</v>
      </c>
    </row>
    <row r="2048" spans="2:18" ht="31.5" customHeight="1" x14ac:dyDescent="0.45">
      <c r="B2048" s="527"/>
      <c r="D2048" s="450" t="str">
        <f>Criteria!E9</f>
        <v>ABC COMPANY (PROPRIETARY) LIMITED</v>
      </c>
      <c r="M2048" s="635"/>
      <c r="N2048" s="621"/>
      <c r="O2048" s="531" t="s">
        <v>121</v>
      </c>
      <c r="Q2048" s="451">
        <f>MAX($Q$114:Q2047)+1</f>
        <v>49</v>
      </c>
      <c r="R2048" s="512" t="str">
        <f t="shared" ref="R2048:R2057" si="131">R$2063</f>
        <v>DELETE</v>
      </c>
    </row>
    <row r="2049" spans="2:18" ht="31.5" customHeight="1" x14ac:dyDescent="0.45">
      <c r="B2049" s="527"/>
      <c r="D2049" s="450" t="str">
        <f>Criteria!E10</f>
        <v>T/A SEAFRONT HOTEL, SEAFRONT RESTAURANT AND RENTAL PROPERTIES</v>
      </c>
      <c r="M2049" s="635"/>
      <c r="N2049" s="621"/>
      <c r="O2049" s="635"/>
      <c r="R2049" s="512" t="str">
        <f>IF(R$2063="DELETE","DELETE",IF(D2049=0,"DELETE"," "))</f>
        <v>DELETE</v>
      </c>
    </row>
    <row r="2050" spans="2:18" ht="31.5" customHeight="1" x14ac:dyDescent="0.45">
      <c r="B2050" s="527"/>
      <c r="M2050" s="635"/>
      <c r="N2050" s="621"/>
      <c r="O2050" s="635"/>
      <c r="R2050" s="512" t="str">
        <f t="shared" si="131"/>
        <v>DELETE</v>
      </c>
    </row>
    <row r="2051" spans="2:18" ht="31.5" customHeight="1" x14ac:dyDescent="0.45">
      <c r="B2051" s="527"/>
      <c r="D2051" s="450" t="s">
        <v>451</v>
      </c>
      <c r="M2051" s="635"/>
      <c r="N2051" s="621"/>
      <c r="O2051" s="635"/>
      <c r="R2051" s="512" t="str">
        <f t="shared" si="131"/>
        <v>DELETE</v>
      </c>
    </row>
    <row r="2052" spans="2:18" ht="31.5" customHeight="1" x14ac:dyDescent="0.45">
      <c r="B2052" s="527"/>
      <c r="D2052" s="450" t="str">
        <f>Criteria!E20</f>
        <v>29 FEBRUARY 2024</v>
      </c>
      <c r="J2052" s="449" t="s">
        <v>303</v>
      </c>
      <c r="M2052" s="635"/>
      <c r="N2052" s="621"/>
      <c r="O2052" s="635"/>
      <c r="R2052" s="512" t="str">
        <f t="shared" si="131"/>
        <v>DELETE</v>
      </c>
    </row>
    <row r="2053" spans="2:18" ht="31.5" customHeight="1" x14ac:dyDescent="0.45">
      <c r="B2053" s="527"/>
      <c r="D2053" s="450"/>
      <c r="M2053" s="635"/>
      <c r="N2053" s="621"/>
      <c r="O2053" s="635"/>
      <c r="R2053" s="512" t="str">
        <f t="shared" si="131"/>
        <v>DELETE</v>
      </c>
    </row>
    <row r="2054" spans="2:18" ht="31.5" customHeight="1" x14ac:dyDescent="0.45">
      <c r="B2054" s="565"/>
      <c r="C2054" s="503"/>
      <c r="D2054" s="466"/>
      <c r="E2054" s="466"/>
      <c r="F2054" s="466"/>
      <c r="G2054" s="466"/>
      <c r="H2054" s="649"/>
      <c r="I2054" s="466"/>
      <c r="J2054" s="507"/>
      <c r="K2054" s="507"/>
      <c r="L2054" s="507"/>
      <c r="M2054" s="546"/>
      <c r="N2054" s="471"/>
      <c r="O2054" s="546"/>
      <c r="P2054" s="649"/>
      <c r="Q2054" s="467"/>
      <c r="R2054" s="512" t="str">
        <f t="shared" si="131"/>
        <v>DELETE</v>
      </c>
    </row>
    <row r="2055" spans="2:18" ht="31.5" customHeight="1" x14ac:dyDescent="0.45">
      <c r="B2055" s="563"/>
      <c r="C2055" s="450"/>
      <c r="H2055" s="621"/>
      <c r="J2055" s="464"/>
      <c r="K2055" s="464"/>
      <c r="L2055" s="452"/>
      <c r="M2055" s="527"/>
      <c r="N2055" s="464"/>
      <c r="O2055" s="525">
        <f>Criteria!E22</f>
        <v>2024</v>
      </c>
      <c r="P2055" s="621"/>
      <c r="Q2055" s="469"/>
      <c r="R2055" s="512" t="str">
        <f t="shared" si="131"/>
        <v>DELETE</v>
      </c>
    </row>
    <row r="2056" spans="2:18" ht="31.5" customHeight="1" x14ac:dyDescent="0.45">
      <c r="B2056" s="563"/>
      <c r="C2056" s="450"/>
      <c r="H2056" s="621"/>
      <c r="J2056" s="464"/>
      <c r="K2056" s="464"/>
      <c r="L2056" s="452"/>
      <c r="M2056" s="527"/>
      <c r="N2056" s="464"/>
      <c r="O2056" s="531"/>
      <c r="P2056" s="621"/>
      <c r="Q2056" s="469"/>
      <c r="R2056" s="512" t="str">
        <f t="shared" si="131"/>
        <v>DELETE</v>
      </c>
    </row>
    <row r="2057" spans="2:18" ht="31.5" customHeight="1" x14ac:dyDescent="0.45">
      <c r="B2057" s="563">
        <f>MAX($B$804:B2056)+1</f>
        <v>20</v>
      </c>
      <c r="C2057" s="450" t="s">
        <v>577</v>
      </c>
      <c r="H2057" s="621"/>
      <c r="J2057" s="464"/>
      <c r="K2057" s="464"/>
      <c r="L2057" s="452"/>
      <c r="M2057" s="527"/>
      <c r="N2057" s="464"/>
      <c r="O2057" s="531"/>
      <c r="P2057" s="621"/>
      <c r="Q2057" s="469"/>
      <c r="R2057" s="512" t="str">
        <f t="shared" si="131"/>
        <v>DELETE</v>
      </c>
    </row>
    <row r="2058" spans="2:18" ht="31.5" customHeight="1" x14ac:dyDescent="0.45">
      <c r="B2058" s="563"/>
      <c r="C2058" s="450"/>
      <c r="D2058" s="449" t="s">
        <v>143</v>
      </c>
      <c r="H2058" s="621"/>
      <c r="J2058" s="464"/>
      <c r="K2058" s="464"/>
      <c r="L2058" s="452"/>
      <c r="M2058" s="527"/>
      <c r="N2058" s="464"/>
      <c r="O2058" s="531">
        <f>-TrialBalance!L172</f>
        <v>0</v>
      </c>
      <c r="P2058" s="621"/>
      <c r="Q2058" s="469"/>
      <c r="R2058" s="512" t="str">
        <f>R2063</f>
        <v>DELETE</v>
      </c>
    </row>
    <row r="2059" spans="2:18" ht="31.5" customHeight="1" x14ac:dyDescent="0.45">
      <c r="B2059" s="563"/>
      <c r="C2059" s="450"/>
      <c r="D2059" s="449" t="s">
        <v>578</v>
      </c>
      <c r="H2059" s="621"/>
      <c r="J2059" s="464"/>
      <c r="K2059" s="464"/>
      <c r="L2059" s="452"/>
      <c r="M2059" s="527"/>
      <c r="N2059" s="464"/>
      <c r="O2059" s="531">
        <f>-TrialBalance!L173</f>
        <v>0</v>
      </c>
      <c r="P2059" s="621"/>
      <c r="Q2059" s="469"/>
      <c r="R2059" s="512" t="str">
        <f t="shared" ref="R2059:R2060" si="132">IF(O2059=0,"DELETE"," ")</f>
        <v>DELETE</v>
      </c>
    </row>
    <row r="2060" spans="2:18" ht="31.5" customHeight="1" x14ac:dyDescent="0.45">
      <c r="B2060" s="563"/>
      <c r="C2060" s="450"/>
      <c r="D2060" s="449" t="s">
        <v>579</v>
      </c>
      <c r="H2060" s="621"/>
      <c r="J2060" s="464"/>
      <c r="K2060" s="464"/>
      <c r="L2060" s="452"/>
      <c r="M2060" s="527"/>
      <c r="N2060" s="464"/>
      <c r="O2060" s="531">
        <f>-TrialBalance!L174</f>
        <v>0</v>
      </c>
      <c r="P2060" s="621"/>
      <c r="Q2060" s="469"/>
      <c r="R2060" s="512" t="str">
        <f t="shared" si="132"/>
        <v>DELETE</v>
      </c>
    </row>
    <row r="2061" spans="2:18" ht="9" customHeight="1" x14ac:dyDescent="0.45">
      <c r="B2061" s="563"/>
      <c r="C2061" s="450"/>
      <c r="H2061" s="621"/>
      <c r="J2061" s="464"/>
      <c r="K2061" s="464"/>
      <c r="L2061" s="452"/>
      <c r="M2061" s="527"/>
      <c r="N2061" s="464"/>
      <c r="O2061" s="535"/>
      <c r="P2061" s="621"/>
      <c r="Q2061" s="469"/>
      <c r="R2061" s="512" t="str">
        <f t="shared" ref="R2061:R2069" si="133">R$2063</f>
        <v>DELETE</v>
      </c>
    </row>
    <row r="2062" spans="2:18" ht="9" customHeight="1" x14ac:dyDescent="0.45">
      <c r="B2062" s="563"/>
      <c r="C2062" s="450"/>
      <c r="H2062" s="621"/>
      <c r="J2062" s="464"/>
      <c r="K2062" s="464"/>
      <c r="L2062" s="452"/>
      <c r="M2062" s="527"/>
      <c r="N2062" s="464"/>
      <c r="O2062" s="531"/>
      <c r="P2062" s="621"/>
      <c r="Q2062" s="469"/>
      <c r="R2062" s="512" t="str">
        <f t="shared" si="133"/>
        <v>DELETE</v>
      </c>
    </row>
    <row r="2063" spans="2:18" ht="31.5" customHeight="1" x14ac:dyDescent="0.45">
      <c r="B2063" s="563"/>
      <c r="C2063" s="450"/>
      <c r="H2063" s="621"/>
      <c r="J2063" s="464"/>
      <c r="K2063" s="464"/>
      <c r="L2063" s="452"/>
      <c r="M2063" s="527"/>
      <c r="N2063" s="464"/>
      <c r="O2063" s="531">
        <f>SUM(O2058:O2062)</f>
        <v>0</v>
      </c>
      <c r="P2063" s="621"/>
      <c r="Q2063" s="469"/>
      <c r="R2063" s="512" t="str">
        <f>IF(COUNTIF(O2058:O2060,"&gt;0")&gt;0," ","DELETE")</f>
        <v>DELETE</v>
      </c>
    </row>
    <row r="2064" spans="2:18" ht="9" customHeight="1" thickBot="1" x14ac:dyDescent="0.5">
      <c r="B2064" s="563"/>
      <c r="C2064" s="450"/>
      <c r="H2064" s="621"/>
      <c r="J2064" s="464"/>
      <c r="K2064" s="464"/>
      <c r="L2064" s="452"/>
      <c r="M2064" s="527"/>
      <c r="N2064" s="464"/>
      <c r="O2064" s="536"/>
      <c r="P2064" s="621"/>
      <c r="Q2064" s="469"/>
      <c r="R2064" s="512" t="str">
        <f t="shared" si="133"/>
        <v>DELETE</v>
      </c>
    </row>
    <row r="2065" spans="2:18" ht="9" customHeight="1" thickTop="1" x14ac:dyDescent="0.45">
      <c r="B2065" s="563"/>
      <c r="C2065" s="450"/>
      <c r="H2065" s="621"/>
      <c r="J2065" s="464"/>
      <c r="K2065" s="464"/>
      <c r="L2065" s="452"/>
      <c r="M2065" s="527"/>
      <c r="N2065" s="464"/>
      <c r="O2065" s="548"/>
      <c r="P2065" s="621"/>
      <c r="Q2065" s="469"/>
      <c r="R2065" s="512" t="str">
        <f t="shared" si="133"/>
        <v>DELETE</v>
      </c>
    </row>
    <row r="2066" spans="2:18" ht="31.5" customHeight="1" x14ac:dyDescent="0.45">
      <c r="B2066" s="563"/>
      <c r="C2066" s="450"/>
      <c r="J2066" s="464"/>
      <c r="K2066" s="464"/>
      <c r="L2066" s="452"/>
      <c r="M2066" s="527"/>
      <c r="N2066" s="464"/>
      <c r="O2066" s="531"/>
      <c r="P2066" s="621"/>
      <c r="Q2066" s="469"/>
      <c r="R2066" s="512" t="str">
        <f t="shared" si="133"/>
        <v>DELETE</v>
      </c>
    </row>
    <row r="2067" spans="2:18" ht="31.5" customHeight="1" x14ac:dyDescent="0.45">
      <c r="B2067" s="563"/>
      <c r="C2067" s="450"/>
      <c r="J2067" s="464"/>
      <c r="K2067" s="464"/>
      <c r="L2067" s="464"/>
      <c r="M2067" s="531"/>
      <c r="N2067" s="470"/>
      <c r="O2067" s="531"/>
      <c r="P2067" s="621"/>
      <c r="Q2067" s="469"/>
      <c r="R2067" s="512" t="str">
        <f t="shared" si="133"/>
        <v>DELETE</v>
      </c>
    </row>
    <row r="2068" spans="2:18" ht="31.5" customHeight="1" x14ac:dyDescent="0.45">
      <c r="B2068" s="564"/>
      <c r="C2068" s="502"/>
      <c r="D2068" s="461"/>
      <c r="E2068" s="461"/>
      <c r="F2068" s="461"/>
      <c r="G2068" s="461"/>
      <c r="H2068" s="461"/>
      <c r="I2068" s="461"/>
      <c r="J2068" s="505"/>
      <c r="K2068" s="505"/>
      <c r="L2068" s="505"/>
      <c r="M2068" s="535"/>
      <c r="N2068" s="473"/>
      <c r="O2068" s="535"/>
      <c r="P2068" s="646"/>
      <c r="Q2068" s="479"/>
      <c r="R2068" s="512" t="str">
        <f t="shared" si="133"/>
        <v>DELETE</v>
      </c>
    </row>
    <row r="2069" spans="2:18" ht="31.5" customHeight="1" x14ac:dyDescent="0.45">
      <c r="B2069" s="526"/>
      <c r="C2069" s="450"/>
      <c r="M2069" s="531"/>
      <c r="N2069" s="470"/>
      <c r="O2069" s="531"/>
      <c r="R2069" s="512" t="str">
        <f t="shared" si="133"/>
        <v>DELETE</v>
      </c>
    </row>
    <row r="2070" spans="2:18" ht="31.5" customHeight="1" x14ac:dyDescent="0.45">
      <c r="B2070" s="526"/>
      <c r="C2070" s="450"/>
      <c r="M2070" s="531"/>
      <c r="N2070" s="470"/>
      <c r="O2070" s="531"/>
      <c r="R2070" s="512" t="str">
        <f>R$2098</f>
        <v>DELETE</v>
      </c>
    </row>
    <row r="2071" spans="2:18" ht="31.5" customHeight="1" x14ac:dyDescent="0.45">
      <c r="B2071" s="527"/>
      <c r="D2071" s="450" t="str">
        <f>Criteria!E9</f>
        <v>ABC COMPANY (PROPRIETARY) LIMITED</v>
      </c>
      <c r="M2071" s="635"/>
      <c r="N2071" s="621"/>
      <c r="O2071" s="531" t="s">
        <v>121</v>
      </c>
      <c r="Q2071" s="451">
        <f>MAX($Q$114:Q2070)+1</f>
        <v>50</v>
      </c>
      <c r="R2071" s="512" t="str">
        <f t="shared" ref="R2071:R2080" si="134">R$2098</f>
        <v>DELETE</v>
      </c>
    </row>
    <row r="2072" spans="2:18" ht="31.5" customHeight="1" x14ac:dyDescent="0.45">
      <c r="B2072" s="527"/>
      <c r="D2072" s="450" t="str">
        <f>Criteria!E10</f>
        <v>T/A SEAFRONT HOTEL, SEAFRONT RESTAURANT AND RENTAL PROPERTIES</v>
      </c>
      <c r="M2072" s="635"/>
      <c r="N2072" s="621"/>
      <c r="O2072" s="635"/>
      <c r="R2072" s="512" t="str">
        <f>IF(R$2098="DELETE","DELETE",IF(D2072=0,"DELETE"," "))</f>
        <v>DELETE</v>
      </c>
    </row>
    <row r="2073" spans="2:18" ht="31.5" customHeight="1" x14ac:dyDescent="0.45">
      <c r="B2073" s="527"/>
      <c r="M2073" s="635"/>
      <c r="N2073" s="621"/>
      <c r="O2073" s="635"/>
      <c r="R2073" s="512" t="str">
        <f t="shared" si="134"/>
        <v>DELETE</v>
      </c>
    </row>
    <row r="2074" spans="2:18" ht="31.5" customHeight="1" x14ac:dyDescent="0.45">
      <c r="B2074" s="527"/>
      <c r="D2074" s="450" t="s">
        <v>451</v>
      </c>
      <c r="M2074" s="635"/>
      <c r="N2074" s="621"/>
      <c r="O2074" s="635"/>
      <c r="R2074" s="512" t="str">
        <f t="shared" si="134"/>
        <v>DELETE</v>
      </c>
    </row>
    <row r="2075" spans="2:18" ht="31.5" customHeight="1" x14ac:dyDescent="0.45">
      <c r="B2075" s="527"/>
      <c r="D2075" s="450" t="str">
        <f>Criteria!E20</f>
        <v>29 FEBRUARY 2024</v>
      </c>
      <c r="J2075" s="449" t="s">
        <v>303</v>
      </c>
      <c r="M2075" s="635"/>
      <c r="N2075" s="621"/>
      <c r="O2075" s="635"/>
      <c r="R2075" s="512" t="str">
        <f t="shared" si="134"/>
        <v>DELETE</v>
      </c>
    </row>
    <row r="2076" spans="2:18" ht="31.5" customHeight="1" x14ac:dyDescent="0.45">
      <c r="B2076" s="527"/>
      <c r="D2076" s="450"/>
      <c r="M2076" s="635"/>
      <c r="N2076" s="621"/>
      <c r="O2076" s="635"/>
      <c r="R2076" s="512" t="str">
        <f t="shared" si="134"/>
        <v>DELETE</v>
      </c>
    </row>
    <row r="2077" spans="2:18" ht="31.5" customHeight="1" x14ac:dyDescent="0.45">
      <c r="B2077" s="565"/>
      <c r="C2077" s="503"/>
      <c r="D2077" s="466"/>
      <c r="E2077" s="466"/>
      <c r="F2077" s="466"/>
      <c r="G2077" s="466"/>
      <c r="H2077" s="466"/>
      <c r="I2077" s="466"/>
      <c r="J2077" s="507"/>
      <c r="K2077" s="507"/>
      <c r="L2077" s="507"/>
      <c r="M2077" s="546"/>
      <c r="N2077" s="471"/>
      <c r="O2077" s="546"/>
      <c r="P2077" s="649"/>
      <c r="Q2077" s="467"/>
      <c r="R2077" s="512" t="str">
        <f t="shared" si="134"/>
        <v>DELETE</v>
      </c>
    </row>
    <row r="2078" spans="2:18" ht="31.5" customHeight="1" x14ac:dyDescent="0.45">
      <c r="B2078" s="563"/>
      <c r="C2078" s="450"/>
      <c r="J2078" s="464"/>
      <c r="K2078" s="464"/>
      <c r="L2078" s="452"/>
      <c r="M2078" s="527"/>
      <c r="N2078" s="464"/>
      <c r="O2078" s="525">
        <f>Criteria!E22</f>
        <v>2024</v>
      </c>
      <c r="P2078" s="621"/>
      <c r="Q2078" s="469"/>
      <c r="R2078" s="512" t="str">
        <f t="shared" si="134"/>
        <v>DELETE</v>
      </c>
    </row>
    <row r="2079" spans="2:18" ht="31.5" customHeight="1" x14ac:dyDescent="0.45">
      <c r="B2079" s="563"/>
      <c r="C2079" s="450"/>
      <c r="J2079" s="464"/>
      <c r="K2079" s="464"/>
      <c r="L2079" s="452"/>
      <c r="M2079" s="527"/>
      <c r="N2079" s="464"/>
      <c r="O2079" s="531"/>
      <c r="P2079" s="621"/>
      <c r="Q2079" s="469"/>
      <c r="R2079" s="512" t="str">
        <f t="shared" si="134"/>
        <v>DELETE</v>
      </c>
    </row>
    <row r="2080" spans="2:18" ht="31.5" customHeight="1" x14ac:dyDescent="0.45">
      <c r="B2080" s="563">
        <f>MAX($B$804:B2079)+1</f>
        <v>21</v>
      </c>
      <c r="C2080" s="450" t="s">
        <v>142</v>
      </c>
      <c r="L2080" s="452"/>
      <c r="M2080" s="527"/>
      <c r="N2080" s="449"/>
      <c r="O2080" s="531"/>
      <c r="Q2080" s="469"/>
      <c r="R2080" s="512" t="str">
        <f t="shared" si="134"/>
        <v>DELETE</v>
      </c>
    </row>
    <row r="2081" spans="2:22" ht="31.5" customHeight="1" x14ac:dyDescent="0.45">
      <c r="B2081" s="563"/>
      <c r="C2081" s="450"/>
      <c r="D2081" s="449" t="s">
        <v>1329</v>
      </c>
      <c r="L2081" s="452"/>
      <c r="M2081" s="527"/>
      <c r="N2081" s="449"/>
      <c r="O2081" s="531">
        <f>SUM(O2084:O2086)</f>
        <v>0</v>
      </c>
      <c r="Q2081" s="469"/>
      <c r="R2081" s="512" t="str">
        <f>IF(COUNTIF(O2084:O2086,"&gt;0")&gt;0," ","DELETE")</f>
        <v>DELETE</v>
      </c>
      <c r="S2081" s="517">
        <f>O2081</f>
        <v>0</v>
      </c>
      <c r="T2081" s="517"/>
      <c r="U2081" s="517"/>
      <c r="V2081" s="517"/>
    </row>
    <row r="2082" spans="2:22" ht="9" customHeight="1" x14ac:dyDescent="0.45">
      <c r="B2082" s="563"/>
      <c r="C2082" s="450"/>
      <c r="L2082" s="452"/>
      <c r="M2082" s="527"/>
      <c r="N2082" s="449"/>
      <c r="O2082" s="531"/>
      <c r="Q2082" s="469"/>
      <c r="R2082" s="512" t="str">
        <f t="shared" ref="R2082" si="135">R2081</f>
        <v>DELETE</v>
      </c>
    </row>
    <row r="2083" spans="2:22" ht="9" customHeight="1" x14ac:dyDescent="0.45">
      <c r="B2083" s="563"/>
      <c r="C2083" s="450"/>
      <c r="L2083" s="452"/>
      <c r="M2083" s="527"/>
      <c r="N2083" s="449"/>
      <c r="O2083" s="558"/>
      <c r="Q2083" s="469"/>
      <c r="R2083" s="512" t="str">
        <f>R2081</f>
        <v>DELETE</v>
      </c>
    </row>
    <row r="2084" spans="2:22" ht="31.5" customHeight="1" x14ac:dyDescent="0.45">
      <c r="B2084" s="563"/>
      <c r="C2084" s="450"/>
      <c r="D2084" s="449" t="s">
        <v>143</v>
      </c>
      <c r="L2084" s="452"/>
      <c r="M2084" s="527"/>
      <c r="N2084" s="449"/>
      <c r="O2084" s="559">
        <f>-TrialBalance!L176</f>
        <v>0</v>
      </c>
      <c r="Q2084" s="469"/>
      <c r="R2084" s="512" t="str">
        <f>R2081</f>
        <v>DELETE</v>
      </c>
    </row>
    <row r="2085" spans="2:22" ht="31.5" customHeight="1" x14ac:dyDescent="0.45">
      <c r="B2085" s="563"/>
      <c r="C2085" s="450"/>
      <c r="D2085" s="449" t="s">
        <v>1593</v>
      </c>
      <c r="L2085" s="452"/>
      <c r="M2085" s="527"/>
      <c r="N2085" s="449"/>
      <c r="O2085" s="559">
        <f>-TrialBalance!L177</f>
        <v>0</v>
      </c>
      <c r="Q2085" s="469"/>
      <c r="R2085" s="512" t="str">
        <f t="shared" ref="R2085:R2086" si="136">IF(O2085=0,"DELETE"," ")</f>
        <v>DELETE</v>
      </c>
    </row>
    <row r="2086" spans="2:22" ht="31.5" customHeight="1" x14ac:dyDescent="0.45">
      <c r="B2086" s="563"/>
      <c r="C2086" s="450"/>
      <c r="D2086" s="449" t="s">
        <v>1594</v>
      </c>
      <c r="L2086" s="452"/>
      <c r="M2086" s="527"/>
      <c r="N2086" s="449"/>
      <c r="O2086" s="559">
        <f>-TrialBalance!L178</f>
        <v>0</v>
      </c>
      <c r="Q2086" s="469"/>
      <c r="R2086" s="512" t="str">
        <f t="shared" si="136"/>
        <v>DELETE</v>
      </c>
    </row>
    <row r="2087" spans="2:22" ht="9" customHeight="1" x14ac:dyDescent="0.45">
      <c r="B2087" s="563"/>
      <c r="C2087" s="450"/>
      <c r="L2087" s="452"/>
      <c r="M2087" s="527"/>
      <c r="N2087" s="449"/>
      <c r="O2087" s="560"/>
      <c r="Q2087" s="469"/>
      <c r="R2087" s="512" t="str">
        <f>R2081</f>
        <v>DELETE</v>
      </c>
    </row>
    <row r="2088" spans="2:22" ht="9" customHeight="1" x14ac:dyDescent="0.45">
      <c r="B2088" s="563"/>
      <c r="C2088" s="450"/>
      <c r="L2088" s="452"/>
      <c r="M2088" s="527"/>
      <c r="N2088" s="449"/>
      <c r="O2088" s="531"/>
      <c r="Q2088" s="469"/>
      <c r="R2088" s="512" t="str">
        <f>R2081</f>
        <v>DELETE</v>
      </c>
    </row>
    <row r="2089" spans="2:22" ht="31.5" customHeight="1" x14ac:dyDescent="0.45">
      <c r="B2089" s="563"/>
      <c r="C2089" s="450"/>
      <c r="D2089" s="449" t="s">
        <v>304</v>
      </c>
      <c r="L2089" s="452"/>
      <c r="M2089" s="527"/>
      <c r="N2089" s="449"/>
      <c r="O2089" s="531">
        <f>SUM(O2092:O2094)</f>
        <v>0</v>
      </c>
      <c r="Q2089" s="469"/>
      <c r="R2089" s="512" t="str">
        <f>IF(COUNTIF(O2092:O2094,"&gt;0")&gt;0," ","DELETE")</f>
        <v>DELETE</v>
      </c>
      <c r="S2089" s="517">
        <f>O2089</f>
        <v>0</v>
      </c>
      <c r="T2089" s="517"/>
      <c r="U2089" s="517"/>
      <c r="V2089" s="517"/>
    </row>
    <row r="2090" spans="2:22" ht="9" customHeight="1" x14ac:dyDescent="0.45">
      <c r="B2090" s="563"/>
      <c r="C2090" s="450"/>
      <c r="L2090" s="452"/>
      <c r="M2090" s="527"/>
      <c r="N2090" s="449"/>
      <c r="O2090" s="531"/>
      <c r="Q2090" s="469"/>
      <c r="R2090" s="512" t="str">
        <f>R2089</f>
        <v>DELETE</v>
      </c>
    </row>
    <row r="2091" spans="2:22" ht="9" customHeight="1" x14ac:dyDescent="0.45">
      <c r="B2091" s="563"/>
      <c r="C2091" s="450"/>
      <c r="L2091" s="452"/>
      <c r="M2091" s="527"/>
      <c r="N2091" s="449"/>
      <c r="O2091" s="558"/>
      <c r="Q2091" s="469"/>
      <c r="R2091" s="512" t="str">
        <f>R2089</f>
        <v>DELETE</v>
      </c>
    </row>
    <row r="2092" spans="2:22" ht="31.5" customHeight="1" x14ac:dyDescent="0.45">
      <c r="B2092" s="563"/>
      <c r="C2092" s="450"/>
      <c r="D2092" s="449" t="s">
        <v>143</v>
      </c>
      <c r="L2092" s="452"/>
      <c r="M2092" s="527"/>
      <c r="N2092" s="449"/>
      <c r="O2092" s="559">
        <f>-TrialBalance!L180</f>
        <v>0</v>
      </c>
      <c r="Q2092" s="469"/>
      <c r="R2092" s="512" t="str">
        <f>R2089</f>
        <v>DELETE</v>
      </c>
    </row>
    <row r="2093" spans="2:22" ht="31.5" customHeight="1" x14ac:dyDescent="0.45">
      <c r="B2093" s="563"/>
      <c r="C2093" s="450"/>
      <c r="D2093" s="449" t="s">
        <v>1595</v>
      </c>
      <c r="L2093" s="452"/>
      <c r="M2093" s="527"/>
      <c r="N2093" s="449"/>
      <c r="O2093" s="559">
        <f>-TrialBalance!L181</f>
        <v>0</v>
      </c>
      <c r="Q2093" s="469"/>
      <c r="R2093" s="512" t="str">
        <f t="shared" ref="R2093:R2094" si="137">IF(O2093=0,"DELETE"," ")</f>
        <v>DELETE</v>
      </c>
    </row>
    <row r="2094" spans="2:22" ht="31.5" customHeight="1" x14ac:dyDescent="0.45">
      <c r="B2094" s="563"/>
      <c r="C2094" s="450"/>
      <c r="D2094" s="449" t="s">
        <v>1596</v>
      </c>
      <c r="L2094" s="452"/>
      <c r="M2094" s="527"/>
      <c r="N2094" s="449"/>
      <c r="O2094" s="559">
        <f>-TrialBalance!L182</f>
        <v>0</v>
      </c>
      <c r="Q2094" s="469"/>
      <c r="R2094" s="512" t="str">
        <f t="shared" si="137"/>
        <v>DELETE</v>
      </c>
    </row>
    <row r="2095" spans="2:22" ht="9" customHeight="1" x14ac:dyDescent="0.45">
      <c r="B2095" s="563"/>
      <c r="C2095" s="450"/>
      <c r="L2095" s="452"/>
      <c r="M2095" s="527"/>
      <c r="N2095" s="449"/>
      <c r="O2095" s="560"/>
      <c r="Q2095" s="469"/>
      <c r="R2095" s="512" t="str">
        <f>R2089</f>
        <v>DELETE</v>
      </c>
    </row>
    <row r="2096" spans="2:22" ht="9" customHeight="1" x14ac:dyDescent="0.45">
      <c r="B2096" s="563"/>
      <c r="C2096" s="450"/>
      <c r="L2096" s="452"/>
      <c r="M2096" s="527"/>
      <c r="N2096" s="449"/>
      <c r="O2096" s="535"/>
      <c r="Q2096" s="469"/>
      <c r="R2096" s="512" t="str">
        <f>R2098</f>
        <v>DELETE</v>
      </c>
    </row>
    <row r="2097" spans="2:18" ht="9" customHeight="1" x14ac:dyDescent="0.45">
      <c r="B2097" s="563"/>
      <c r="C2097" s="450"/>
      <c r="L2097" s="452"/>
      <c r="M2097" s="527"/>
      <c r="N2097" s="449"/>
      <c r="O2097" s="531"/>
      <c r="Q2097" s="469"/>
      <c r="R2097" s="512" t="str">
        <f>R2098</f>
        <v>DELETE</v>
      </c>
    </row>
    <row r="2098" spans="2:18" ht="31.5" customHeight="1" x14ac:dyDescent="0.45">
      <c r="B2098" s="563"/>
      <c r="C2098" s="450"/>
      <c r="L2098" s="452"/>
      <c r="M2098" s="527"/>
      <c r="N2098" s="449"/>
      <c r="O2098" s="531">
        <f>SUM(S2081:S2096)</f>
        <v>0</v>
      </c>
      <c r="Q2098" s="469"/>
      <c r="R2098" s="512" t="str">
        <f>IF(R2081=" "," ",IF(R2089=" "," ","DELETE"))</f>
        <v>DELETE</v>
      </c>
    </row>
    <row r="2099" spans="2:18" ht="9" customHeight="1" thickBot="1" x14ac:dyDescent="0.5">
      <c r="B2099" s="563"/>
      <c r="C2099" s="450"/>
      <c r="L2099" s="452"/>
      <c r="M2099" s="527"/>
      <c r="N2099" s="449"/>
      <c r="O2099" s="536"/>
      <c r="Q2099" s="469"/>
      <c r="R2099" s="512" t="str">
        <f>R2098</f>
        <v>DELETE</v>
      </c>
    </row>
    <row r="2100" spans="2:18" ht="9" customHeight="1" thickTop="1" x14ac:dyDescent="0.45">
      <c r="B2100" s="563"/>
      <c r="C2100" s="450"/>
      <c r="L2100" s="452"/>
      <c r="M2100" s="527"/>
      <c r="N2100" s="449"/>
      <c r="O2100" s="531"/>
      <c r="Q2100" s="469"/>
      <c r="R2100" s="512" t="str">
        <f>R2098</f>
        <v>DELETE</v>
      </c>
    </row>
    <row r="2101" spans="2:18" ht="31.5" customHeight="1" x14ac:dyDescent="0.45">
      <c r="B2101" s="563"/>
      <c r="C2101" s="450"/>
      <c r="L2101" s="452"/>
      <c r="M2101" s="527"/>
      <c r="N2101" s="449"/>
      <c r="O2101" s="531"/>
      <c r="Q2101" s="469"/>
      <c r="R2101" s="512" t="str">
        <f>R$2098</f>
        <v>DELETE</v>
      </c>
    </row>
    <row r="2102" spans="2:18" ht="31.5" customHeight="1" x14ac:dyDescent="0.45">
      <c r="B2102" s="563"/>
      <c r="C2102" s="450"/>
      <c r="M2102" s="531"/>
      <c r="N2102" s="470"/>
      <c r="O2102" s="531"/>
      <c r="Q2102" s="469"/>
      <c r="R2102" s="512" t="str">
        <f>R$2098</f>
        <v>DELETE</v>
      </c>
    </row>
    <row r="2103" spans="2:18" ht="31.5" customHeight="1" x14ac:dyDescent="0.45">
      <c r="B2103" s="567"/>
      <c r="C2103" s="461"/>
      <c r="D2103" s="461"/>
      <c r="E2103" s="461"/>
      <c r="F2103" s="461"/>
      <c r="G2103" s="461"/>
      <c r="H2103" s="461"/>
      <c r="I2103" s="461"/>
      <c r="J2103" s="461"/>
      <c r="K2103" s="461"/>
      <c r="L2103" s="461"/>
      <c r="M2103" s="640"/>
      <c r="N2103" s="646"/>
      <c r="O2103" s="640"/>
      <c r="P2103" s="631"/>
      <c r="Q2103" s="479"/>
      <c r="R2103" s="512" t="str">
        <f>R$2098</f>
        <v>DELETE</v>
      </c>
    </row>
    <row r="2104" spans="2:18" ht="31.5" customHeight="1" x14ac:dyDescent="0.45">
      <c r="B2104" s="527"/>
      <c r="M2104" s="635"/>
      <c r="N2104" s="621"/>
      <c r="O2104" s="635"/>
      <c r="R2104" s="512" t="str">
        <f>R$2098</f>
        <v>DELETE</v>
      </c>
    </row>
    <row r="2105" spans="2:18" ht="31.5" customHeight="1" x14ac:dyDescent="0.45">
      <c r="B2105" s="527"/>
      <c r="M2105" s="635"/>
      <c r="N2105" s="621"/>
      <c r="O2105" s="635"/>
      <c r="R2105" s="512" t="str">
        <f>R$2137</f>
        <v>DELETE</v>
      </c>
    </row>
    <row r="2106" spans="2:18" ht="31.5" customHeight="1" x14ac:dyDescent="0.45">
      <c r="B2106" s="527"/>
      <c r="D2106" s="450" t="str">
        <f>Criteria!E9</f>
        <v>ABC COMPANY (PROPRIETARY) LIMITED</v>
      </c>
      <c r="M2106" s="635"/>
      <c r="N2106" s="621"/>
      <c r="O2106" s="531" t="s">
        <v>121</v>
      </c>
      <c r="Q2106" s="451">
        <f>MAX($Q$114:Q2105)+1</f>
        <v>51</v>
      </c>
      <c r="R2106" s="512" t="str">
        <f>R$2137</f>
        <v>DELETE</v>
      </c>
    </row>
    <row r="2107" spans="2:18" ht="31.5" customHeight="1" x14ac:dyDescent="0.45">
      <c r="B2107" s="527"/>
      <c r="D2107" s="450" t="str">
        <f>Criteria!E10</f>
        <v>T/A SEAFRONT HOTEL, SEAFRONT RESTAURANT AND RENTAL PROPERTIES</v>
      </c>
      <c r="M2107" s="635"/>
      <c r="N2107" s="621"/>
      <c r="O2107" s="635"/>
      <c r="R2107" s="512" t="str">
        <f>IF(R$2137="DELETE","DELETE",IF(D2107=0,"DELETE"," "))</f>
        <v>DELETE</v>
      </c>
    </row>
    <row r="2108" spans="2:18" ht="31.5" customHeight="1" x14ac:dyDescent="0.45">
      <c r="B2108" s="527"/>
      <c r="M2108" s="635"/>
      <c r="N2108" s="621"/>
      <c r="O2108" s="635"/>
      <c r="R2108" s="512" t="str">
        <f t="shared" ref="R2108:R2115" si="138">R$2137</f>
        <v>DELETE</v>
      </c>
    </row>
    <row r="2109" spans="2:18" ht="31.5" customHeight="1" x14ac:dyDescent="0.45">
      <c r="B2109" s="527"/>
      <c r="D2109" s="450" t="s">
        <v>451</v>
      </c>
      <c r="M2109" s="635"/>
      <c r="N2109" s="621"/>
      <c r="O2109" s="635"/>
      <c r="R2109" s="512" t="str">
        <f t="shared" si="138"/>
        <v>DELETE</v>
      </c>
    </row>
    <row r="2110" spans="2:18" ht="31.5" customHeight="1" x14ac:dyDescent="0.45">
      <c r="B2110" s="527"/>
      <c r="D2110" s="450" t="str">
        <f>Criteria!E20</f>
        <v>29 FEBRUARY 2024</v>
      </c>
      <c r="J2110" s="449" t="s">
        <v>303</v>
      </c>
      <c r="M2110" s="635"/>
      <c r="N2110" s="621"/>
      <c r="O2110" s="635"/>
      <c r="R2110" s="512" t="str">
        <f t="shared" si="138"/>
        <v>DELETE</v>
      </c>
    </row>
    <row r="2111" spans="2:18" ht="31.5" customHeight="1" x14ac:dyDescent="0.45">
      <c r="B2111" s="527"/>
      <c r="M2111" s="640"/>
      <c r="N2111" s="646"/>
      <c r="O2111" s="640"/>
      <c r="R2111" s="512" t="str">
        <f t="shared" si="138"/>
        <v>DELETE</v>
      </c>
    </row>
    <row r="2112" spans="2:18" ht="31.5" customHeight="1" x14ac:dyDescent="0.45">
      <c r="B2112" s="566"/>
      <c r="C2112" s="466"/>
      <c r="D2112" s="466"/>
      <c r="E2112" s="466"/>
      <c r="F2112" s="466"/>
      <c r="G2112" s="466"/>
      <c r="H2112" s="466"/>
      <c r="I2112" s="466"/>
      <c r="J2112" s="466"/>
      <c r="K2112" s="466"/>
      <c r="L2112" s="466"/>
      <c r="M2112" s="648"/>
      <c r="N2112" s="649"/>
      <c r="O2112" s="648"/>
      <c r="P2112" s="643"/>
      <c r="Q2112" s="467"/>
      <c r="R2112" s="512" t="str">
        <f t="shared" si="138"/>
        <v>DELETE</v>
      </c>
    </row>
    <row r="2113" spans="2:20" ht="31.5" customHeight="1" x14ac:dyDescent="0.45">
      <c r="B2113" s="582"/>
      <c r="L2113" s="452"/>
      <c r="M2113" s="527"/>
      <c r="N2113" s="449"/>
      <c r="O2113" s="525">
        <f>Criteria!E22</f>
        <v>2024</v>
      </c>
      <c r="Q2113" s="469"/>
      <c r="R2113" s="512" t="str">
        <f t="shared" si="138"/>
        <v>DELETE</v>
      </c>
    </row>
    <row r="2114" spans="2:20" ht="31.5" customHeight="1" x14ac:dyDescent="0.45">
      <c r="B2114" s="563"/>
      <c r="C2114" s="450"/>
      <c r="L2114" s="452"/>
      <c r="M2114" s="527"/>
      <c r="N2114" s="449"/>
      <c r="O2114" s="531"/>
      <c r="Q2114" s="469"/>
      <c r="R2114" s="512" t="str">
        <f t="shared" si="138"/>
        <v>DELETE</v>
      </c>
    </row>
    <row r="2115" spans="2:20" ht="31.5" customHeight="1" x14ac:dyDescent="0.45">
      <c r="B2115" s="563">
        <f>MAX($B$804:B2114)+1</f>
        <v>22</v>
      </c>
      <c r="C2115" s="450" t="str">
        <f>IF(COUNTIF(TrialBalance!L185:L199,"&lt;0")&gt;1,"INTEREST BEARING BORROWINGS","INTEREST BEARING BORROWING")</f>
        <v>INTEREST BEARING BORROWING</v>
      </c>
      <c r="L2115" s="452"/>
      <c r="M2115" s="527"/>
      <c r="N2115" s="449"/>
      <c r="O2115" s="531"/>
      <c r="Q2115" s="469"/>
      <c r="R2115" s="512" t="str">
        <f t="shared" si="138"/>
        <v>DELETE</v>
      </c>
      <c r="S2115" s="517">
        <f>SUM(O2116:O2131)</f>
        <v>0</v>
      </c>
      <c r="T2115" s="517"/>
    </row>
    <row r="2116" spans="2:20" ht="31.5" customHeight="1" x14ac:dyDescent="0.45">
      <c r="B2116" s="563"/>
      <c r="C2116" s="450"/>
      <c r="D2116" s="449">
        <f>TrialBalance!C185</f>
        <v>0</v>
      </c>
      <c r="L2116" s="452"/>
      <c r="M2116" s="527"/>
      <c r="N2116" s="449"/>
      <c r="O2116" s="531">
        <f>-TrialBalance!L185</f>
        <v>0</v>
      </c>
      <c r="Q2116" s="469"/>
      <c r="R2116" s="512" t="str">
        <f t="shared" ref="R2116" si="139">IF(O2116=0,"DELETE"," ")</f>
        <v>DELETE</v>
      </c>
    </row>
    <row r="2117" spans="2:20" ht="31.5" customHeight="1" x14ac:dyDescent="0.45">
      <c r="B2117" s="563"/>
      <c r="C2117" s="450"/>
      <c r="D2117" s="449">
        <f>TrialBalance!C186</f>
        <v>0</v>
      </c>
      <c r="L2117" s="452"/>
      <c r="M2117" s="527"/>
      <c r="N2117" s="449"/>
      <c r="O2117" s="531">
        <f>-TrialBalance!L186</f>
        <v>0</v>
      </c>
      <c r="Q2117" s="469"/>
      <c r="R2117" s="512" t="str">
        <f t="shared" ref="R2117" si="140">IF(O2117=0,"DELETE"," ")</f>
        <v>DELETE</v>
      </c>
    </row>
    <row r="2118" spans="2:20" ht="31.5" customHeight="1" x14ac:dyDescent="0.45">
      <c r="B2118" s="563"/>
      <c r="C2118" s="450"/>
      <c r="D2118" s="449">
        <f>TrialBalance!C187</f>
        <v>0</v>
      </c>
      <c r="L2118" s="452"/>
      <c r="M2118" s="527"/>
      <c r="N2118" s="449"/>
      <c r="O2118" s="531">
        <f>-TrialBalance!L187</f>
        <v>0</v>
      </c>
      <c r="Q2118" s="469"/>
      <c r="R2118" s="512" t="str">
        <f t="shared" ref="R2118" si="141">IF(O2118=0,"DELETE"," ")</f>
        <v>DELETE</v>
      </c>
    </row>
    <row r="2119" spans="2:20" ht="31.5" customHeight="1" x14ac:dyDescent="0.45">
      <c r="B2119" s="563"/>
      <c r="C2119" s="450"/>
      <c r="D2119" s="449">
        <f>TrialBalance!C188</f>
        <v>0</v>
      </c>
      <c r="L2119" s="452"/>
      <c r="M2119" s="527"/>
      <c r="N2119" s="449"/>
      <c r="O2119" s="531">
        <f>-TrialBalance!L188</f>
        <v>0</v>
      </c>
      <c r="Q2119" s="469"/>
      <c r="R2119" s="512" t="str">
        <f t="shared" ref="R2119" si="142">IF(O2119=0,"DELETE"," ")</f>
        <v>DELETE</v>
      </c>
    </row>
    <row r="2120" spans="2:20" ht="31.5" customHeight="1" x14ac:dyDescent="0.45">
      <c r="B2120" s="563"/>
      <c r="C2120" s="450"/>
      <c r="D2120" s="449">
        <f>TrialBalance!C189</f>
        <v>0</v>
      </c>
      <c r="L2120" s="452"/>
      <c r="M2120" s="527"/>
      <c r="N2120" s="449"/>
      <c r="O2120" s="531">
        <f>-TrialBalance!L189</f>
        <v>0</v>
      </c>
      <c r="Q2120" s="469"/>
      <c r="R2120" s="512" t="str">
        <f t="shared" ref="R2120" si="143">IF(O2120=0,"DELETE"," ")</f>
        <v>DELETE</v>
      </c>
    </row>
    <row r="2121" spans="2:20" ht="31.5" customHeight="1" x14ac:dyDescent="0.45">
      <c r="B2121" s="563"/>
      <c r="C2121" s="450"/>
      <c r="D2121" s="449">
        <f>TrialBalance!C190</f>
        <v>0</v>
      </c>
      <c r="L2121" s="452"/>
      <c r="M2121" s="527"/>
      <c r="N2121" s="449"/>
      <c r="O2121" s="531">
        <f>-TrialBalance!L190</f>
        <v>0</v>
      </c>
      <c r="Q2121" s="469"/>
      <c r="R2121" s="512" t="str">
        <f t="shared" ref="R2121:R2130" si="144">IF(O2121=0,"DELETE"," ")</f>
        <v>DELETE</v>
      </c>
    </row>
    <row r="2122" spans="2:20" ht="31.5" customHeight="1" x14ac:dyDescent="0.45">
      <c r="B2122" s="563"/>
      <c r="C2122" s="450"/>
      <c r="D2122" s="449">
        <f>TrialBalance!C191</f>
        <v>0</v>
      </c>
      <c r="L2122" s="452"/>
      <c r="M2122" s="527"/>
      <c r="N2122" s="449"/>
      <c r="O2122" s="531">
        <f>-TrialBalance!L191</f>
        <v>0</v>
      </c>
      <c r="Q2122" s="469"/>
      <c r="R2122" s="512" t="str">
        <f t="shared" si="144"/>
        <v>DELETE</v>
      </c>
    </row>
    <row r="2123" spans="2:20" ht="31.5" customHeight="1" x14ac:dyDescent="0.45">
      <c r="B2123" s="563"/>
      <c r="C2123" s="450"/>
      <c r="D2123" s="449">
        <f>TrialBalance!C192</f>
        <v>0</v>
      </c>
      <c r="L2123" s="452"/>
      <c r="M2123" s="527"/>
      <c r="N2123" s="449"/>
      <c r="O2123" s="531">
        <f>-TrialBalance!L192</f>
        <v>0</v>
      </c>
      <c r="Q2123" s="469"/>
      <c r="R2123" s="512" t="str">
        <f t="shared" si="144"/>
        <v>DELETE</v>
      </c>
    </row>
    <row r="2124" spans="2:20" ht="31.5" customHeight="1" x14ac:dyDescent="0.45">
      <c r="B2124" s="563"/>
      <c r="C2124" s="450"/>
      <c r="D2124" s="449">
        <f>TrialBalance!C193</f>
        <v>0</v>
      </c>
      <c r="L2124" s="452"/>
      <c r="M2124" s="527"/>
      <c r="N2124" s="449"/>
      <c r="O2124" s="531">
        <f>-TrialBalance!L193</f>
        <v>0</v>
      </c>
      <c r="Q2124" s="469"/>
      <c r="R2124" s="512" t="str">
        <f t="shared" si="144"/>
        <v>DELETE</v>
      </c>
    </row>
    <row r="2125" spans="2:20" ht="31.5" customHeight="1" x14ac:dyDescent="0.45">
      <c r="B2125" s="563"/>
      <c r="C2125" s="450"/>
      <c r="D2125" s="449">
        <f>TrialBalance!C194</f>
        <v>0</v>
      </c>
      <c r="L2125" s="452"/>
      <c r="M2125" s="527"/>
      <c r="N2125" s="449"/>
      <c r="O2125" s="531">
        <f>-TrialBalance!L194</f>
        <v>0</v>
      </c>
      <c r="Q2125" s="469"/>
      <c r="R2125" s="512" t="str">
        <f t="shared" si="144"/>
        <v>DELETE</v>
      </c>
    </row>
    <row r="2126" spans="2:20" ht="31.5" customHeight="1" x14ac:dyDescent="0.45">
      <c r="B2126" s="563"/>
      <c r="C2126" s="450"/>
      <c r="D2126" s="449">
        <f>TrialBalance!C195</f>
        <v>0</v>
      </c>
      <c r="L2126" s="452"/>
      <c r="M2126" s="527"/>
      <c r="N2126" s="449"/>
      <c r="O2126" s="531">
        <f>-TrialBalance!L195</f>
        <v>0</v>
      </c>
      <c r="Q2126" s="469"/>
      <c r="R2126" s="512" t="str">
        <f t="shared" si="144"/>
        <v>DELETE</v>
      </c>
    </row>
    <row r="2127" spans="2:20" ht="31.5" customHeight="1" x14ac:dyDescent="0.45">
      <c r="B2127" s="563"/>
      <c r="C2127" s="450"/>
      <c r="D2127" s="449">
        <f>TrialBalance!C196</f>
        <v>0</v>
      </c>
      <c r="L2127" s="452"/>
      <c r="M2127" s="527"/>
      <c r="N2127" s="449"/>
      <c r="O2127" s="531">
        <f>-TrialBalance!L196</f>
        <v>0</v>
      </c>
      <c r="Q2127" s="469"/>
      <c r="R2127" s="512" t="str">
        <f t="shared" si="144"/>
        <v>DELETE</v>
      </c>
    </row>
    <row r="2128" spans="2:20" ht="31.5" customHeight="1" x14ac:dyDescent="0.45">
      <c r="B2128" s="563"/>
      <c r="C2128" s="450"/>
      <c r="D2128" s="449">
        <f>TrialBalance!C197</f>
        <v>0</v>
      </c>
      <c r="L2128" s="452"/>
      <c r="M2128" s="527"/>
      <c r="N2128" s="449"/>
      <c r="O2128" s="531">
        <f>-TrialBalance!L197</f>
        <v>0</v>
      </c>
      <c r="Q2128" s="469"/>
      <c r="R2128" s="512" t="str">
        <f t="shared" si="144"/>
        <v>DELETE</v>
      </c>
    </row>
    <row r="2129" spans="2:22" ht="31.5" customHeight="1" x14ac:dyDescent="0.45">
      <c r="B2129" s="563"/>
      <c r="C2129" s="450"/>
      <c r="D2129" s="449">
        <f>TrialBalance!C198</f>
        <v>0</v>
      </c>
      <c r="L2129" s="452"/>
      <c r="M2129" s="527"/>
      <c r="N2129" s="449"/>
      <c r="O2129" s="531">
        <f>-TrialBalance!L198</f>
        <v>0</v>
      </c>
      <c r="Q2129" s="469"/>
      <c r="R2129" s="512" t="str">
        <f t="shared" si="144"/>
        <v>DELETE</v>
      </c>
    </row>
    <row r="2130" spans="2:22" ht="31.5" customHeight="1" x14ac:dyDescent="0.45">
      <c r="B2130" s="563"/>
      <c r="C2130" s="450"/>
      <c r="D2130" s="449">
        <f>TrialBalance!C199</f>
        <v>0</v>
      </c>
      <c r="L2130" s="452"/>
      <c r="M2130" s="527"/>
      <c r="N2130" s="449"/>
      <c r="O2130" s="531">
        <f>-TrialBalance!L199</f>
        <v>0</v>
      </c>
      <c r="Q2130" s="469"/>
      <c r="R2130" s="512" t="str">
        <f t="shared" si="144"/>
        <v>DELETE</v>
      </c>
    </row>
    <row r="2131" spans="2:22" ht="9" customHeight="1" x14ac:dyDescent="0.45">
      <c r="B2131" s="563"/>
      <c r="C2131" s="450"/>
      <c r="L2131" s="452"/>
      <c r="M2131" s="527"/>
      <c r="N2131" s="449"/>
      <c r="O2131" s="535"/>
      <c r="Q2131" s="469"/>
      <c r="R2131" s="512" t="str">
        <f>R2134</f>
        <v>DELETE</v>
      </c>
    </row>
    <row r="2132" spans="2:22" ht="9" customHeight="1" x14ac:dyDescent="0.45">
      <c r="B2132" s="563"/>
      <c r="C2132" s="450"/>
      <c r="L2132" s="452"/>
      <c r="M2132" s="527"/>
      <c r="N2132" s="449"/>
      <c r="O2132" s="531"/>
      <c r="Q2132" s="469"/>
      <c r="R2132" s="512" t="str">
        <f>R2134</f>
        <v>DELETE</v>
      </c>
    </row>
    <row r="2133" spans="2:22" ht="31.5" customHeight="1" x14ac:dyDescent="0.45">
      <c r="B2133" s="563"/>
      <c r="C2133" s="450"/>
      <c r="L2133" s="452"/>
      <c r="M2133" s="527"/>
      <c r="N2133" s="449"/>
      <c r="O2133" s="531">
        <f>SUM(O2116:O2131)</f>
        <v>0</v>
      </c>
      <c r="Q2133" s="469"/>
      <c r="R2133" s="512" t="str">
        <f>R2134</f>
        <v>DELETE</v>
      </c>
      <c r="S2133" s="518"/>
      <c r="T2133" s="518"/>
      <c r="U2133" s="518"/>
      <c r="V2133" s="518"/>
    </row>
    <row r="2134" spans="2:22" ht="31.5" customHeight="1" x14ac:dyDescent="0.45">
      <c r="B2134" s="563"/>
      <c r="C2134" s="450"/>
      <c r="D2134" s="449" t="s">
        <v>945</v>
      </c>
      <c r="L2134" s="452"/>
      <c r="M2134" s="527"/>
      <c r="N2134" s="449"/>
      <c r="O2134" s="531">
        <f>TrialBalance!L200</f>
        <v>0</v>
      </c>
      <c r="Q2134" s="469"/>
      <c r="R2134" s="512" t="str">
        <f t="shared" ref="R2134" si="145">IF(O2134=0,"DELETE"," ")</f>
        <v>DELETE</v>
      </c>
      <c r="S2134" s="518">
        <f>-O2134</f>
        <v>0</v>
      </c>
      <c r="T2134" s="518"/>
      <c r="U2134" s="518"/>
      <c r="V2134" s="518"/>
    </row>
    <row r="2135" spans="2:22" ht="9" customHeight="1" x14ac:dyDescent="0.45">
      <c r="B2135" s="563"/>
      <c r="C2135" s="450"/>
      <c r="L2135" s="452"/>
      <c r="M2135" s="527"/>
      <c r="N2135" s="449"/>
      <c r="O2135" s="535"/>
      <c r="Q2135" s="469"/>
      <c r="R2135" s="512" t="str">
        <f>R$2137</f>
        <v>DELETE</v>
      </c>
    </row>
    <row r="2136" spans="2:22" ht="9" customHeight="1" x14ac:dyDescent="0.45">
      <c r="B2136" s="563"/>
      <c r="C2136" s="450"/>
      <c r="L2136" s="452"/>
      <c r="M2136" s="527"/>
      <c r="N2136" s="449"/>
      <c r="O2136" s="531"/>
      <c r="Q2136" s="469"/>
      <c r="R2136" s="512" t="str">
        <f>R$2137</f>
        <v>DELETE</v>
      </c>
    </row>
    <row r="2137" spans="2:22" ht="31.5" customHeight="1" x14ac:dyDescent="0.45">
      <c r="B2137" s="563"/>
      <c r="C2137" s="450"/>
      <c r="L2137" s="452"/>
      <c r="M2137" s="527"/>
      <c r="N2137" s="449"/>
      <c r="O2137" s="531">
        <f>SUM(S2115:S2135)</f>
        <v>0</v>
      </c>
      <c r="Q2137" s="469"/>
      <c r="R2137" s="512" t="str">
        <f>IF(SUM(O2116:O2130)&gt;0," ","DELETE")</f>
        <v>DELETE</v>
      </c>
    </row>
    <row r="2138" spans="2:22" ht="9" customHeight="1" thickBot="1" x14ac:dyDescent="0.5">
      <c r="B2138" s="563"/>
      <c r="C2138" s="450"/>
      <c r="L2138" s="452"/>
      <c r="M2138" s="527"/>
      <c r="N2138" s="449"/>
      <c r="O2138" s="536"/>
      <c r="Q2138" s="469"/>
      <c r="R2138" s="512" t="str">
        <f t="shared" ref="R2138:R2143" si="146">R$2137</f>
        <v>DELETE</v>
      </c>
    </row>
    <row r="2139" spans="2:22" ht="9" customHeight="1" thickTop="1" x14ac:dyDescent="0.45">
      <c r="B2139" s="563"/>
      <c r="C2139" s="450"/>
      <c r="L2139" s="452"/>
      <c r="M2139" s="527"/>
      <c r="N2139" s="449"/>
      <c r="O2139" s="548"/>
      <c r="Q2139" s="469"/>
      <c r="R2139" s="512" t="str">
        <f t="shared" si="146"/>
        <v>DELETE</v>
      </c>
    </row>
    <row r="2140" spans="2:22" ht="31.5" customHeight="1" x14ac:dyDescent="0.45">
      <c r="B2140" s="563"/>
      <c r="C2140" s="450"/>
      <c r="L2140" s="452"/>
      <c r="M2140" s="527"/>
      <c r="N2140" s="449"/>
      <c r="O2140" s="531"/>
      <c r="Q2140" s="469"/>
      <c r="R2140" s="512" t="str">
        <f t="shared" si="146"/>
        <v>DELETE</v>
      </c>
    </row>
    <row r="2141" spans="2:22" ht="31.5" customHeight="1" x14ac:dyDescent="0.45">
      <c r="B2141" s="563"/>
      <c r="C2141" s="450"/>
      <c r="M2141" s="531"/>
      <c r="N2141" s="470"/>
      <c r="O2141" s="531"/>
      <c r="Q2141" s="469"/>
      <c r="R2141" s="512" t="str">
        <f t="shared" si="146"/>
        <v>DELETE</v>
      </c>
    </row>
    <row r="2142" spans="2:22" ht="31.5" customHeight="1" x14ac:dyDescent="0.45">
      <c r="B2142" s="564"/>
      <c r="C2142" s="502"/>
      <c r="D2142" s="461"/>
      <c r="E2142" s="461"/>
      <c r="F2142" s="461"/>
      <c r="G2142" s="461"/>
      <c r="H2142" s="461"/>
      <c r="I2142" s="461"/>
      <c r="J2142" s="461"/>
      <c r="K2142" s="461"/>
      <c r="L2142" s="461"/>
      <c r="M2142" s="535"/>
      <c r="N2142" s="473"/>
      <c r="O2142" s="535"/>
      <c r="P2142" s="631"/>
      <c r="Q2142" s="479"/>
      <c r="R2142" s="512" t="str">
        <f t="shared" si="146"/>
        <v>DELETE</v>
      </c>
    </row>
    <row r="2143" spans="2:22" ht="31.5" customHeight="1" x14ac:dyDescent="0.45">
      <c r="B2143" s="526"/>
      <c r="C2143" s="450"/>
      <c r="M2143" s="531"/>
      <c r="N2143" s="470"/>
      <c r="O2143" s="531"/>
      <c r="R2143" s="512" t="str">
        <f t="shared" si="146"/>
        <v>DELETE</v>
      </c>
    </row>
    <row r="2144" spans="2:22" ht="31.5" customHeight="1" x14ac:dyDescent="0.45">
      <c r="B2144" s="526"/>
      <c r="C2144" s="450"/>
      <c r="M2144" s="531"/>
      <c r="N2144" s="470"/>
      <c r="O2144" s="531"/>
      <c r="R2144" s="512" t="str">
        <f>R$2174</f>
        <v>DELETE</v>
      </c>
    </row>
    <row r="2145" spans="2:18" ht="31.5" customHeight="1" x14ac:dyDescent="0.45">
      <c r="B2145" s="527"/>
      <c r="D2145" s="450" t="str">
        <f>Criteria!E9</f>
        <v>ABC COMPANY (PROPRIETARY) LIMITED</v>
      </c>
      <c r="M2145" s="635"/>
      <c r="N2145" s="621"/>
      <c r="O2145" s="531" t="s">
        <v>121</v>
      </c>
      <c r="Q2145" s="451">
        <f>MAX($Q$114:Q2144)+1</f>
        <v>52</v>
      </c>
      <c r="R2145" s="512" t="str">
        <f t="shared" ref="R2145:R2154" si="147">R$2174</f>
        <v>DELETE</v>
      </c>
    </row>
    <row r="2146" spans="2:18" ht="31.5" customHeight="1" x14ac:dyDescent="0.45">
      <c r="B2146" s="527"/>
      <c r="D2146" s="450" t="str">
        <f>Criteria!E10</f>
        <v>T/A SEAFRONT HOTEL, SEAFRONT RESTAURANT AND RENTAL PROPERTIES</v>
      </c>
      <c r="M2146" s="635"/>
      <c r="N2146" s="621"/>
      <c r="O2146" s="635"/>
      <c r="R2146" s="512" t="str">
        <f>IF(R$2174="DELETE","DELETE",IF(D2146=0,"DELETE"," "))</f>
        <v>DELETE</v>
      </c>
    </row>
    <row r="2147" spans="2:18" ht="31.5" customHeight="1" x14ac:dyDescent="0.45">
      <c r="B2147" s="527"/>
      <c r="M2147" s="635"/>
      <c r="N2147" s="621"/>
      <c r="O2147" s="635"/>
      <c r="R2147" s="512" t="str">
        <f t="shared" si="147"/>
        <v>DELETE</v>
      </c>
    </row>
    <row r="2148" spans="2:18" ht="31.5" customHeight="1" x14ac:dyDescent="0.45">
      <c r="B2148" s="527"/>
      <c r="D2148" s="450" t="s">
        <v>451</v>
      </c>
      <c r="M2148" s="635"/>
      <c r="N2148" s="621"/>
      <c r="O2148" s="635"/>
      <c r="R2148" s="512" t="str">
        <f t="shared" si="147"/>
        <v>DELETE</v>
      </c>
    </row>
    <row r="2149" spans="2:18" ht="31.5" customHeight="1" x14ac:dyDescent="0.45">
      <c r="B2149" s="527"/>
      <c r="D2149" s="450" t="str">
        <f>Criteria!E20</f>
        <v>29 FEBRUARY 2024</v>
      </c>
      <c r="J2149" s="449" t="s">
        <v>303</v>
      </c>
      <c r="M2149" s="635"/>
      <c r="N2149" s="621"/>
      <c r="O2149" s="635"/>
      <c r="R2149" s="512" t="str">
        <f t="shared" si="147"/>
        <v>DELETE</v>
      </c>
    </row>
    <row r="2150" spans="2:18" ht="31.5" customHeight="1" x14ac:dyDescent="0.45">
      <c r="B2150" s="527"/>
      <c r="M2150" s="640"/>
      <c r="N2150" s="646"/>
      <c r="O2150" s="640"/>
      <c r="R2150" s="512" t="str">
        <f t="shared" si="147"/>
        <v>DELETE</v>
      </c>
    </row>
    <row r="2151" spans="2:18" ht="31.5" customHeight="1" x14ac:dyDescent="0.45">
      <c r="B2151" s="566"/>
      <c r="C2151" s="466"/>
      <c r="D2151" s="466"/>
      <c r="E2151" s="466"/>
      <c r="F2151" s="466"/>
      <c r="G2151" s="466"/>
      <c r="H2151" s="466"/>
      <c r="I2151" s="466"/>
      <c r="J2151" s="466"/>
      <c r="K2151" s="466"/>
      <c r="L2151" s="466"/>
      <c r="M2151" s="648"/>
      <c r="N2151" s="649"/>
      <c r="O2151" s="648"/>
      <c r="P2151" s="643"/>
      <c r="Q2151" s="467"/>
      <c r="R2151" s="512" t="str">
        <f t="shared" si="147"/>
        <v>DELETE</v>
      </c>
    </row>
    <row r="2152" spans="2:18" ht="31.5" customHeight="1" x14ac:dyDescent="0.45">
      <c r="B2152" s="582"/>
      <c r="L2152" s="452"/>
      <c r="M2152" s="527"/>
      <c r="N2152" s="449"/>
      <c r="O2152" s="525">
        <f>Criteria!E22</f>
        <v>2024</v>
      </c>
      <c r="Q2152" s="469"/>
      <c r="R2152" s="512" t="str">
        <f t="shared" si="147"/>
        <v>DELETE</v>
      </c>
    </row>
    <row r="2153" spans="2:18" ht="31.5" customHeight="1" x14ac:dyDescent="0.45">
      <c r="B2153" s="563"/>
      <c r="C2153" s="450"/>
      <c r="L2153" s="452"/>
      <c r="M2153" s="527"/>
      <c r="N2153" s="449"/>
      <c r="O2153" s="531"/>
      <c r="Q2153" s="469"/>
      <c r="R2153" s="512" t="str">
        <f t="shared" si="147"/>
        <v>DELETE</v>
      </c>
    </row>
    <row r="2154" spans="2:18" ht="31.5" customHeight="1" x14ac:dyDescent="0.45">
      <c r="B2154" s="563">
        <f>MAX($B$804:B2153)+1</f>
        <v>23</v>
      </c>
      <c r="C2154" s="450" t="str">
        <f>IF(COUNTIF(TrialBalance!L202:L218,"&lt;0")&gt;1,"INTEREST FREE BORROWINGS","INTEREST FREE BORROWING")</f>
        <v>INTEREST FREE BORROWING</v>
      </c>
      <c r="L2154" s="452"/>
      <c r="M2154" s="527"/>
      <c r="N2154" s="449"/>
      <c r="O2154" s="531"/>
      <c r="Q2154" s="469"/>
      <c r="R2154" s="512" t="str">
        <f t="shared" si="147"/>
        <v>DELETE</v>
      </c>
    </row>
    <row r="2155" spans="2:18" ht="31.5" customHeight="1" x14ac:dyDescent="0.45">
      <c r="B2155" s="563"/>
      <c r="C2155" s="450"/>
      <c r="D2155" s="449">
        <f>TrialBalance!C202</f>
        <v>0</v>
      </c>
      <c r="L2155" s="452"/>
      <c r="M2155" s="527"/>
      <c r="N2155" s="449"/>
      <c r="O2155" s="531">
        <f>-TrialBalance!L202</f>
        <v>0</v>
      </c>
      <c r="Q2155" s="469"/>
      <c r="R2155" s="512" t="str">
        <f t="shared" ref="R2155:R2171" si="148">IF(O2155=0,"DELETE"," ")</f>
        <v>DELETE</v>
      </c>
    </row>
    <row r="2156" spans="2:18" ht="31.5" customHeight="1" x14ac:dyDescent="0.45">
      <c r="B2156" s="563"/>
      <c r="C2156" s="450"/>
      <c r="D2156" s="449">
        <f>TrialBalance!C203</f>
        <v>0</v>
      </c>
      <c r="L2156" s="452"/>
      <c r="M2156" s="527"/>
      <c r="N2156" s="449"/>
      <c r="O2156" s="531">
        <f>-TrialBalance!L203</f>
        <v>0</v>
      </c>
      <c r="Q2156" s="469"/>
      <c r="R2156" s="512" t="str">
        <f t="shared" si="148"/>
        <v>DELETE</v>
      </c>
    </row>
    <row r="2157" spans="2:18" ht="31.5" customHeight="1" x14ac:dyDescent="0.45">
      <c r="B2157" s="563"/>
      <c r="C2157" s="450"/>
      <c r="D2157" s="449">
        <f>TrialBalance!C204</f>
        <v>0</v>
      </c>
      <c r="L2157" s="452"/>
      <c r="M2157" s="527"/>
      <c r="N2157" s="449"/>
      <c r="O2157" s="531">
        <f>-TrialBalance!L204</f>
        <v>0</v>
      </c>
      <c r="Q2157" s="469"/>
      <c r="R2157" s="512" t="str">
        <f t="shared" si="148"/>
        <v>DELETE</v>
      </c>
    </row>
    <row r="2158" spans="2:18" ht="31.5" customHeight="1" x14ac:dyDescent="0.45">
      <c r="B2158" s="563"/>
      <c r="C2158" s="450"/>
      <c r="D2158" s="449">
        <f>TrialBalance!C205</f>
        <v>0</v>
      </c>
      <c r="L2158" s="452"/>
      <c r="M2158" s="527"/>
      <c r="N2158" s="449"/>
      <c r="O2158" s="531">
        <f>-TrialBalance!L205</f>
        <v>0</v>
      </c>
      <c r="Q2158" s="469"/>
      <c r="R2158" s="512" t="str">
        <f t="shared" si="148"/>
        <v>DELETE</v>
      </c>
    </row>
    <row r="2159" spans="2:18" ht="31.5" customHeight="1" x14ac:dyDescent="0.45">
      <c r="B2159" s="563"/>
      <c r="C2159" s="450"/>
      <c r="D2159" s="449">
        <f>TrialBalance!C206</f>
        <v>0</v>
      </c>
      <c r="L2159" s="452"/>
      <c r="M2159" s="527"/>
      <c r="N2159" s="449"/>
      <c r="O2159" s="531">
        <f>-TrialBalance!L206</f>
        <v>0</v>
      </c>
      <c r="Q2159" s="469"/>
      <c r="R2159" s="512" t="str">
        <f t="shared" si="148"/>
        <v>DELETE</v>
      </c>
    </row>
    <row r="2160" spans="2:18" ht="31.5" customHeight="1" x14ac:dyDescent="0.45">
      <c r="B2160" s="563"/>
      <c r="C2160" s="450"/>
      <c r="D2160" s="449">
        <f>TrialBalance!C207</f>
        <v>0</v>
      </c>
      <c r="L2160" s="452"/>
      <c r="M2160" s="527"/>
      <c r="N2160" s="449"/>
      <c r="O2160" s="531">
        <f>-TrialBalance!L207</f>
        <v>0</v>
      </c>
      <c r="Q2160" s="469"/>
      <c r="R2160" s="512" t="str">
        <f t="shared" si="148"/>
        <v>DELETE</v>
      </c>
    </row>
    <row r="2161" spans="2:18" ht="31.5" customHeight="1" x14ac:dyDescent="0.45">
      <c r="B2161" s="563"/>
      <c r="C2161" s="450"/>
      <c r="D2161" s="449">
        <f>TrialBalance!C208</f>
        <v>0</v>
      </c>
      <c r="L2161" s="452"/>
      <c r="M2161" s="527"/>
      <c r="N2161" s="449"/>
      <c r="O2161" s="531">
        <f>-TrialBalance!L208</f>
        <v>0</v>
      </c>
      <c r="Q2161" s="469"/>
      <c r="R2161" s="512" t="str">
        <f t="shared" si="148"/>
        <v>DELETE</v>
      </c>
    </row>
    <row r="2162" spans="2:18" ht="31.5" customHeight="1" x14ac:dyDescent="0.45">
      <c r="B2162" s="563"/>
      <c r="C2162" s="450"/>
      <c r="D2162" s="449">
        <f>TrialBalance!C209</f>
        <v>0</v>
      </c>
      <c r="L2162" s="452"/>
      <c r="M2162" s="527"/>
      <c r="N2162" s="449"/>
      <c r="O2162" s="531">
        <f>-TrialBalance!L209</f>
        <v>0</v>
      </c>
      <c r="Q2162" s="469"/>
      <c r="R2162" s="512" t="str">
        <f t="shared" si="148"/>
        <v>DELETE</v>
      </c>
    </row>
    <row r="2163" spans="2:18" ht="31.5" customHeight="1" x14ac:dyDescent="0.45">
      <c r="B2163" s="563"/>
      <c r="C2163" s="450"/>
      <c r="D2163" s="449">
        <f>TrialBalance!C210</f>
        <v>0</v>
      </c>
      <c r="L2163" s="452"/>
      <c r="M2163" s="527"/>
      <c r="N2163" s="449"/>
      <c r="O2163" s="531">
        <f>-TrialBalance!L210</f>
        <v>0</v>
      </c>
      <c r="Q2163" s="469"/>
      <c r="R2163" s="512" t="str">
        <f t="shared" si="148"/>
        <v>DELETE</v>
      </c>
    </row>
    <row r="2164" spans="2:18" ht="31.5" customHeight="1" x14ac:dyDescent="0.45">
      <c r="B2164" s="563"/>
      <c r="C2164" s="450"/>
      <c r="D2164" s="449">
        <f>TrialBalance!C211</f>
        <v>0</v>
      </c>
      <c r="L2164" s="452"/>
      <c r="M2164" s="527"/>
      <c r="N2164" s="449"/>
      <c r="O2164" s="531">
        <f>-TrialBalance!L211</f>
        <v>0</v>
      </c>
      <c r="Q2164" s="469"/>
      <c r="R2164" s="512" t="str">
        <f t="shared" si="148"/>
        <v>DELETE</v>
      </c>
    </row>
    <row r="2165" spans="2:18" ht="31.5" customHeight="1" x14ac:dyDescent="0.45">
      <c r="B2165" s="563"/>
      <c r="C2165" s="450"/>
      <c r="D2165" s="449">
        <f>TrialBalance!C212</f>
        <v>0</v>
      </c>
      <c r="L2165" s="452"/>
      <c r="M2165" s="527"/>
      <c r="N2165" s="449"/>
      <c r="O2165" s="531">
        <f>-TrialBalance!L212</f>
        <v>0</v>
      </c>
      <c r="Q2165" s="469"/>
      <c r="R2165" s="512" t="str">
        <f t="shared" si="148"/>
        <v>DELETE</v>
      </c>
    </row>
    <row r="2166" spans="2:18" ht="31.5" customHeight="1" x14ac:dyDescent="0.45">
      <c r="B2166" s="563"/>
      <c r="C2166" s="450"/>
      <c r="D2166" s="449">
        <f>TrialBalance!C213</f>
        <v>0</v>
      </c>
      <c r="L2166" s="452"/>
      <c r="M2166" s="527"/>
      <c r="N2166" s="449"/>
      <c r="O2166" s="531">
        <f>-TrialBalance!L213</f>
        <v>0</v>
      </c>
      <c r="Q2166" s="469"/>
      <c r="R2166" s="512" t="str">
        <f t="shared" si="148"/>
        <v>DELETE</v>
      </c>
    </row>
    <row r="2167" spans="2:18" ht="31.5" customHeight="1" x14ac:dyDescent="0.45">
      <c r="B2167" s="563"/>
      <c r="C2167" s="450"/>
      <c r="D2167" s="449">
        <f>TrialBalance!C214</f>
        <v>0</v>
      </c>
      <c r="L2167" s="452"/>
      <c r="M2167" s="527"/>
      <c r="N2167" s="449"/>
      <c r="O2167" s="531">
        <f>-TrialBalance!L214</f>
        <v>0</v>
      </c>
      <c r="Q2167" s="469"/>
      <c r="R2167" s="512" t="str">
        <f t="shared" si="148"/>
        <v>DELETE</v>
      </c>
    </row>
    <row r="2168" spans="2:18" ht="31.5" customHeight="1" x14ac:dyDescent="0.45">
      <c r="B2168" s="563"/>
      <c r="C2168" s="450"/>
      <c r="D2168" s="449">
        <f>TrialBalance!C215</f>
        <v>0</v>
      </c>
      <c r="L2168" s="452"/>
      <c r="M2168" s="527"/>
      <c r="N2168" s="449"/>
      <c r="O2168" s="531">
        <f>-TrialBalance!L215</f>
        <v>0</v>
      </c>
      <c r="Q2168" s="469"/>
      <c r="R2168" s="512" t="str">
        <f t="shared" si="148"/>
        <v>DELETE</v>
      </c>
    </row>
    <row r="2169" spans="2:18" ht="31.5" customHeight="1" x14ac:dyDescent="0.45">
      <c r="B2169" s="563"/>
      <c r="C2169" s="450"/>
      <c r="D2169" s="449">
        <f>TrialBalance!C216</f>
        <v>0</v>
      </c>
      <c r="L2169" s="452"/>
      <c r="M2169" s="527"/>
      <c r="N2169" s="449"/>
      <c r="O2169" s="531">
        <f>-TrialBalance!L216</f>
        <v>0</v>
      </c>
      <c r="Q2169" s="469"/>
      <c r="R2169" s="512" t="str">
        <f t="shared" si="148"/>
        <v>DELETE</v>
      </c>
    </row>
    <row r="2170" spans="2:18" ht="31.5" customHeight="1" x14ac:dyDescent="0.45">
      <c r="B2170" s="563"/>
      <c r="C2170" s="450"/>
      <c r="D2170" s="449">
        <f>TrialBalance!C217</f>
        <v>0</v>
      </c>
      <c r="L2170" s="452"/>
      <c r="M2170" s="527"/>
      <c r="N2170" s="449"/>
      <c r="O2170" s="531">
        <f>-TrialBalance!L217</f>
        <v>0</v>
      </c>
      <c r="Q2170" s="469"/>
      <c r="R2170" s="512" t="str">
        <f t="shared" si="148"/>
        <v>DELETE</v>
      </c>
    </row>
    <row r="2171" spans="2:18" ht="31.5" customHeight="1" x14ac:dyDescent="0.45">
      <c r="B2171" s="563"/>
      <c r="C2171" s="450"/>
      <c r="D2171" s="449">
        <f>TrialBalance!C218</f>
        <v>0</v>
      </c>
      <c r="L2171" s="452"/>
      <c r="M2171" s="527"/>
      <c r="N2171" s="449"/>
      <c r="O2171" s="531">
        <f>-TrialBalance!L218</f>
        <v>0</v>
      </c>
      <c r="Q2171" s="469"/>
      <c r="R2171" s="512" t="str">
        <f t="shared" si="148"/>
        <v>DELETE</v>
      </c>
    </row>
    <row r="2172" spans="2:18" ht="9" customHeight="1" x14ac:dyDescent="0.45">
      <c r="B2172" s="563"/>
      <c r="C2172" s="450"/>
      <c r="L2172" s="452"/>
      <c r="M2172" s="527"/>
      <c r="N2172" s="449"/>
      <c r="O2172" s="535"/>
      <c r="Q2172" s="469"/>
      <c r="R2172" s="512" t="str">
        <f t="shared" ref="R2172:R2181" si="149">R$2174</f>
        <v>DELETE</v>
      </c>
    </row>
    <row r="2173" spans="2:18" ht="9" customHeight="1" x14ac:dyDescent="0.45">
      <c r="B2173" s="563"/>
      <c r="C2173" s="450"/>
      <c r="L2173" s="452"/>
      <c r="M2173" s="527"/>
      <c r="N2173" s="449"/>
      <c r="O2173" s="531"/>
      <c r="Q2173" s="469"/>
      <c r="R2173" s="512" t="str">
        <f t="shared" si="149"/>
        <v>DELETE</v>
      </c>
    </row>
    <row r="2174" spans="2:18" ht="31.5" customHeight="1" x14ac:dyDescent="0.45">
      <c r="B2174" s="563"/>
      <c r="C2174" s="450"/>
      <c r="L2174" s="452"/>
      <c r="M2174" s="527"/>
      <c r="N2174" s="449"/>
      <c r="O2174" s="531">
        <f>SUM(O2155:O2173)</f>
        <v>0</v>
      </c>
      <c r="Q2174" s="469"/>
      <c r="R2174" s="512" t="str">
        <f t="shared" ref="R2174" si="150">IF(O2174=0,"DELETE"," ")</f>
        <v>DELETE</v>
      </c>
    </row>
    <row r="2175" spans="2:18" ht="9" customHeight="1" thickBot="1" x14ac:dyDescent="0.5">
      <c r="B2175" s="563"/>
      <c r="C2175" s="450"/>
      <c r="L2175" s="452"/>
      <c r="M2175" s="527"/>
      <c r="N2175" s="449"/>
      <c r="O2175" s="536"/>
      <c r="Q2175" s="469"/>
      <c r="R2175" s="512" t="str">
        <f t="shared" si="149"/>
        <v>DELETE</v>
      </c>
    </row>
    <row r="2176" spans="2:18" ht="9" customHeight="1" thickTop="1" x14ac:dyDescent="0.45">
      <c r="B2176" s="563"/>
      <c r="C2176" s="450"/>
      <c r="L2176" s="452"/>
      <c r="M2176" s="527"/>
      <c r="N2176" s="449"/>
      <c r="O2176" s="548"/>
      <c r="Q2176" s="469"/>
      <c r="R2176" s="512" t="str">
        <f t="shared" si="149"/>
        <v>DELETE</v>
      </c>
    </row>
    <row r="2177" spans="2:18" ht="31.5" customHeight="1" x14ac:dyDescent="0.45">
      <c r="B2177" s="563"/>
      <c r="C2177" s="450"/>
      <c r="D2177" s="449" t="str">
        <f>IF(COUNTIF(TrialBalance!L202:L218,"&lt;0")=0," ",IF(COUNTIF(TrialBalance!L202:L218,"&lt;0")&gt;1,"Unsecured interest free loans with no fixed repayment terms","Unsecured interest free loan with no fixed repayment terms"))</f>
        <v xml:space="preserve"> </v>
      </c>
      <c r="L2177" s="452"/>
      <c r="M2177" s="527"/>
      <c r="N2177" s="449"/>
      <c r="O2177" s="531"/>
      <c r="Q2177" s="469"/>
      <c r="R2177" s="512" t="str">
        <f t="shared" si="149"/>
        <v>DELETE</v>
      </c>
    </row>
    <row r="2178" spans="2:18" ht="31.5" customHeight="1" x14ac:dyDescent="0.45">
      <c r="B2178" s="563"/>
      <c r="C2178" s="450"/>
      <c r="M2178" s="531"/>
      <c r="N2178" s="470"/>
      <c r="O2178" s="531"/>
      <c r="Q2178" s="469"/>
      <c r="R2178" s="512" t="str">
        <f t="shared" si="149"/>
        <v>DELETE</v>
      </c>
    </row>
    <row r="2179" spans="2:18" ht="31.5" customHeight="1" x14ac:dyDescent="0.45">
      <c r="B2179" s="563"/>
      <c r="C2179" s="450"/>
      <c r="M2179" s="531"/>
      <c r="N2179" s="470"/>
      <c r="O2179" s="531"/>
      <c r="Q2179" s="469"/>
      <c r="R2179" s="512" t="str">
        <f t="shared" si="149"/>
        <v>DELETE</v>
      </c>
    </row>
    <row r="2180" spans="2:18" ht="31.5" customHeight="1" x14ac:dyDescent="0.45">
      <c r="B2180" s="564"/>
      <c r="C2180" s="502"/>
      <c r="D2180" s="461"/>
      <c r="E2180" s="461"/>
      <c r="F2180" s="461"/>
      <c r="G2180" s="461"/>
      <c r="H2180" s="461"/>
      <c r="I2180" s="461"/>
      <c r="J2180" s="461"/>
      <c r="K2180" s="461"/>
      <c r="L2180" s="461"/>
      <c r="M2180" s="535"/>
      <c r="N2180" s="473"/>
      <c r="O2180" s="535"/>
      <c r="P2180" s="631"/>
      <c r="Q2180" s="479"/>
      <c r="R2180" s="512" t="str">
        <f t="shared" si="149"/>
        <v>DELETE</v>
      </c>
    </row>
    <row r="2181" spans="2:18" ht="31.5" customHeight="1" x14ac:dyDescent="0.45">
      <c r="B2181" s="526"/>
      <c r="C2181" s="450"/>
      <c r="M2181" s="531"/>
      <c r="N2181" s="470"/>
      <c r="O2181" s="531"/>
      <c r="R2181" s="512" t="str">
        <f t="shared" si="149"/>
        <v>DELETE</v>
      </c>
    </row>
    <row r="2182" spans="2:18" ht="31.5" customHeight="1" x14ac:dyDescent="0.45">
      <c r="B2182" s="527"/>
      <c r="M2182" s="635"/>
      <c r="N2182" s="621"/>
      <c r="O2182" s="635"/>
      <c r="R2182" s="512" t="str">
        <f t="shared" ref="R2182:R2194" si="151">R$2200</f>
        <v>DELETE</v>
      </c>
    </row>
    <row r="2183" spans="2:18" ht="31.5" customHeight="1" x14ac:dyDescent="0.45">
      <c r="B2183" s="527"/>
      <c r="D2183" s="450" t="str">
        <f>Criteria!E9</f>
        <v>ABC COMPANY (PROPRIETARY) LIMITED</v>
      </c>
      <c r="M2183" s="635"/>
      <c r="N2183" s="621"/>
      <c r="O2183" s="531" t="s">
        <v>121</v>
      </c>
      <c r="Q2183" s="451">
        <f>MAX($Q$114:Q2182)+1</f>
        <v>53</v>
      </c>
      <c r="R2183" s="512" t="str">
        <f t="shared" si="151"/>
        <v>DELETE</v>
      </c>
    </row>
    <row r="2184" spans="2:18" ht="31.5" customHeight="1" x14ac:dyDescent="0.45">
      <c r="B2184" s="527"/>
      <c r="D2184" s="450" t="str">
        <f>Criteria!E10</f>
        <v>T/A SEAFRONT HOTEL, SEAFRONT RESTAURANT AND RENTAL PROPERTIES</v>
      </c>
      <c r="M2184" s="635"/>
      <c r="N2184" s="621"/>
      <c r="O2184" s="635"/>
      <c r="R2184" s="512" t="str">
        <f>IF(R$2200="DELETE","DELETE",IF(D2184=0,"DELETE"," "))</f>
        <v>DELETE</v>
      </c>
    </row>
    <row r="2185" spans="2:18" ht="31.5" customHeight="1" x14ac:dyDescent="0.45">
      <c r="B2185" s="527"/>
      <c r="M2185" s="635"/>
      <c r="N2185" s="621"/>
      <c r="O2185" s="635"/>
      <c r="R2185" s="512" t="str">
        <f t="shared" si="151"/>
        <v>DELETE</v>
      </c>
    </row>
    <row r="2186" spans="2:18" ht="31.5" customHeight="1" x14ac:dyDescent="0.45">
      <c r="B2186" s="527"/>
      <c r="D2186" s="450" t="s">
        <v>451</v>
      </c>
      <c r="M2186" s="635"/>
      <c r="N2186" s="621"/>
      <c r="O2186" s="635"/>
      <c r="R2186" s="512" t="str">
        <f t="shared" si="151"/>
        <v>DELETE</v>
      </c>
    </row>
    <row r="2187" spans="2:18" ht="31.5" customHeight="1" x14ac:dyDescent="0.45">
      <c r="B2187" s="527"/>
      <c r="D2187" s="450" t="str">
        <f>Criteria!E20</f>
        <v>29 FEBRUARY 2024</v>
      </c>
      <c r="J2187" s="449" t="s">
        <v>303</v>
      </c>
      <c r="M2187" s="635"/>
      <c r="N2187" s="621"/>
      <c r="O2187" s="635"/>
      <c r="R2187" s="512" t="str">
        <f t="shared" si="151"/>
        <v>DELETE</v>
      </c>
    </row>
    <row r="2188" spans="2:18" ht="31.5" customHeight="1" x14ac:dyDescent="0.45">
      <c r="B2188" s="527"/>
      <c r="D2188" s="450"/>
      <c r="M2188" s="635"/>
      <c r="N2188" s="621"/>
      <c r="O2188" s="635"/>
      <c r="R2188" s="512" t="str">
        <f t="shared" si="151"/>
        <v>DELETE</v>
      </c>
    </row>
    <row r="2189" spans="2:18" ht="31.5" customHeight="1" x14ac:dyDescent="0.45">
      <c r="B2189" s="565"/>
      <c r="C2189" s="503"/>
      <c r="D2189" s="466"/>
      <c r="E2189" s="466"/>
      <c r="F2189" s="466"/>
      <c r="G2189" s="466"/>
      <c r="H2189" s="466"/>
      <c r="I2189" s="466"/>
      <c r="J2189" s="466"/>
      <c r="K2189" s="466"/>
      <c r="L2189" s="466"/>
      <c r="M2189" s="546"/>
      <c r="N2189" s="471"/>
      <c r="O2189" s="546"/>
      <c r="P2189" s="643"/>
      <c r="Q2189" s="467"/>
      <c r="R2189" s="512" t="str">
        <f t="shared" si="151"/>
        <v>DELETE</v>
      </c>
    </row>
    <row r="2190" spans="2:18" ht="31.5" customHeight="1" x14ac:dyDescent="0.45">
      <c r="B2190" s="563"/>
      <c r="C2190" s="450"/>
      <c r="L2190" s="452"/>
      <c r="M2190" s="527"/>
      <c r="N2190" s="449"/>
      <c r="O2190" s="525">
        <f>Criteria!E22</f>
        <v>2024</v>
      </c>
      <c r="Q2190" s="469"/>
      <c r="R2190" s="512" t="str">
        <f t="shared" si="151"/>
        <v>DELETE</v>
      </c>
    </row>
    <row r="2191" spans="2:18" ht="31.5" customHeight="1" x14ac:dyDescent="0.45">
      <c r="B2191" s="563"/>
      <c r="C2191" s="450"/>
      <c r="L2191" s="452"/>
      <c r="M2191" s="527"/>
      <c r="N2191" s="449"/>
      <c r="O2191" s="531"/>
      <c r="Q2191" s="469"/>
      <c r="R2191" s="512" t="str">
        <f t="shared" si="151"/>
        <v>DELETE</v>
      </c>
    </row>
    <row r="2192" spans="2:18" ht="31.5" customHeight="1" x14ac:dyDescent="0.45">
      <c r="B2192" s="563">
        <f>MAX($B$804:B2191)+1</f>
        <v>24</v>
      </c>
      <c r="C2192" s="450" t="s">
        <v>307</v>
      </c>
      <c r="L2192" s="452"/>
      <c r="M2192" s="527"/>
      <c r="N2192" s="449"/>
      <c r="O2192" s="531"/>
      <c r="Q2192" s="469"/>
      <c r="R2192" s="512" t="str">
        <f t="shared" si="151"/>
        <v>DELETE</v>
      </c>
    </row>
    <row r="2193" spans="2:23" ht="31.5" customHeight="1" x14ac:dyDescent="0.45">
      <c r="B2193" s="563"/>
      <c r="C2193" s="450"/>
      <c r="D2193" s="449" t="s">
        <v>1688</v>
      </c>
      <c r="L2193" s="452"/>
      <c r="M2193" s="527"/>
      <c r="N2193" s="449"/>
      <c r="O2193" s="531"/>
      <c r="Q2193" s="469"/>
      <c r="R2193" s="512" t="str">
        <f t="shared" si="151"/>
        <v>DELETE</v>
      </c>
    </row>
    <row r="2194" spans="2:23" ht="31.5" customHeight="1" x14ac:dyDescent="0.45">
      <c r="B2194" s="563"/>
      <c r="C2194" s="450"/>
      <c r="L2194" s="452"/>
      <c r="M2194" s="527"/>
      <c r="N2194" s="449"/>
      <c r="O2194" s="531"/>
      <c r="Q2194" s="469"/>
      <c r="R2194" s="512" t="str">
        <f t="shared" si="151"/>
        <v>DELETE</v>
      </c>
    </row>
    <row r="2195" spans="2:23" ht="31.5" customHeight="1" x14ac:dyDescent="0.45">
      <c r="B2195" s="563"/>
      <c r="C2195" s="450"/>
      <c r="D2195" s="449" t="s">
        <v>1685</v>
      </c>
      <c r="L2195" s="452"/>
      <c r="M2195" s="527"/>
      <c r="N2195" s="449"/>
      <c r="O2195" s="531"/>
      <c r="Q2195" s="469"/>
      <c r="R2195" s="512" t="str">
        <f>R2196</f>
        <v>DELETE</v>
      </c>
    </row>
    <row r="2196" spans="2:23" ht="31.5" customHeight="1" x14ac:dyDescent="0.45">
      <c r="B2196" s="563"/>
      <c r="C2196" s="450"/>
      <c r="D2196" s="449" t="s">
        <v>1686</v>
      </c>
      <c r="L2196" s="452"/>
      <c r="M2196" s="527"/>
      <c r="N2196" s="449"/>
      <c r="O2196" s="531">
        <f>-TrialBalance!L220-TrialBalance!L222-TrialBalance!L224-TrialBalance!L226</f>
        <v>0</v>
      </c>
      <c r="Q2196" s="469"/>
      <c r="R2196" s="512" t="str">
        <f>IF(W2196&gt;0," ","DELETE")</f>
        <v>DELETE</v>
      </c>
      <c r="W2196" s="513">
        <f>IF(TrialBalance!L220=0,IF(TrialBalance!L224=0,IF(TrialBalance!L226=0,0,1),1),1)</f>
        <v>0</v>
      </c>
    </row>
    <row r="2197" spans="2:23" ht="31.5" customHeight="1" x14ac:dyDescent="0.45">
      <c r="B2197" s="563"/>
      <c r="C2197" s="450"/>
      <c r="D2197" s="449" t="s">
        <v>980</v>
      </c>
      <c r="L2197" s="452"/>
      <c r="M2197" s="527"/>
      <c r="N2197" s="449"/>
      <c r="O2197" s="531">
        <f>-TrialBalance!L221-TrialBalance!L223-TrialBalance!L225-TrialBalance!L227</f>
        <v>0</v>
      </c>
      <c r="Q2197" s="469"/>
      <c r="R2197" s="512" t="str">
        <f>IF(W2197&gt;0," ","DELETE")</f>
        <v>DELETE</v>
      </c>
      <c r="W2197" s="513">
        <f>IF(TrialBalance!L221=0,IF(TrialBalance!L225=0,IF(TrialBalance!L227=0,0,1),1),1)</f>
        <v>0</v>
      </c>
    </row>
    <row r="2198" spans="2:23" ht="9" customHeight="1" x14ac:dyDescent="0.45">
      <c r="B2198" s="563"/>
      <c r="C2198" s="450"/>
      <c r="L2198" s="452"/>
      <c r="M2198" s="527"/>
      <c r="N2198" s="449"/>
      <c r="O2198" s="535"/>
      <c r="Q2198" s="469"/>
      <c r="R2198" s="512" t="str">
        <f t="shared" ref="R2198:R2205" si="152">R$2200</f>
        <v>DELETE</v>
      </c>
    </row>
    <row r="2199" spans="2:23" ht="9" customHeight="1" x14ac:dyDescent="0.45">
      <c r="B2199" s="563"/>
      <c r="C2199" s="450"/>
      <c r="L2199" s="452"/>
      <c r="M2199" s="527"/>
      <c r="N2199" s="449"/>
      <c r="O2199" s="531"/>
      <c r="Q2199" s="469"/>
      <c r="R2199" s="512" t="str">
        <f t="shared" si="152"/>
        <v>DELETE</v>
      </c>
    </row>
    <row r="2200" spans="2:23" ht="31.5" customHeight="1" x14ac:dyDescent="0.45">
      <c r="B2200" s="563"/>
      <c r="C2200" s="450"/>
      <c r="L2200" s="452"/>
      <c r="M2200" s="527"/>
      <c r="N2200" s="449"/>
      <c r="O2200" s="531">
        <f>SUM(O2196:O2198)</f>
        <v>0</v>
      </c>
      <c r="Q2200" s="469"/>
      <c r="R2200" s="512" t="str">
        <f>IF(R2196=" "," ",IF(R2197=" "," ","DELETE"))</f>
        <v>DELETE</v>
      </c>
      <c r="U2200" s="513" t="b">
        <f>O2200=O2234</f>
        <v>1</v>
      </c>
    </row>
    <row r="2201" spans="2:23" ht="9" customHeight="1" thickBot="1" x14ac:dyDescent="0.5">
      <c r="B2201" s="563"/>
      <c r="C2201" s="450"/>
      <c r="L2201" s="452"/>
      <c r="M2201" s="527"/>
      <c r="N2201" s="449"/>
      <c r="O2201" s="536"/>
      <c r="Q2201" s="469"/>
      <c r="R2201" s="512" t="str">
        <f t="shared" si="152"/>
        <v>DELETE</v>
      </c>
    </row>
    <row r="2202" spans="2:23" ht="9" customHeight="1" thickTop="1" x14ac:dyDescent="0.45">
      <c r="B2202" s="563"/>
      <c r="C2202" s="450"/>
      <c r="L2202" s="452"/>
      <c r="M2202" s="527"/>
      <c r="N2202" s="449"/>
      <c r="O2202" s="548"/>
      <c r="Q2202" s="469"/>
      <c r="R2202" s="512" t="str">
        <f t="shared" si="152"/>
        <v>DELETE</v>
      </c>
    </row>
    <row r="2203" spans="2:23" ht="31.5" customHeight="1" x14ac:dyDescent="0.45">
      <c r="B2203" s="563"/>
      <c r="C2203" s="450"/>
      <c r="L2203" s="452"/>
      <c r="M2203" s="527"/>
      <c r="N2203" s="449"/>
      <c r="O2203" s="531"/>
      <c r="Q2203" s="469"/>
      <c r="R2203" s="512" t="str">
        <f t="shared" si="152"/>
        <v>DELETE</v>
      </c>
    </row>
    <row r="2204" spans="2:23" ht="31.5" customHeight="1" x14ac:dyDescent="0.45">
      <c r="B2204" s="563"/>
      <c r="C2204" s="450"/>
      <c r="D2204" s="449" t="s">
        <v>495</v>
      </c>
      <c r="L2204" s="452"/>
      <c r="M2204" s="527"/>
      <c r="N2204" s="449"/>
      <c r="O2204" s="531"/>
      <c r="Q2204" s="469"/>
      <c r="R2204" s="512" t="str">
        <f t="shared" si="152"/>
        <v>DELETE</v>
      </c>
    </row>
    <row r="2205" spans="2:23" ht="31.5" customHeight="1" x14ac:dyDescent="0.45">
      <c r="B2205" s="563"/>
      <c r="C2205" s="450"/>
      <c r="D2205" s="463" t="str">
        <f>IF(W2205=2,"Deferred tax liability at the beginning of the year","Deferred tax asset at the beginning of the year")</f>
        <v>Deferred tax liability at the beginning of the year</v>
      </c>
      <c r="L2205" s="452"/>
      <c r="M2205" s="527"/>
      <c r="N2205" s="449"/>
      <c r="O2205" s="531">
        <f>SUM(S2207:S2210)</f>
        <v>0</v>
      </c>
      <c r="Q2205" s="469"/>
      <c r="R2205" s="512" t="str">
        <f t="shared" si="152"/>
        <v>DELETE</v>
      </c>
      <c r="W2205" s="513">
        <f>IF(O2205&lt;0,1,2)</f>
        <v>2</v>
      </c>
    </row>
    <row r="2206" spans="2:23" ht="9" customHeight="1" x14ac:dyDescent="0.45">
      <c r="B2206" s="563"/>
      <c r="C2206" s="450"/>
      <c r="D2206" s="463"/>
      <c r="M2206" s="531"/>
      <c r="N2206" s="470"/>
      <c r="O2206" s="531"/>
      <c r="Q2206" s="469"/>
      <c r="R2206" s="512" t="str">
        <f>R$2205</f>
        <v>DELETE</v>
      </c>
    </row>
    <row r="2207" spans="2:23" ht="9" customHeight="1" x14ac:dyDescent="0.45">
      <c r="B2207" s="563"/>
      <c r="C2207" s="450"/>
      <c r="D2207" s="463"/>
      <c r="M2207" s="548"/>
      <c r="N2207" s="491"/>
      <c r="O2207" s="558"/>
      <c r="Q2207" s="469"/>
      <c r="R2207" s="512" t="str">
        <f>R$2205</f>
        <v>DELETE</v>
      </c>
    </row>
    <row r="2208" spans="2:23" ht="31.5" customHeight="1" x14ac:dyDescent="0.45">
      <c r="B2208" s="563"/>
      <c r="C2208" s="450"/>
      <c r="D2208" s="463"/>
      <c r="E2208" s="449" t="s">
        <v>1687</v>
      </c>
      <c r="M2208" s="548"/>
      <c r="N2208" s="491"/>
      <c r="O2208" s="559">
        <f>-TrialBalance!L220</f>
        <v>0</v>
      </c>
      <c r="Q2208" s="469"/>
      <c r="R2208" s="512" t="str">
        <f>IF(R2200="DELETE","DELETE",IF(R2209="DELETE"," ",IF(O2208=0,"DELETE"," ")))</f>
        <v>DELETE</v>
      </c>
      <c r="S2208" s="517">
        <f>O2208</f>
        <v>0</v>
      </c>
    </row>
    <row r="2209" spans="2:19" ht="31.5" customHeight="1" x14ac:dyDescent="0.45">
      <c r="B2209" s="563"/>
      <c r="C2209" s="450"/>
      <c r="D2209" s="463"/>
      <c r="E2209" s="449" t="s">
        <v>980</v>
      </c>
      <c r="M2209" s="548"/>
      <c r="N2209" s="491"/>
      <c r="O2209" s="559">
        <f>-TrialBalance!L221</f>
        <v>0</v>
      </c>
      <c r="Q2209" s="469"/>
      <c r="R2209" s="512" t="str">
        <f>IF(R2200="DELETE","DELETE",IF(O2209=0,"DELETE"," "))</f>
        <v>DELETE</v>
      </c>
      <c r="S2209" s="517">
        <f>O2209</f>
        <v>0</v>
      </c>
    </row>
    <row r="2210" spans="2:19" ht="9" customHeight="1" x14ac:dyDescent="0.45">
      <c r="B2210" s="563"/>
      <c r="C2210" s="450"/>
      <c r="D2210" s="463"/>
      <c r="M2210" s="548"/>
      <c r="N2210" s="491"/>
      <c r="O2210" s="560"/>
      <c r="Q2210" s="469"/>
      <c r="R2210" s="512" t="str">
        <f t="shared" ref="R2210:R2211" si="153">R$2205</f>
        <v>DELETE</v>
      </c>
    </row>
    <row r="2211" spans="2:19" ht="9" customHeight="1" x14ac:dyDescent="0.45">
      <c r="B2211" s="563"/>
      <c r="C2211" s="450"/>
      <c r="D2211" s="463"/>
      <c r="M2211" s="548"/>
      <c r="N2211" s="491"/>
      <c r="O2211" s="531"/>
      <c r="Q2211" s="469"/>
      <c r="R2211" s="512" t="str">
        <f t="shared" si="153"/>
        <v>DELETE</v>
      </c>
    </row>
    <row r="2212" spans="2:19" ht="31.5" customHeight="1" x14ac:dyDescent="0.45">
      <c r="B2212" s="563"/>
      <c r="C2212" s="450"/>
      <c r="D2212" s="463" t="s">
        <v>1603</v>
      </c>
      <c r="M2212" s="548"/>
      <c r="N2212" s="491"/>
      <c r="O2212" s="531">
        <f>SUM(S2214:S2217)</f>
        <v>0</v>
      </c>
      <c r="Q2212" s="469"/>
      <c r="R2212" s="512" t="str">
        <f>IF(O2212=0,"DELETE"," ")</f>
        <v>DELETE</v>
      </c>
    </row>
    <row r="2213" spans="2:19" ht="9" customHeight="1" x14ac:dyDescent="0.45">
      <c r="B2213" s="563"/>
      <c r="C2213" s="450"/>
      <c r="D2213" s="463"/>
      <c r="M2213" s="548"/>
      <c r="N2213" s="491"/>
      <c r="O2213" s="531"/>
      <c r="Q2213" s="469"/>
      <c r="R2213" s="512" t="str">
        <f>R$2212</f>
        <v>DELETE</v>
      </c>
    </row>
    <row r="2214" spans="2:19" ht="9" customHeight="1" x14ac:dyDescent="0.45">
      <c r="B2214" s="563"/>
      <c r="C2214" s="450"/>
      <c r="D2214" s="463"/>
      <c r="M2214" s="548"/>
      <c r="N2214" s="491"/>
      <c r="O2214" s="558"/>
      <c r="Q2214" s="469"/>
      <c r="R2214" s="512" t="str">
        <f>R$2212</f>
        <v>DELETE</v>
      </c>
    </row>
    <row r="2215" spans="2:19" ht="31.5" customHeight="1" x14ac:dyDescent="0.45">
      <c r="B2215" s="563"/>
      <c r="C2215" s="450"/>
      <c r="D2215" s="463"/>
      <c r="E2215" s="449" t="s">
        <v>1687</v>
      </c>
      <c r="M2215" s="548"/>
      <c r="N2215" s="491"/>
      <c r="O2215" s="559">
        <f>-TrialBalance!L222</f>
        <v>0</v>
      </c>
      <c r="Q2215" s="469"/>
      <c r="R2215" s="512" t="str">
        <f t="shared" ref="R2215:R2216" si="154">IF(O2215=0,"DELETE"," ")</f>
        <v>DELETE</v>
      </c>
      <c r="S2215" s="517">
        <f>O2215</f>
        <v>0</v>
      </c>
    </row>
    <row r="2216" spans="2:19" ht="31.5" customHeight="1" x14ac:dyDescent="0.45">
      <c r="B2216" s="563"/>
      <c r="C2216" s="450"/>
      <c r="D2216" s="463"/>
      <c r="E2216" s="449" t="s">
        <v>980</v>
      </c>
      <c r="M2216" s="548"/>
      <c r="N2216" s="491"/>
      <c r="O2216" s="559">
        <f>-TrialBalance!L223</f>
        <v>0</v>
      </c>
      <c r="Q2216" s="469"/>
      <c r="R2216" s="512" t="str">
        <f t="shared" si="154"/>
        <v>DELETE</v>
      </c>
      <c r="S2216" s="517">
        <f>O2216</f>
        <v>0</v>
      </c>
    </row>
    <row r="2217" spans="2:19" ht="9" customHeight="1" x14ac:dyDescent="0.45">
      <c r="B2217" s="563"/>
      <c r="C2217" s="450"/>
      <c r="D2217" s="463"/>
      <c r="M2217" s="548"/>
      <c r="N2217" s="491"/>
      <c r="O2217" s="560"/>
      <c r="Q2217" s="469"/>
      <c r="R2217" s="512" t="str">
        <f t="shared" ref="R2217:R2218" si="155">R$2212</f>
        <v>DELETE</v>
      </c>
    </row>
    <row r="2218" spans="2:19" ht="9" customHeight="1" x14ac:dyDescent="0.45">
      <c r="B2218" s="563"/>
      <c r="C2218" s="450"/>
      <c r="D2218" s="463"/>
      <c r="M2218" s="548"/>
      <c r="N2218" s="491"/>
      <c r="O2218" s="531"/>
      <c r="Q2218" s="469"/>
      <c r="R2218" s="512" t="str">
        <f t="shared" si="155"/>
        <v>DELETE</v>
      </c>
    </row>
    <row r="2219" spans="2:19" ht="31.5" customHeight="1" x14ac:dyDescent="0.45">
      <c r="B2219" s="563"/>
      <c r="C2219" s="450"/>
      <c r="D2219" s="463" t="s">
        <v>1169</v>
      </c>
      <c r="M2219" s="680"/>
      <c r="N2219" s="676"/>
      <c r="O2219" s="531">
        <f>SUM(S2221:S2224)</f>
        <v>0</v>
      </c>
      <c r="Q2219" s="469"/>
      <c r="R2219" s="512" t="str">
        <f>IF(O2219=0,"DELETE"," ")</f>
        <v>DELETE</v>
      </c>
    </row>
    <row r="2220" spans="2:19" ht="9" customHeight="1" x14ac:dyDescent="0.45">
      <c r="B2220" s="563"/>
      <c r="C2220" s="450"/>
      <c r="D2220" s="463"/>
      <c r="M2220" s="680"/>
      <c r="N2220" s="676"/>
      <c r="O2220" s="539"/>
      <c r="Q2220" s="469"/>
      <c r="R2220" s="512" t="str">
        <f>R$2219</f>
        <v>DELETE</v>
      </c>
    </row>
    <row r="2221" spans="2:19" ht="9" customHeight="1" x14ac:dyDescent="0.45">
      <c r="B2221" s="563"/>
      <c r="C2221" s="450"/>
      <c r="D2221" s="463"/>
      <c r="M2221" s="680"/>
      <c r="N2221" s="676"/>
      <c r="O2221" s="681"/>
      <c r="Q2221" s="469"/>
      <c r="R2221" s="512" t="str">
        <f>R$2219</f>
        <v>DELETE</v>
      </c>
    </row>
    <row r="2222" spans="2:19" ht="31.5" customHeight="1" x14ac:dyDescent="0.45">
      <c r="B2222" s="563"/>
      <c r="C2222" s="450"/>
      <c r="D2222" s="463"/>
      <c r="E2222" s="449" t="s">
        <v>1687</v>
      </c>
      <c r="M2222" s="680"/>
      <c r="N2222" s="676"/>
      <c r="O2222" s="562">
        <f>-TrialBalance!L224</f>
        <v>0</v>
      </c>
      <c r="Q2222" s="469"/>
      <c r="R2222" s="512" t="str">
        <f t="shared" ref="R2222:R2223" si="156">IF(O2222=0,"DELETE"," ")</f>
        <v>DELETE</v>
      </c>
      <c r="S2222" s="517">
        <f>O2222</f>
        <v>0</v>
      </c>
    </row>
    <row r="2223" spans="2:19" ht="31.5" customHeight="1" x14ac:dyDescent="0.45">
      <c r="B2223" s="563"/>
      <c r="C2223" s="450"/>
      <c r="D2223" s="463"/>
      <c r="E2223" s="449" t="s">
        <v>980</v>
      </c>
      <c r="M2223" s="680"/>
      <c r="N2223" s="676"/>
      <c r="O2223" s="562">
        <f>-TrialBalance!L225</f>
        <v>0</v>
      </c>
      <c r="Q2223" s="469"/>
      <c r="R2223" s="512" t="str">
        <f t="shared" si="156"/>
        <v>DELETE</v>
      </c>
      <c r="S2223" s="517">
        <f>O2223</f>
        <v>0</v>
      </c>
    </row>
    <row r="2224" spans="2:19" ht="9" customHeight="1" x14ac:dyDescent="0.45">
      <c r="B2224" s="563"/>
      <c r="C2224" s="450"/>
      <c r="D2224" s="463"/>
      <c r="M2224" s="680"/>
      <c r="N2224" s="676"/>
      <c r="O2224" s="682"/>
      <c r="Q2224" s="469"/>
      <c r="R2224" s="512" t="str">
        <f t="shared" ref="R2224:R2225" si="157">R$2219</f>
        <v>DELETE</v>
      </c>
    </row>
    <row r="2225" spans="2:23" ht="9" customHeight="1" x14ac:dyDescent="0.45">
      <c r="B2225" s="563"/>
      <c r="C2225" s="450"/>
      <c r="D2225" s="463"/>
      <c r="M2225" s="680"/>
      <c r="N2225" s="676"/>
      <c r="O2225" s="539"/>
      <c r="Q2225" s="469"/>
      <c r="R2225" s="512" t="str">
        <f t="shared" si="157"/>
        <v>DELETE</v>
      </c>
    </row>
    <row r="2226" spans="2:23" ht="31.5" customHeight="1" x14ac:dyDescent="0.45">
      <c r="B2226" s="563"/>
      <c r="C2226" s="450"/>
      <c r="D2226" s="463" t="s">
        <v>1170</v>
      </c>
      <c r="M2226" s="680"/>
      <c r="N2226" s="676"/>
      <c r="O2226" s="531">
        <f>SUM(S2228:S2231)</f>
        <v>0</v>
      </c>
      <c r="Q2226" s="469"/>
      <c r="R2226" s="512" t="str">
        <f>IF(O2226=0,"DELETE"," ")</f>
        <v>DELETE</v>
      </c>
    </row>
    <row r="2227" spans="2:23" ht="9" customHeight="1" x14ac:dyDescent="0.45">
      <c r="B2227" s="563"/>
      <c r="C2227" s="450"/>
      <c r="D2227" s="463"/>
      <c r="M2227" s="680"/>
      <c r="N2227" s="676"/>
      <c r="O2227" s="539"/>
      <c r="Q2227" s="469"/>
      <c r="R2227" s="512" t="str">
        <f>R$2226</f>
        <v>DELETE</v>
      </c>
    </row>
    <row r="2228" spans="2:23" ht="9" customHeight="1" x14ac:dyDescent="0.45">
      <c r="B2228" s="563"/>
      <c r="C2228" s="450"/>
      <c r="D2228" s="463"/>
      <c r="M2228" s="680"/>
      <c r="N2228" s="676"/>
      <c r="O2228" s="681"/>
      <c r="Q2228" s="469"/>
      <c r="R2228" s="512" t="str">
        <f>R$2226</f>
        <v>DELETE</v>
      </c>
    </row>
    <row r="2229" spans="2:23" ht="31.5" customHeight="1" x14ac:dyDescent="0.45">
      <c r="B2229" s="563"/>
      <c r="C2229" s="450"/>
      <c r="D2229" s="463"/>
      <c r="E2229" s="449" t="s">
        <v>1687</v>
      </c>
      <c r="M2229" s="680"/>
      <c r="N2229" s="676"/>
      <c r="O2229" s="562">
        <f>-TrialBalance!L226</f>
        <v>0</v>
      </c>
      <c r="Q2229" s="469"/>
      <c r="R2229" s="512" t="str">
        <f t="shared" ref="R2229:R2230" si="158">IF(O2229=0,"DELETE"," ")</f>
        <v>DELETE</v>
      </c>
      <c r="S2229" s="517">
        <f>O2229</f>
        <v>0</v>
      </c>
    </row>
    <row r="2230" spans="2:23" ht="31.5" customHeight="1" x14ac:dyDescent="0.45">
      <c r="B2230" s="563"/>
      <c r="C2230" s="450"/>
      <c r="D2230" s="463"/>
      <c r="E2230" s="449" t="s">
        <v>980</v>
      </c>
      <c r="M2230" s="680"/>
      <c r="N2230" s="676"/>
      <c r="O2230" s="562">
        <f>-TrialBalance!L227</f>
        <v>0</v>
      </c>
      <c r="Q2230" s="469"/>
      <c r="R2230" s="512" t="str">
        <f t="shared" si="158"/>
        <v>DELETE</v>
      </c>
      <c r="S2230" s="517">
        <f>O2230</f>
        <v>0</v>
      </c>
    </row>
    <row r="2231" spans="2:23" ht="9" customHeight="1" x14ac:dyDescent="0.45">
      <c r="B2231" s="563"/>
      <c r="C2231" s="450"/>
      <c r="D2231" s="463"/>
      <c r="M2231" s="680"/>
      <c r="N2231" s="676"/>
      <c r="O2231" s="682"/>
      <c r="Q2231" s="469"/>
      <c r="R2231" s="512" t="str">
        <f>R$2226</f>
        <v>DELETE</v>
      </c>
    </row>
    <row r="2232" spans="2:23" ht="9" customHeight="1" x14ac:dyDescent="0.45">
      <c r="B2232" s="563"/>
      <c r="C2232" s="450"/>
      <c r="L2232" s="452"/>
      <c r="M2232" s="527"/>
      <c r="N2232" s="449"/>
      <c r="O2232" s="535"/>
      <c r="Q2232" s="469"/>
      <c r="R2232" s="512" t="str">
        <f t="shared" ref="R2232:R2237" si="159">R$2200</f>
        <v>DELETE</v>
      </c>
    </row>
    <row r="2233" spans="2:23" ht="9" customHeight="1" x14ac:dyDescent="0.45">
      <c r="B2233" s="563"/>
      <c r="C2233" s="450"/>
      <c r="L2233" s="452"/>
      <c r="M2233" s="527"/>
      <c r="N2233" s="449"/>
      <c r="O2233" s="531"/>
      <c r="Q2233" s="469"/>
      <c r="R2233" s="512" t="str">
        <f t="shared" si="159"/>
        <v>DELETE</v>
      </c>
    </row>
    <row r="2234" spans="2:23" ht="31.5" customHeight="1" x14ac:dyDescent="0.45">
      <c r="B2234" s="563"/>
      <c r="C2234" s="450"/>
      <c r="D2234" s="463" t="str">
        <f>IF(W2234=2,"Deferred tax liability at the end of the year","Deferred tax asset at the end of the year")</f>
        <v>Deferred tax liability at the end of the year</v>
      </c>
      <c r="L2234" s="452"/>
      <c r="M2234" s="527"/>
      <c r="N2234" s="449"/>
      <c r="O2234" s="531">
        <f>SUM(S2207:S2231)</f>
        <v>0</v>
      </c>
      <c r="Q2234" s="469"/>
      <c r="R2234" s="512" t="str">
        <f t="shared" si="159"/>
        <v>DELETE</v>
      </c>
      <c r="U2234" s="513" t="b">
        <f>O2234=SUM(O2237:O2240)</f>
        <v>1</v>
      </c>
      <c r="W2234" s="513">
        <f>IF(O2234&lt;0,1,2)</f>
        <v>2</v>
      </c>
    </row>
    <row r="2235" spans="2:23" ht="9" customHeight="1" thickBot="1" x14ac:dyDescent="0.5">
      <c r="B2235" s="563"/>
      <c r="C2235" s="450"/>
      <c r="L2235" s="452"/>
      <c r="M2235" s="527"/>
      <c r="N2235" s="449"/>
      <c r="O2235" s="536"/>
      <c r="Q2235" s="469"/>
      <c r="R2235" s="512" t="str">
        <f t="shared" si="159"/>
        <v>DELETE</v>
      </c>
    </row>
    <row r="2236" spans="2:23" ht="9" customHeight="1" thickTop="1" x14ac:dyDescent="0.45">
      <c r="B2236" s="563"/>
      <c r="C2236" s="450"/>
      <c r="L2236" s="452"/>
      <c r="M2236" s="527"/>
      <c r="N2236" s="449"/>
      <c r="O2236" s="531"/>
      <c r="Q2236" s="469"/>
      <c r="R2236" s="512" t="str">
        <f t="shared" si="159"/>
        <v>DELETE</v>
      </c>
    </row>
    <row r="2237" spans="2:23" ht="9" customHeight="1" x14ac:dyDescent="0.45">
      <c r="B2237" s="563"/>
      <c r="C2237" s="450"/>
      <c r="L2237" s="452"/>
      <c r="M2237" s="527"/>
      <c r="N2237" s="449"/>
      <c r="O2237" s="558"/>
      <c r="Q2237" s="469"/>
      <c r="R2237" s="512" t="str">
        <f t="shared" si="159"/>
        <v>DELETE</v>
      </c>
    </row>
    <row r="2238" spans="2:23" ht="31.5" customHeight="1" x14ac:dyDescent="0.45">
      <c r="B2238" s="563"/>
      <c r="C2238" s="450"/>
      <c r="E2238" s="449" t="s">
        <v>1687</v>
      </c>
      <c r="L2238" s="452"/>
      <c r="M2238" s="527"/>
      <c r="N2238" s="449"/>
      <c r="O2238" s="559">
        <f>-TrialBalance!L220-TrialBalance!L222-TrialBalance!L224-TrialBalance!L226</f>
        <v>0</v>
      </c>
      <c r="Q2238" s="469"/>
      <c r="R2238" s="512" t="str">
        <f>IF(R2200="DELETE","DELETE",IF(R2239="DELETE"," ",IF(O2238=0,"DELETE"," ")))</f>
        <v>DELETE</v>
      </c>
      <c r="S2238" s="517">
        <f>O2238</f>
        <v>0</v>
      </c>
    </row>
    <row r="2239" spans="2:23" ht="31.5" customHeight="1" x14ac:dyDescent="0.45">
      <c r="B2239" s="563"/>
      <c r="C2239" s="450"/>
      <c r="E2239" s="449" t="s">
        <v>980</v>
      </c>
      <c r="L2239" s="452"/>
      <c r="M2239" s="527"/>
      <c r="N2239" s="449"/>
      <c r="O2239" s="559">
        <f>-TrialBalance!L221-TrialBalance!L223-TrialBalance!L225-TrialBalance!L227</f>
        <v>0</v>
      </c>
      <c r="Q2239" s="469"/>
      <c r="R2239" s="512" t="str">
        <f>IF(R2200="DELETE","DELETE",IF(O2239=0,"DELETE"," "))</f>
        <v>DELETE</v>
      </c>
      <c r="S2239" s="517">
        <f>O2239</f>
        <v>0</v>
      </c>
    </row>
    <row r="2240" spans="2:23" ht="10.5" customHeight="1" x14ac:dyDescent="0.45">
      <c r="B2240" s="563"/>
      <c r="C2240" s="450"/>
      <c r="L2240" s="452"/>
      <c r="M2240" s="527"/>
      <c r="N2240" s="449"/>
      <c r="O2240" s="560"/>
      <c r="Q2240" s="469"/>
      <c r="R2240" s="512" t="str">
        <f t="shared" ref="R2240:R2245" si="160">R$2200</f>
        <v>DELETE</v>
      </c>
    </row>
    <row r="2241" spans="2:18" ht="9" customHeight="1" x14ac:dyDescent="0.45">
      <c r="B2241" s="563"/>
      <c r="C2241" s="450"/>
      <c r="L2241" s="452"/>
      <c r="M2241" s="527"/>
      <c r="N2241" s="449"/>
      <c r="O2241" s="531"/>
      <c r="Q2241" s="469"/>
      <c r="R2241" s="512" t="str">
        <f t="shared" si="160"/>
        <v>DELETE</v>
      </c>
    </row>
    <row r="2242" spans="2:18" ht="31.5" customHeight="1" x14ac:dyDescent="0.45">
      <c r="B2242" s="563"/>
      <c r="C2242" s="450"/>
      <c r="L2242" s="452"/>
      <c r="M2242" s="527"/>
      <c r="N2242" s="449"/>
      <c r="O2242" s="531"/>
      <c r="Q2242" s="469"/>
      <c r="R2242" s="512" t="str">
        <f t="shared" si="160"/>
        <v>DELETE</v>
      </c>
    </row>
    <row r="2243" spans="2:18" ht="31.5" customHeight="1" x14ac:dyDescent="0.45">
      <c r="B2243" s="563"/>
      <c r="C2243" s="450"/>
      <c r="M2243" s="531"/>
      <c r="N2243" s="470"/>
      <c r="O2243" s="531"/>
      <c r="Q2243" s="469"/>
      <c r="R2243" s="512" t="str">
        <f t="shared" si="160"/>
        <v>DELETE</v>
      </c>
    </row>
    <row r="2244" spans="2:18" ht="31.5" customHeight="1" x14ac:dyDescent="0.45">
      <c r="B2244" s="564"/>
      <c r="C2244" s="502"/>
      <c r="D2244" s="461"/>
      <c r="E2244" s="461"/>
      <c r="F2244" s="461"/>
      <c r="G2244" s="461"/>
      <c r="H2244" s="461"/>
      <c r="I2244" s="461"/>
      <c r="J2244" s="461"/>
      <c r="K2244" s="461"/>
      <c r="L2244" s="461"/>
      <c r="M2244" s="535"/>
      <c r="N2244" s="473"/>
      <c r="O2244" s="535"/>
      <c r="P2244" s="631"/>
      <c r="Q2244" s="479"/>
      <c r="R2244" s="512" t="str">
        <f t="shared" si="160"/>
        <v>DELETE</v>
      </c>
    </row>
    <row r="2245" spans="2:18" ht="31.5" customHeight="1" x14ac:dyDescent="0.45">
      <c r="B2245" s="527"/>
      <c r="M2245" s="635"/>
      <c r="N2245" s="621"/>
      <c r="O2245" s="635"/>
      <c r="R2245" s="512" t="str">
        <f t="shared" si="160"/>
        <v>DELETE</v>
      </c>
    </row>
    <row r="2246" spans="2:18" ht="31.5" customHeight="1" x14ac:dyDescent="0.45">
      <c r="B2246" s="527"/>
      <c r="M2246" s="635"/>
      <c r="N2246" s="621"/>
      <c r="O2246" s="635"/>
      <c r="R2246" s="512" t="str">
        <f>R$2265</f>
        <v>DELETE</v>
      </c>
    </row>
    <row r="2247" spans="2:18" ht="31.5" customHeight="1" x14ac:dyDescent="0.45">
      <c r="B2247" s="527"/>
      <c r="D2247" s="450" t="str">
        <f>Criteria!E9</f>
        <v>ABC COMPANY (PROPRIETARY) LIMITED</v>
      </c>
      <c r="M2247" s="635"/>
      <c r="N2247" s="621"/>
      <c r="O2247" s="531" t="s">
        <v>121</v>
      </c>
      <c r="Q2247" s="451">
        <f>MAX($Q$114:Q2246)+1</f>
        <v>54</v>
      </c>
      <c r="R2247" s="512" t="str">
        <f t="shared" ref="R2247:R2256" si="161">R$2265</f>
        <v>DELETE</v>
      </c>
    </row>
    <row r="2248" spans="2:18" ht="31.5" customHeight="1" x14ac:dyDescent="0.45">
      <c r="B2248" s="527"/>
      <c r="D2248" s="450" t="str">
        <f>Criteria!E10</f>
        <v>T/A SEAFRONT HOTEL, SEAFRONT RESTAURANT AND RENTAL PROPERTIES</v>
      </c>
      <c r="M2248" s="635"/>
      <c r="N2248" s="621"/>
      <c r="O2248" s="635"/>
      <c r="R2248" s="512" t="str">
        <f>IF(R$2265="DELETE","DELETE",IF(D2248=0,"DELETE"," "))</f>
        <v>DELETE</v>
      </c>
    </row>
    <row r="2249" spans="2:18" ht="31.5" customHeight="1" x14ac:dyDescent="0.45">
      <c r="B2249" s="527"/>
      <c r="M2249" s="635"/>
      <c r="N2249" s="621"/>
      <c r="O2249" s="635"/>
      <c r="R2249" s="512" t="str">
        <f t="shared" si="161"/>
        <v>DELETE</v>
      </c>
    </row>
    <row r="2250" spans="2:18" ht="31.5" customHeight="1" x14ac:dyDescent="0.45">
      <c r="B2250" s="527"/>
      <c r="D2250" s="450" t="s">
        <v>451</v>
      </c>
      <c r="M2250" s="635"/>
      <c r="N2250" s="621"/>
      <c r="O2250" s="635"/>
      <c r="R2250" s="512" t="str">
        <f t="shared" si="161"/>
        <v>DELETE</v>
      </c>
    </row>
    <row r="2251" spans="2:18" ht="31.5" customHeight="1" x14ac:dyDescent="0.45">
      <c r="B2251" s="527"/>
      <c r="D2251" s="450" t="str">
        <f>Criteria!E20</f>
        <v>29 FEBRUARY 2024</v>
      </c>
      <c r="J2251" s="449" t="s">
        <v>303</v>
      </c>
      <c r="M2251" s="635"/>
      <c r="N2251" s="621"/>
      <c r="O2251" s="635"/>
      <c r="R2251" s="512" t="str">
        <f t="shared" si="161"/>
        <v>DELETE</v>
      </c>
    </row>
    <row r="2252" spans="2:18" ht="31.5" customHeight="1" x14ac:dyDescent="0.45">
      <c r="B2252" s="527"/>
      <c r="D2252" s="450"/>
      <c r="M2252" s="635"/>
      <c r="N2252" s="621"/>
      <c r="O2252" s="635"/>
      <c r="R2252" s="512" t="str">
        <f t="shared" si="161"/>
        <v>DELETE</v>
      </c>
    </row>
    <row r="2253" spans="2:18" ht="31.5" customHeight="1" x14ac:dyDescent="0.45">
      <c r="B2253" s="565"/>
      <c r="C2253" s="503"/>
      <c r="D2253" s="466"/>
      <c r="E2253" s="466"/>
      <c r="F2253" s="466"/>
      <c r="G2253" s="466"/>
      <c r="H2253" s="466"/>
      <c r="I2253" s="466"/>
      <c r="J2253" s="466"/>
      <c r="K2253" s="466"/>
      <c r="L2253" s="466"/>
      <c r="M2253" s="546"/>
      <c r="N2253" s="471"/>
      <c r="O2253" s="546"/>
      <c r="P2253" s="643"/>
      <c r="Q2253" s="467"/>
      <c r="R2253" s="512" t="str">
        <f t="shared" si="161"/>
        <v>DELETE</v>
      </c>
    </row>
    <row r="2254" spans="2:18" ht="31.5" customHeight="1" x14ac:dyDescent="0.45">
      <c r="B2254" s="563"/>
      <c r="C2254" s="450"/>
      <c r="L2254" s="452"/>
      <c r="M2254" s="527"/>
      <c r="N2254" s="449"/>
      <c r="O2254" s="525">
        <f>Criteria!E22</f>
        <v>2024</v>
      </c>
      <c r="Q2254" s="469"/>
      <c r="R2254" s="512" t="str">
        <f t="shared" si="161"/>
        <v>DELETE</v>
      </c>
    </row>
    <row r="2255" spans="2:18" ht="31.5" customHeight="1" x14ac:dyDescent="0.45">
      <c r="B2255" s="563"/>
      <c r="C2255" s="450"/>
      <c r="L2255" s="452"/>
      <c r="M2255" s="527"/>
      <c r="N2255" s="449"/>
      <c r="O2255" s="531"/>
      <c r="Q2255" s="469"/>
      <c r="R2255" s="512" t="str">
        <f t="shared" si="161"/>
        <v>DELETE</v>
      </c>
    </row>
    <row r="2256" spans="2:18" ht="31.5" customHeight="1" x14ac:dyDescent="0.45">
      <c r="B2256" s="563">
        <f>MAX($B$804:B2255)+1</f>
        <v>25</v>
      </c>
      <c r="C2256" s="450" t="s">
        <v>496</v>
      </c>
      <c r="L2256" s="452"/>
      <c r="M2256" s="527"/>
      <c r="N2256" s="449"/>
      <c r="O2256" s="531"/>
      <c r="Q2256" s="469"/>
      <c r="R2256" s="512" t="str">
        <f t="shared" si="161"/>
        <v>DELETE</v>
      </c>
    </row>
    <row r="2257" spans="2:18" ht="31.5" customHeight="1" x14ac:dyDescent="0.45">
      <c r="B2257" s="563"/>
      <c r="C2257" s="450"/>
      <c r="D2257" s="449" t="s">
        <v>497</v>
      </c>
      <c r="L2257" s="452"/>
      <c r="M2257" s="527"/>
      <c r="N2257" s="449"/>
      <c r="O2257" s="531">
        <f>-TrialBalance!L379-TrialBalance!L378</f>
        <v>0</v>
      </c>
      <c r="Q2257" s="469"/>
      <c r="R2257" s="512" t="str">
        <f t="shared" ref="R2257:R2262" si="162">IF(O2257=0,"DELETE"," ")</f>
        <v>DELETE</v>
      </c>
    </row>
    <row r="2258" spans="2:18" ht="31.5" customHeight="1" x14ac:dyDescent="0.45">
      <c r="B2258" s="563"/>
      <c r="C2258" s="450"/>
      <c r="D2258" s="449" t="s">
        <v>676</v>
      </c>
      <c r="L2258" s="452"/>
      <c r="M2258" s="527"/>
      <c r="N2258" s="449"/>
      <c r="O2258" s="531">
        <f>-TrialBalance!L380</f>
        <v>0</v>
      </c>
      <c r="Q2258" s="469"/>
      <c r="R2258" s="512" t="str">
        <f t="shared" si="162"/>
        <v>DELETE</v>
      </c>
    </row>
    <row r="2259" spans="2:18" ht="31.5" customHeight="1" x14ac:dyDescent="0.45">
      <c r="B2259" s="563"/>
      <c r="C2259" s="450"/>
      <c r="D2259" s="449" t="s">
        <v>985</v>
      </c>
      <c r="L2259" s="452"/>
      <c r="M2259" s="527"/>
      <c r="N2259" s="449"/>
      <c r="O2259" s="531">
        <f>-TrialBalance!L381</f>
        <v>0</v>
      </c>
      <c r="Q2259" s="469"/>
      <c r="R2259" s="512" t="str">
        <f t="shared" si="162"/>
        <v>DELETE</v>
      </c>
    </row>
    <row r="2260" spans="2:18" ht="31.5" customHeight="1" x14ac:dyDescent="0.45">
      <c r="B2260" s="563"/>
      <c r="C2260" s="450"/>
      <c r="D2260" s="449" t="s">
        <v>677</v>
      </c>
      <c r="L2260" s="452"/>
      <c r="M2260" s="527"/>
      <c r="N2260" s="449"/>
      <c r="O2260" s="531">
        <f>-TrialBalance!L382</f>
        <v>0</v>
      </c>
      <c r="Q2260" s="469"/>
      <c r="R2260" s="512" t="str">
        <f t="shared" si="162"/>
        <v>DELETE</v>
      </c>
    </row>
    <row r="2261" spans="2:18" ht="31.5" customHeight="1" x14ac:dyDescent="0.45">
      <c r="B2261" s="563"/>
      <c r="C2261" s="450"/>
      <c r="D2261" s="449" t="s">
        <v>963</v>
      </c>
      <c r="L2261" s="452"/>
      <c r="M2261" s="527"/>
      <c r="N2261" s="449"/>
      <c r="O2261" s="531">
        <f>-TrialBalance!L383</f>
        <v>0</v>
      </c>
      <c r="Q2261" s="469"/>
      <c r="R2261" s="512" t="str">
        <f t="shared" si="162"/>
        <v>DELETE</v>
      </c>
    </row>
    <row r="2262" spans="2:18" ht="31.5" customHeight="1" x14ac:dyDescent="0.45">
      <c r="B2262" s="563"/>
      <c r="C2262" s="450"/>
      <c r="D2262" s="449" t="s">
        <v>658</v>
      </c>
      <c r="L2262" s="452"/>
      <c r="M2262" s="527"/>
      <c r="N2262" s="449"/>
      <c r="O2262" s="531">
        <f>IF(TrialBalance!L398&lt;0,-TrialBalance!L398,0)</f>
        <v>0</v>
      </c>
      <c r="Q2262" s="469"/>
      <c r="R2262" s="512" t="str">
        <f t="shared" si="162"/>
        <v>DELETE</v>
      </c>
    </row>
    <row r="2263" spans="2:18" ht="9" customHeight="1" x14ac:dyDescent="0.45">
      <c r="B2263" s="563"/>
      <c r="C2263" s="450"/>
      <c r="L2263" s="452"/>
      <c r="M2263" s="527"/>
      <c r="N2263" s="449"/>
      <c r="O2263" s="535"/>
      <c r="Q2263" s="469"/>
      <c r="R2263" s="512" t="str">
        <f t="shared" ref="R2263:R2271" si="163">R$2265</f>
        <v>DELETE</v>
      </c>
    </row>
    <row r="2264" spans="2:18" ht="9" customHeight="1" x14ac:dyDescent="0.45">
      <c r="B2264" s="563"/>
      <c r="C2264" s="450"/>
      <c r="L2264" s="452"/>
      <c r="M2264" s="527"/>
      <c r="N2264" s="449"/>
      <c r="O2264" s="531"/>
      <c r="Q2264" s="469"/>
      <c r="R2264" s="512" t="str">
        <f t="shared" si="163"/>
        <v>DELETE</v>
      </c>
    </row>
    <row r="2265" spans="2:18" ht="31.5" customHeight="1" x14ac:dyDescent="0.45">
      <c r="B2265" s="563"/>
      <c r="C2265" s="450"/>
      <c r="L2265" s="452"/>
      <c r="M2265" s="527"/>
      <c r="N2265" s="449"/>
      <c r="O2265" s="531">
        <f>SUM(O2257:O2264)</f>
        <v>0</v>
      </c>
      <c r="Q2265" s="469"/>
      <c r="R2265" s="512" t="str">
        <f t="shared" ref="R2265" si="164">IF(O2265=0,"DELETE"," ")</f>
        <v>DELETE</v>
      </c>
    </row>
    <row r="2266" spans="2:18" ht="9" customHeight="1" thickBot="1" x14ac:dyDescent="0.5">
      <c r="B2266" s="563"/>
      <c r="C2266" s="450"/>
      <c r="L2266" s="452"/>
      <c r="M2266" s="527"/>
      <c r="N2266" s="449"/>
      <c r="O2266" s="536"/>
      <c r="Q2266" s="469"/>
      <c r="R2266" s="512" t="str">
        <f t="shared" si="163"/>
        <v>DELETE</v>
      </c>
    </row>
    <row r="2267" spans="2:18" ht="9" customHeight="1" thickTop="1" x14ac:dyDescent="0.45">
      <c r="B2267" s="563"/>
      <c r="C2267" s="450"/>
      <c r="L2267" s="452"/>
      <c r="M2267" s="527"/>
      <c r="N2267" s="449"/>
      <c r="O2267" s="548"/>
      <c r="Q2267" s="469"/>
      <c r="R2267" s="512" t="str">
        <f t="shared" si="163"/>
        <v>DELETE</v>
      </c>
    </row>
    <row r="2268" spans="2:18" ht="31.5" customHeight="1" x14ac:dyDescent="0.45">
      <c r="B2268" s="563"/>
      <c r="C2268" s="450"/>
      <c r="L2268" s="452"/>
      <c r="M2268" s="527"/>
      <c r="N2268" s="449"/>
      <c r="O2268" s="531"/>
      <c r="Q2268" s="469"/>
      <c r="R2268" s="512" t="str">
        <f t="shared" si="163"/>
        <v>DELETE</v>
      </c>
    </row>
    <row r="2269" spans="2:18" ht="31.5" customHeight="1" x14ac:dyDescent="0.45">
      <c r="B2269" s="563"/>
      <c r="C2269" s="450"/>
      <c r="M2269" s="531"/>
      <c r="N2269" s="470"/>
      <c r="O2269" s="531"/>
      <c r="Q2269" s="469"/>
      <c r="R2269" s="512" t="str">
        <f t="shared" si="163"/>
        <v>DELETE</v>
      </c>
    </row>
    <row r="2270" spans="2:18" ht="31.5" customHeight="1" x14ac:dyDescent="0.45">
      <c r="B2270" s="564"/>
      <c r="C2270" s="502"/>
      <c r="D2270" s="461"/>
      <c r="E2270" s="461"/>
      <c r="F2270" s="461"/>
      <c r="G2270" s="461"/>
      <c r="H2270" s="461"/>
      <c r="I2270" s="461"/>
      <c r="J2270" s="461"/>
      <c r="K2270" s="461"/>
      <c r="L2270" s="461"/>
      <c r="M2270" s="535"/>
      <c r="N2270" s="473"/>
      <c r="O2270" s="535"/>
      <c r="P2270" s="631"/>
      <c r="Q2270" s="479"/>
      <c r="R2270" s="512" t="str">
        <f t="shared" si="163"/>
        <v>DELETE</v>
      </c>
    </row>
    <row r="2271" spans="2:18" ht="31.5" customHeight="1" x14ac:dyDescent="0.45">
      <c r="B2271" s="526"/>
      <c r="C2271" s="450"/>
      <c r="M2271" s="531"/>
      <c r="N2271" s="470"/>
      <c r="O2271" s="531"/>
      <c r="R2271" s="512" t="str">
        <f t="shared" si="163"/>
        <v>DELETE</v>
      </c>
    </row>
    <row r="2272" spans="2:18" ht="31.5" customHeight="1" x14ac:dyDescent="0.45">
      <c r="B2272" s="527"/>
      <c r="M2272" s="635"/>
      <c r="N2272" s="621"/>
      <c r="O2272" s="635"/>
      <c r="R2272" s="512" t="str">
        <f>R$2291</f>
        <v>DELETE</v>
      </c>
    </row>
    <row r="2273" spans="2:18" ht="31.5" customHeight="1" x14ac:dyDescent="0.45">
      <c r="B2273" s="527"/>
      <c r="D2273" s="450" t="str">
        <f>Criteria!E9</f>
        <v>ABC COMPANY (PROPRIETARY) LIMITED</v>
      </c>
      <c r="M2273" s="635"/>
      <c r="N2273" s="621"/>
      <c r="O2273" s="531" t="s">
        <v>121</v>
      </c>
      <c r="Q2273" s="451">
        <f>MAX($Q$114:Q2272)+1</f>
        <v>55</v>
      </c>
      <c r="R2273" s="512" t="str">
        <f t="shared" ref="R2273:R2282" si="165">R$2291</f>
        <v>DELETE</v>
      </c>
    </row>
    <row r="2274" spans="2:18" ht="31.5" customHeight="1" x14ac:dyDescent="0.45">
      <c r="B2274" s="527"/>
      <c r="D2274" s="450" t="str">
        <f>Criteria!E10</f>
        <v>T/A SEAFRONT HOTEL, SEAFRONT RESTAURANT AND RENTAL PROPERTIES</v>
      </c>
      <c r="M2274" s="635"/>
      <c r="N2274" s="621"/>
      <c r="O2274" s="635"/>
      <c r="R2274" s="512" t="str">
        <f>IF(R$2291="DELETE","DELETE",IF(D2274=0,"DELETE"," "))</f>
        <v>DELETE</v>
      </c>
    </row>
    <row r="2275" spans="2:18" ht="31.5" customHeight="1" x14ac:dyDescent="0.45">
      <c r="B2275" s="527"/>
      <c r="M2275" s="635"/>
      <c r="N2275" s="621"/>
      <c r="O2275" s="635"/>
      <c r="R2275" s="512" t="str">
        <f t="shared" si="165"/>
        <v>DELETE</v>
      </c>
    </row>
    <row r="2276" spans="2:18" ht="31.5" customHeight="1" x14ac:dyDescent="0.45">
      <c r="B2276" s="527"/>
      <c r="D2276" s="450" t="s">
        <v>451</v>
      </c>
      <c r="M2276" s="635"/>
      <c r="N2276" s="621"/>
      <c r="O2276" s="635"/>
      <c r="R2276" s="512" t="str">
        <f t="shared" si="165"/>
        <v>DELETE</v>
      </c>
    </row>
    <row r="2277" spans="2:18" ht="31.5" customHeight="1" x14ac:dyDescent="0.45">
      <c r="B2277" s="527"/>
      <c r="D2277" s="450" t="str">
        <f>Criteria!E20</f>
        <v>29 FEBRUARY 2024</v>
      </c>
      <c r="J2277" s="449" t="s">
        <v>303</v>
      </c>
      <c r="M2277" s="635"/>
      <c r="N2277" s="621"/>
      <c r="O2277" s="635"/>
      <c r="R2277" s="512" t="str">
        <f t="shared" si="165"/>
        <v>DELETE</v>
      </c>
    </row>
    <row r="2278" spans="2:18" ht="31.5" customHeight="1" x14ac:dyDescent="0.45">
      <c r="B2278" s="527"/>
      <c r="M2278" s="640"/>
      <c r="N2278" s="646"/>
      <c r="O2278" s="640"/>
      <c r="R2278" s="512" t="str">
        <f t="shared" si="165"/>
        <v>DELETE</v>
      </c>
    </row>
    <row r="2279" spans="2:18" ht="31.5" customHeight="1" x14ac:dyDescent="0.45">
      <c r="B2279" s="566"/>
      <c r="C2279" s="466"/>
      <c r="D2279" s="466"/>
      <c r="E2279" s="466"/>
      <c r="F2279" s="466"/>
      <c r="G2279" s="466"/>
      <c r="H2279" s="466"/>
      <c r="I2279" s="466"/>
      <c r="J2279" s="466"/>
      <c r="K2279" s="466"/>
      <c r="L2279" s="466"/>
      <c r="M2279" s="648"/>
      <c r="N2279" s="649"/>
      <c r="O2279" s="648"/>
      <c r="P2279" s="643"/>
      <c r="Q2279" s="467"/>
      <c r="R2279" s="512" t="str">
        <f t="shared" si="165"/>
        <v>DELETE</v>
      </c>
    </row>
    <row r="2280" spans="2:18" ht="31.5" customHeight="1" x14ac:dyDescent="0.45">
      <c r="B2280" s="582"/>
      <c r="L2280" s="452"/>
      <c r="M2280" s="527"/>
      <c r="N2280" s="449"/>
      <c r="O2280" s="525">
        <f>Criteria!E22</f>
        <v>2024</v>
      </c>
      <c r="Q2280" s="469"/>
      <c r="R2280" s="512" t="str">
        <f t="shared" si="165"/>
        <v>DELETE</v>
      </c>
    </row>
    <row r="2281" spans="2:18" ht="31.5" customHeight="1" x14ac:dyDescent="0.45">
      <c r="B2281" s="563"/>
      <c r="C2281" s="450"/>
      <c r="L2281" s="452"/>
      <c r="M2281" s="527"/>
      <c r="N2281" s="449"/>
      <c r="O2281" s="531"/>
      <c r="Q2281" s="469"/>
      <c r="R2281" s="512" t="str">
        <f t="shared" si="165"/>
        <v>DELETE</v>
      </c>
    </row>
    <row r="2282" spans="2:18" ht="31.5" customHeight="1" x14ac:dyDescent="0.45">
      <c r="B2282" s="563">
        <f>MAX($B$804:B2281)+1</f>
        <v>26</v>
      </c>
      <c r="C2282" s="450" t="str">
        <f>IF(COUNTIF(TrialBalance!L366:L371,"&lt;0")&gt;1,"BANK OVERDRAFTS","BANK OVERDRAFT")</f>
        <v>BANK OVERDRAFT</v>
      </c>
      <c r="L2282" s="452"/>
      <c r="M2282" s="527"/>
      <c r="N2282" s="449"/>
      <c r="O2282" s="531"/>
      <c r="Q2282" s="469"/>
      <c r="R2282" s="512" t="str">
        <f t="shared" si="165"/>
        <v>DELETE</v>
      </c>
    </row>
    <row r="2283" spans="2:18" ht="31.5" customHeight="1" x14ac:dyDescent="0.45">
      <c r="B2283" s="563"/>
      <c r="C2283" s="450"/>
      <c r="D2283" s="449">
        <f>TrialBalance!C366</f>
        <v>0</v>
      </c>
      <c r="L2283" s="452"/>
      <c r="M2283" s="527"/>
      <c r="N2283" s="449"/>
      <c r="O2283" s="531">
        <f>IF(TrialBalance!L366&lt;0,-TrialBalance!L366,0)</f>
        <v>0</v>
      </c>
      <c r="Q2283" s="469"/>
      <c r="R2283" s="512" t="str">
        <f t="shared" ref="R2283:R2288" si="166">IF(O2283=0,"DELETE"," ")</f>
        <v>DELETE</v>
      </c>
    </row>
    <row r="2284" spans="2:18" ht="31.5" customHeight="1" x14ac:dyDescent="0.45">
      <c r="B2284" s="563"/>
      <c r="C2284" s="450"/>
      <c r="D2284" s="449">
        <f>TrialBalance!C367</f>
        <v>0</v>
      </c>
      <c r="L2284" s="452"/>
      <c r="M2284" s="527"/>
      <c r="N2284" s="449"/>
      <c r="O2284" s="531">
        <f>IF(TrialBalance!L367&lt;0,-TrialBalance!L367,0)</f>
        <v>0</v>
      </c>
      <c r="Q2284" s="469"/>
      <c r="R2284" s="512" t="str">
        <f t="shared" si="166"/>
        <v>DELETE</v>
      </c>
    </row>
    <row r="2285" spans="2:18" ht="31.5" customHeight="1" x14ac:dyDescent="0.45">
      <c r="B2285" s="563"/>
      <c r="C2285" s="450"/>
      <c r="D2285" s="449">
        <f>TrialBalance!C368</f>
        <v>0</v>
      </c>
      <c r="L2285" s="452"/>
      <c r="M2285" s="527"/>
      <c r="N2285" s="449"/>
      <c r="O2285" s="531">
        <f>IF(TrialBalance!L368&lt;0,-TrialBalance!L368,0)</f>
        <v>0</v>
      </c>
      <c r="Q2285" s="469"/>
      <c r="R2285" s="512" t="str">
        <f t="shared" si="166"/>
        <v>DELETE</v>
      </c>
    </row>
    <row r="2286" spans="2:18" ht="31.5" customHeight="1" x14ac:dyDescent="0.45">
      <c r="B2286" s="563"/>
      <c r="C2286" s="450"/>
      <c r="D2286" s="449">
        <f>TrialBalance!C369</f>
        <v>0</v>
      </c>
      <c r="L2286" s="452"/>
      <c r="M2286" s="527"/>
      <c r="N2286" s="449"/>
      <c r="O2286" s="531">
        <f>IF(TrialBalance!L369&lt;0,-TrialBalance!L369,0)</f>
        <v>0</v>
      </c>
      <c r="Q2286" s="469"/>
      <c r="R2286" s="512" t="str">
        <f t="shared" si="166"/>
        <v>DELETE</v>
      </c>
    </row>
    <row r="2287" spans="2:18" ht="31.5" customHeight="1" x14ac:dyDescent="0.45">
      <c r="B2287" s="563"/>
      <c r="C2287" s="450"/>
      <c r="D2287" s="449">
        <f>TrialBalance!C370</f>
        <v>0</v>
      </c>
      <c r="L2287" s="452"/>
      <c r="M2287" s="527"/>
      <c r="N2287" s="449"/>
      <c r="O2287" s="531">
        <f>IF(TrialBalance!L370&lt;0,-TrialBalance!L370,0)</f>
        <v>0</v>
      </c>
      <c r="Q2287" s="469"/>
      <c r="R2287" s="512" t="str">
        <f t="shared" si="166"/>
        <v>DELETE</v>
      </c>
    </row>
    <row r="2288" spans="2:18" ht="31.5" customHeight="1" x14ac:dyDescent="0.45">
      <c r="B2288" s="563"/>
      <c r="C2288" s="450"/>
      <c r="D2288" s="449">
        <f>TrialBalance!C371</f>
        <v>0</v>
      </c>
      <c r="L2288" s="452"/>
      <c r="M2288" s="527"/>
      <c r="N2288" s="449"/>
      <c r="O2288" s="531">
        <f>IF(TrialBalance!L371&lt;0,-TrialBalance!L371,0)</f>
        <v>0</v>
      </c>
      <c r="Q2288" s="469"/>
      <c r="R2288" s="512" t="str">
        <f t="shared" si="166"/>
        <v>DELETE</v>
      </c>
    </row>
    <row r="2289" spans="2:18" ht="9" customHeight="1" x14ac:dyDescent="0.45">
      <c r="B2289" s="563"/>
      <c r="C2289" s="450"/>
      <c r="L2289" s="452"/>
      <c r="M2289" s="527"/>
      <c r="N2289" s="449"/>
      <c r="O2289" s="535"/>
      <c r="Q2289" s="469"/>
      <c r="R2289" s="512" t="str">
        <f t="shared" ref="R2289:R2297" si="167">R$2291</f>
        <v>DELETE</v>
      </c>
    </row>
    <row r="2290" spans="2:18" ht="9" customHeight="1" x14ac:dyDescent="0.45">
      <c r="B2290" s="563"/>
      <c r="C2290" s="450"/>
      <c r="L2290" s="452"/>
      <c r="M2290" s="527"/>
      <c r="N2290" s="449"/>
      <c r="O2290" s="531"/>
      <c r="Q2290" s="469"/>
      <c r="R2290" s="512" t="str">
        <f t="shared" si="167"/>
        <v>DELETE</v>
      </c>
    </row>
    <row r="2291" spans="2:18" ht="31.5" customHeight="1" x14ac:dyDescent="0.45">
      <c r="B2291" s="563"/>
      <c r="C2291" s="450"/>
      <c r="L2291" s="452"/>
      <c r="M2291" s="527"/>
      <c r="N2291" s="449"/>
      <c r="O2291" s="531">
        <f>SUM(O2283:O2290)</f>
        <v>0</v>
      </c>
      <c r="Q2291" s="469"/>
      <c r="R2291" s="512" t="str">
        <f t="shared" ref="R2291" si="168">IF(O2291=0,"DELETE"," ")</f>
        <v>DELETE</v>
      </c>
    </row>
    <row r="2292" spans="2:18" ht="9" customHeight="1" thickBot="1" x14ac:dyDescent="0.5">
      <c r="B2292" s="563"/>
      <c r="C2292" s="450"/>
      <c r="L2292" s="452"/>
      <c r="M2292" s="527"/>
      <c r="N2292" s="449"/>
      <c r="O2292" s="536"/>
      <c r="Q2292" s="469"/>
      <c r="R2292" s="512" t="str">
        <f t="shared" si="167"/>
        <v>DELETE</v>
      </c>
    </row>
    <row r="2293" spans="2:18" ht="9" customHeight="1" thickTop="1" x14ac:dyDescent="0.45">
      <c r="B2293" s="563"/>
      <c r="C2293" s="450"/>
      <c r="L2293" s="452"/>
      <c r="M2293" s="527"/>
      <c r="N2293" s="449"/>
      <c r="O2293" s="548"/>
      <c r="Q2293" s="469"/>
      <c r="R2293" s="512" t="str">
        <f t="shared" si="167"/>
        <v>DELETE</v>
      </c>
    </row>
    <row r="2294" spans="2:18" ht="31.5" customHeight="1" x14ac:dyDescent="0.45">
      <c r="B2294" s="563"/>
      <c r="C2294" s="450"/>
      <c r="L2294" s="452"/>
      <c r="M2294" s="527"/>
      <c r="N2294" s="449"/>
      <c r="O2294" s="531"/>
      <c r="Q2294" s="469"/>
      <c r="R2294" s="512" t="str">
        <f t="shared" si="167"/>
        <v>DELETE</v>
      </c>
    </row>
    <row r="2295" spans="2:18" ht="31.5" customHeight="1" x14ac:dyDescent="0.45">
      <c r="B2295" s="563"/>
      <c r="C2295" s="450"/>
      <c r="M2295" s="531"/>
      <c r="N2295" s="470"/>
      <c r="O2295" s="531"/>
      <c r="Q2295" s="469"/>
      <c r="R2295" s="512" t="str">
        <f t="shared" si="167"/>
        <v>DELETE</v>
      </c>
    </row>
    <row r="2296" spans="2:18" ht="31.5" customHeight="1" x14ac:dyDescent="0.45">
      <c r="B2296" s="564"/>
      <c r="C2296" s="502"/>
      <c r="D2296" s="461"/>
      <c r="E2296" s="461"/>
      <c r="F2296" s="461"/>
      <c r="G2296" s="461"/>
      <c r="H2296" s="461"/>
      <c r="I2296" s="461"/>
      <c r="J2296" s="461"/>
      <c r="K2296" s="461"/>
      <c r="L2296" s="461"/>
      <c r="M2296" s="535"/>
      <c r="N2296" s="473"/>
      <c r="O2296" s="535"/>
      <c r="P2296" s="631"/>
      <c r="Q2296" s="479"/>
      <c r="R2296" s="512" t="str">
        <f t="shared" si="167"/>
        <v>DELETE</v>
      </c>
    </row>
    <row r="2297" spans="2:18" ht="31.5" customHeight="1" x14ac:dyDescent="0.45">
      <c r="B2297" s="527"/>
      <c r="M2297" s="635"/>
      <c r="N2297" s="621"/>
      <c r="O2297" s="635"/>
      <c r="R2297" s="512" t="str">
        <f t="shared" si="167"/>
        <v>DELETE</v>
      </c>
    </row>
    <row r="2298" spans="2:18" ht="31.5" customHeight="1" x14ac:dyDescent="0.45">
      <c r="B2298" s="527"/>
      <c r="M2298" s="635"/>
      <c r="N2298" s="621"/>
      <c r="O2298" s="635"/>
      <c r="R2298" s="512" t="str">
        <f>R$2314</f>
        <v>DELETE</v>
      </c>
    </row>
    <row r="2299" spans="2:18" ht="31.5" customHeight="1" x14ac:dyDescent="0.45">
      <c r="B2299" s="527"/>
      <c r="D2299" s="450" t="str">
        <f>Criteria!E9</f>
        <v>ABC COMPANY (PROPRIETARY) LIMITED</v>
      </c>
      <c r="M2299" s="635"/>
      <c r="N2299" s="621"/>
      <c r="O2299" s="531" t="s">
        <v>121</v>
      </c>
      <c r="Q2299" s="451">
        <f>MAX($Q$114:Q2298)+1</f>
        <v>56</v>
      </c>
      <c r="R2299" s="512" t="str">
        <f t="shared" ref="R2299:R2308" si="169">R$2314</f>
        <v>DELETE</v>
      </c>
    </row>
    <row r="2300" spans="2:18" ht="31.5" customHeight="1" x14ac:dyDescent="0.45">
      <c r="B2300" s="527"/>
      <c r="D2300" s="450" t="str">
        <f>Criteria!E10</f>
        <v>T/A SEAFRONT HOTEL, SEAFRONT RESTAURANT AND RENTAL PROPERTIES</v>
      </c>
      <c r="M2300" s="635"/>
      <c r="N2300" s="621"/>
      <c r="O2300" s="635"/>
      <c r="R2300" s="512" t="str">
        <f>IF(R$2314="DELETE","DELETE",IF(D2300=0,"DELETE"," "))</f>
        <v>DELETE</v>
      </c>
    </row>
    <row r="2301" spans="2:18" ht="31.5" customHeight="1" x14ac:dyDescent="0.45">
      <c r="B2301" s="527"/>
      <c r="M2301" s="635"/>
      <c r="N2301" s="621"/>
      <c r="O2301" s="635"/>
      <c r="R2301" s="512" t="str">
        <f t="shared" si="169"/>
        <v>DELETE</v>
      </c>
    </row>
    <row r="2302" spans="2:18" ht="31.5" customHeight="1" x14ac:dyDescent="0.45">
      <c r="B2302" s="527"/>
      <c r="D2302" s="450" t="s">
        <v>451</v>
      </c>
      <c r="M2302" s="635"/>
      <c r="N2302" s="621"/>
      <c r="O2302" s="635"/>
      <c r="R2302" s="512" t="str">
        <f t="shared" si="169"/>
        <v>DELETE</v>
      </c>
    </row>
    <row r="2303" spans="2:18" ht="31.5" customHeight="1" x14ac:dyDescent="0.45">
      <c r="B2303" s="527"/>
      <c r="D2303" s="450" t="str">
        <f>Criteria!E20</f>
        <v>29 FEBRUARY 2024</v>
      </c>
      <c r="J2303" s="449" t="s">
        <v>303</v>
      </c>
      <c r="M2303" s="635"/>
      <c r="N2303" s="621"/>
      <c r="O2303" s="635"/>
      <c r="R2303" s="512" t="str">
        <f t="shared" si="169"/>
        <v>DELETE</v>
      </c>
    </row>
    <row r="2304" spans="2:18" ht="31.5" customHeight="1" x14ac:dyDescent="0.45">
      <c r="B2304" s="527"/>
      <c r="D2304" s="450"/>
      <c r="M2304" s="635"/>
      <c r="N2304" s="621"/>
      <c r="O2304" s="635"/>
      <c r="R2304" s="512" t="str">
        <f t="shared" si="169"/>
        <v>DELETE</v>
      </c>
    </row>
    <row r="2305" spans="2:22" ht="31.5" customHeight="1" x14ac:dyDescent="0.45">
      <c r="B2305" s="565"/>
      <c r="C2305" s="503"/>
      <c r="D2305" s="466"/>
      <c r="E2305" s="466"/>
      <c r="F2305" s="466"/>
      <c r="G2305" s="466"/>
      <c r="H2305" s="466"/>
      <c r="I2305" s="466"/>
      <c r="J2305" s="466"/>
      <c r="K2305" s="466"/>
      <c r="L2305" s="466"/>
      <c r="M2305" s="546"/>
      <c r="N2305" s="471"/>
      <c r="O2305" s="546"/>
      <c r="P2305" s="643"/>
      <c r="Q2305" s="467"/>
      <c r="R2305" s="512" t="str">
        <f t="shared" si="169"/>
        <v>DELETE</v>
      </c>
    </row>
    <row r="2306" spans="2:22" ht="31.5" customHeight="1" x14ac:dyDescent="0.45">
      <c r="B2306" s="563"/>
      <c r="C2306" s="450"/>
      <c r="L2306" s="452"/>
      <c r="M2306" s="527"/>
      <c r="N2306" s="449"/>
      <c r="O2306" s="525">
        <f>Criteria!E22</f>
        <v>2024</v>
      </c>
      <c r="Q2306" s="469"/>
      <c r="R2306" s="512" t="str">
        <f t="shared" si="169"/>
        <v>DELETE</v>
      </c>
    </row>
    <row r="2307" spans="2:22" ht="31.5" customHeight="1" x14ac:dyDescent="0.45">
      <c r="B2307" s="563"/>
      <c r="C2307" s="450"/>
      <c r="L2307" s="452"/>
      <c r="M2307" s="527"/>
      <c r="N2307" s="449"/>
      <c r="O2307" s="531"/>
      <c r="Q2307" s="469"/>
      <c r="R2307" s="512" t="str">
        <f t="shared" si="169"/>
        <v>DELETE</v>
      </c>
    </row>
    <row r="2308" spans="2:22" ht="31.5" customHeight="1" x14ac:dyDescent="0.45">
      <c r="B2308" s="563">
        <f>MAX($B$804:B2307)+1</f>
        <v>27</v>
      </c>
      <c r="C2308" s="450" t="str">
        <f>IF(COUNTIF(TrialBalance!L374:L376,"&lt;0")&gt;1,"SHORT TERM LOANS","SHORT TERM LOAN")</f>
        <v>SHORT TERM LOAN</v>
      </c>
      <c r="L2308" s="452"/>
      <c r="M2308" s="527"/>
      <c r="N2308" s="449"/>
      <c r="O2308" s="531"/>
      <c r="Q2308" s="469"/>
      <c r="R2308" s="512" t="str">
        <f t="shared" si="169"/>
        <v>DELETE</v>
      </c>
    </row>
    <row r="2309" spans="2:22" ht="31.5" customHeight="1" x14ac:dyDescent="0.45">
      <c r="B2309" s="563"/>
      <c r="C2309" s="450"/>
      <c r="D2309" s="449">
        <f>TrialBalance!C374</f>
        <v>0</v>
      </c>
      <c r="L2309" s="452"/>
      <c r="M2309" s="527"/>
      <c r="N2309" s="449"/>
      <c r="O2309" s="531">
        <f>-TrialBalance!L374</f>
        <v>0</v>
      </c>
      <c r="Q2309" s="469"/>
      <c r="R2309" s="512" t="str">
        <f t="shared" ref="R2309:R2311" si="170">IF(O2309=0,"DELETE"," ")</f>
        <v>DELETE</v>
      </c>
      <c r="S2309" s="517"/>
      <c r="T2309" s="517"/>
      <c r="U2309" s="521"/>
      <c r="V2309" s="521"/>
    </row>
    <row r="2310" spans="2:22" ht="31.5" customHeight="1" x14ac:dyDescent="0.45">
      <c r="B2310" s="563"/>
      <c r="C2310" s="450"/>
      <c r="D2310" s="449">
        <f>TrialBalance!C375</f>
        <v>0</v>
      </c>
      <c r="L2310" s="452"/>
      <c r="M2310" s="527"/>
      <c r="N2310" s="449"/>
      <c r="O2310" s="531">
        <f>-TrialBalance!L375</f>
        <v>0</v>
      </c>
      <c r="Q2310" s="469"/>
      <c r="R2310" s="512" t="str">
        <f t="shared" si="170"/>
        <v>DELETE</v>
      </c>
      <c r="S2310" s="517"/>
      <c r="T2310" s="517"/>
      <c r="U2310" s="521"/>
      <c r="V2310" s="521"/>
    </row>
    <row r="2311" spans="2:22" ht="31.5" customHeight="1" x14ac:dyDescent="0.45">
      <c r="B2311" s="563"/>
      <c r="C2311" s="450"/>
      <c r="D2311" s="449">
        <f>TrialBalance!C376</f>
        <v>0</v>
      </c>
      <c r="L2311" s="452"/>
      <c r="M2311" s="527"/>
      <c r="N2311" s="449"/>
      <c r="O2311" s="531">
        <f>-TrialBalance!L376</f>
        <v>0</v>
      </c>
      <c r="Q2311" s="469"/>
      <c r="R2311" s="512" t="str">
        <f t="shared" si="170"/>
        <v>DELETE</v>
      </c>
      <c r="S2311" s="517"/>
      <c r="T2311" s="517"/>
      <c r="U2311" s="521"/>
      <c r="V2311" s="521"/>
    </row>
    <row r="2312" spans="2:22" ht="9" customHeight="1" x14ac:dyDescent="0.45">
      <c r="B2312" s="563"/>
      <c r="C2312" s="450"/>
      <c r="L2312" s="452"/>
      <c r="M2312" s="527"/>
      <c r="N2312" s="449"/>
      <c r="O2312" s="535"/>
      <c r="Q2312" s="469"/>
      <c r="R2312" s="512" t="str">
        <f t="shared" ref="R2312:R2320" si="171">R$2314</f>
        <v>DELETE</v>
      </c>
    </row>
    <row r="2313" spans="2:22" ht="9" customHeight="1" x14ac:dyDescent="0.45">
      <c r="B2313" s="563"/>
      <c r="C2313" s="450"/>
      <c r="L2313" s="452"/>
      <c r="M2313" s="527"/>
      <c r="N2313" s="449"/>
      <c r="O2313" s="531"/>
      <c r="Q2313" s="469"/>
      <c r="R2313" s="512" t="str">
        <f t="shared" si="171"/>
        <v>DELETE</v>
      </c>
    </row>
    <row r="2314" spans="2:22" ht="31.5" customHeight="1" x14ac:dyDescent="0.45">
      <c r="B2314" s="563"/>
      <c r="C2314" s="450"/>
      <c r="L2314" s="452"/>
      <c r="M2314" s="527"/>
      <c r="N2314" s="449"/>
      <c r="O2314" s="531">
        <f>SUM(O2309:O2313)</f>
        <v>0</v>
      </c>
      <c r="Q2314" s="469"/>
      <c r="R2314" s="512" t="str">
        <f t="shared" ref="R2314" si="172">IF(O2314=0,"DELETE"," ")</f>
        <v>DELETE</v>
      </c>
    </row>
    <row r="2315" spans="2:22" ht="9" customHeight="1" thickBot="1" x14ac:dyDescent="0.5">
      <c r="B2315" s="563"/>
      <c r="C2315" s="450"/>
      <c r="L2315" s="452"/>
      <c r="M2315" s="527"/>
      <c r="N2315" s="449"/>
      <c r="O2315" s="536"/>
      <c r="Q2315" s="469"/>
      <c r="R2315" s="512" t="str">
        <f t="shared" si="171"/>
        <v>DELETE</v>
      </c>
    </row>
    <row r="2316" spans="2:22" ht="9" customHeight="1" thickTop="1" x14ac:dyDescent="0.45">
      <c r="B2316" s="563"/>
      <c r="C2316" s="450"/>
      <c r="L2316" s="452"/>
      <c r="M2316" s="527"/>
      <c r="N2316" s="449"/>
      <c r="O2316" s="548"/>
      <c r="Q2316" s="469"/>
      <c r="R2316" s="512" t="str">
        <f t="shared" si="171"/>
        <v>DELETE</v>
      </c>
    </row>
    <row r="2317" spans="2:22" ht="31.5" customHeight="1" x14ac:dyDescent="0.45">
      <c r="B2317" s="563"/>
      <c r="C2317" s="450"/>
      <c r="L2317" s="452"/>
      <c r="M2317" s="527"/>
      <c r="N2317" s="449"/>
      <c r="O2317" s="531"/>
      <c r="Q2317" s="469"/>
      <c r="R2317" s="512" t="str">
        <f t="shared" si="171"/>
        <v>DELETE</v>
      </c>
    </row>
    <row r="2318" spans="2:22" ht="31.5" customHeight="1" x14ac:dyDescent="0.45">
      <c r="B2318" s="563"/>
      <c r="C2318" s="450"/>
      <c r="M2318" s="531"/>
      <c r="N2318" s="470"/>
      <c r="O2318" s="531"/>
      <c r="Q2318" s="469"/>
      <c r="R2318" s="512" t="str">
        <f t="shared" si="171"/>
        <v>DELETE</v>
      </c>
    </row>
    <row r="2319" spans="2:22" ht="31.5" customHeight="1" x14ac:dyDescent="0.45">
      <c r="B2319" s="564"/>
      <c r="C2319" s="502"/>
      <c r="D2319" s="461"/>
      <c r="E2319" s="461"/>
      <c r="F2319" s="461"/>
      <c r="G2319" s="461"/>
      <c r="H2319" s="461"/>
      <c r="I2319" s="461"/>
      <c r="J2319" s="461"/>
      <c r="K2319" s="461"/>
      <c r="L2319" s="461"/>
      <c r="M2319" s="535"/>
      <c r="N2319" s="473"/>
      <c r="O2319" s="535"/>
      <c r="P2319" s="631"/>
      <c r="Q2319" s="479"/>
      <c r="R2319" s="512" t="str">
        <f t="shared" si="171"/>
        <v>DELETE</v>
      </c>
    </row>
    <row r="2320" spans="2:22" ht="31.5" customHeight="1" x14ac:dyDescent="0.45">
      <c r="B2320" s="527"/>
      <c r="M2320" s="635"/>
      <c r="N2320" s="621"/>
      <c r="O2320" s="635"/>
      <c r="R2320" s="512" t="str">
        <f t="shared" si="171"/>
        <v>DELETE</v>
      </c>
    </row>
    <row r="2321" spans="2:18" ht="31.5" customHeight="1" x14ac:dyDescent="0.45">
      <c r="B2321" s="527"/>
      <c r="M2321" s="635"/>
      <c r="N2321" s="621"/>
      <c r="O2321" s="635"/>
      <c r="R2321" s="512" t="str">
        <f>R$2339</f>
        <v>DELETE</v>
      </c>
    </row>
    <row r="2322" spans="2:18" ht="31.5" customHeight="1" x14ac:dyDescent="0.45">
      <c r="B2322" s="527"/>
      <c r="D2322" s="450" t="str">
        <f>Criteria!E9</f>
        <v>ABC COMPANY (PROPRIETARY) LIMITED</v>
      </c>
      <c r="M2322" s="635"/>
      <c r="N2322" s="621"/>
      <c r="O2322" s="531" t="s">
        <v>121</v>
      </c>
      <c r="Q2322" s="451">
        <f>MAX($Q$114:Q2321)+1</f>
        <v>57</v>
      </c>
      <c r="R2322" s="512" t="str">
        <f t="shared" ref="R2322:R2331" si="173">R$2339</f>
        <v>DELETE</v>
      </c>
    </row>
    <row r="2323" spans="2:18" ht="31.5" customHeight="1" x14ac:dyDescent="0.45">
      <c r="B2323" s="527"/>
      <c r="D2323" s="450" t="str">
        <f>Criteria!E10</f>
        <v>T/A SEAFRONT HOTEL, SEAFRONT RESTAURANT AND RENTAL PROPERTIES</v>
      </c>
      <c r="M2323" s="635"/>
      <c r="N2323" s="621"/>
      <c r="O2323" s="635"/>
      <c r="R2323" s="512" t="str">
        <f>IF(R$2339="DELETE","DELETE",IF(D2323=0,"DELETE"," "))</f>
        <v>DELETE</v>
      </c>
    </row>
    <row r="2324" spans="2:18" ht="31.5" customHeight="1" x14ac:dyDescent="0.45">
      <c r="B2324" s="527"/>
      <c r="M2324" s="635"/>
      <c r="N2324" s="621"/>
      <c r="O2324" s="635"/>
      <c r="R2324" s="512" t="str">
        <f t="shared" si="173"/>
        <v>DELETE</v>
      </c>
    </row>
    <row r="2325" spans="2:18" ht="31.5" customHeight="1" x14ac:dyDescent="0.45">
      <c r="B2325" s="527"/>
      <c r="D2325" s="450" t="s">
        <v>451</v>
      </c>
      <c r="M2325" s="635"/>
      <c r="N2325" s="621"/>
      <c r="O2325" s="635"/>
      <c r="R2325" s="512" t="str">
        <f t="shared" si="173"/>
        <v>DELETE</v>
      </c>
    </row>
    <row r="2326" spans="2:18" ht="31.5" customHeight="1" x14ac:dyDescent="0.45">
      <c r="B2326" s="527"/>
      <c r="D2326" s="450" t="str">
        <f>Criteria!E20</f>
        <v>29 FEBRUARY 2024</v>
      </c>
      <c r="J2326" s="449" t="s">
        <v>303</v>
      </c>
      <c r="M2326" s="635"/>
      <c r="N2326" s="621"/>
      <c r="O2326" s="635"/>
      <c r="R2326" s="512" t="str">
        <f t="shared" si="173"/>
        <v>DELETE</v>
      </c>
    </row>
    <row r="2327" spans="2:18" ht="31.5" customHeight="1" x14ac:dyDescent="0.45">
      <c r="B2327" s="527"/>
      <c r="D2327" s="450"/>
      <c r="M2327" s="635"/>
      <c r="N2327" s="621"/>
      <c r="O2327" s="635"/>
      <c r="R2327" s="512" t="str">
        <f t="shared" si="173"/>
        <v>DELETE</v>
      </c>
    </row>
    <row r="2328" spans="2:18" ht="31.5" customHeight="1" x14ac:dyDescent="0.45">
      <c r="B2328" s="565"/>
      <c r="C2328" s="503"/>
      <c r="D2328" s="466"/>
      <c r="E2328" s="466"/>
      <c r="F2328" s="466"/>
      <c r="G2328" s="466"/>
      <c r="H2328" s="466"/>
      <c r="I2328" s="466"/>
      <c r="J2328" s="466"/>
      <c r="K2328" s="466"/>
      <c r="L2328" s="466"/>
      <c r="M2328" s="546"/>
      <c r="N2328" s="471"/>
      <c r="O2328" s="546"/>
      <c r="P2328" s="643"/>
      <c r="Q2328" s="467"/>
      <c r="R2328" s="512" t="str">
        <f t="shared" si="173"/>
        <v>DELETE</v>
      </c>
    </row>
    <row r="2329" spans="2:18" ht="31.5" customHeight="1" x14ac:dyDescent="0.45">
      <c r="B2329" s="563"/>
      <c r="C2329" s="450"/>
      <c r="L2329" s="452"/>
      <c r="M2329" s="527"/>
      <c r="N2329" s="449"/>
      <c r="O2329" s="525">
        <f>Criteria!E22</f>
        <v>2024</v>
      </c>
      <c r="Q2329" s="469"/>
      <c r="R2329" s="512" t="str">
        <f t="shared" si="173"/>
        <v>DELETE</v>
      </c>
    </row>
    <row r="2330" spans="2:18" ht="31.5" customHeight="1" x14ac:dyDescent="0.45">
      <c r="B2330" s="563"/>
      <c r="C2330" s="450"/>
      <c r="L2330" s="452"/>
      <c r="M2330" s="527"/>
      <c r="N2330" s="449"/>
      <c r="O2330" s="531"/>
      <c r="Q2330" s="469"/>
      <c r="R2330" s="512" t="str">
        <f t="shared" si="173"/>
        <v>DELETE</v>
      </c>
    </row>
    <row r="2331" spans="2:18" ht="31.5" customHeight="1" x14ac:dyDescent="0.45">
      <c r="B2331" s="563">
        <f>MAX($B$804:B2330)+1</f>
        <v>28</v>
      </c>
      <c r="C2331" s="450" t="str">
        <f>IF(COUNTIF(TrialBalance!L392:L396,"&lt;0")&gt;1,"PROVISIONS","PROVISION")</f>
        <v>PROVISION</v>
      </c>
      <c r="L2331" s="452"/>
      <c r="M2331" s="527"/>
      <c r="N2331" s="449"/>
      <c r="O2331" s="531"/>
      <c r="Q2331" s="469"/>
      <c r="R2331" s="512" t="str">
        <f t="shared" si="173"/>
        <v>DELETE</v>
      </c>
    </row>
    <row r="2332" spans="2:18" ht="31.5" customHeight="1" x14ac:dyDescent="0.45">
      <c r="B2332" s="563"/>
      <c r="C2332" s="450"/>
      <c r="D2332" s="449" t="str">
        <f>TrialBalance!C392</f>
        <v>Dividends' tax provision</v>
      </c>
      <c r="L2332" s="452"/>
      <c r="M2332" s="527"/>
      <c r="N2332" s="449"/>
      <c r="O2332" s="531">
        <f>-TrialBalance!L392</f>
        <v>0</v>
      </c>
      <c r="Q2332" s="469"/>
      <c r="R2332" s="512" t="str">
        <f t="shared" ref="R2332:R2336" si="174">IF(O2332=0,"DELETE"," ")</f>
        <v>DELETE</v>
      </c>
    </row>
    <row r="2333" spans="2:18" ht="31.5" customHeight="1" x14ac:dyDescent="0.45">
      <c r="B2333" s="563"/>
      <c r="C2333" s="450"/>
      <c r="D2333" s="449" t="str">
        <f>TrialBalance!C393</f>
        <v>Dividends payable</v>
      </c>
      <c r="L2333" s="452"/>
      <c r="M2333" s="527"/>
      <c r="N2333" s="449"/>
      <c r="O2333" s="531">
        <f>-TrialBalance!L393</f>
        <v>0</v>
      </c>
      <c r="Q2333" s="469"/>
      <c r="R2333" s="512" t="str">
        <f t="shared" si="174"/>
        <v>DELETE</v>
      </c>
    </row>
    <row r="2334" spans="2:18" ht="31.5" customHeight="1" x14ac:dyDescent="0.45">
      <c r="B2334" s="563"/>
      <c r="C2334" s="450"/>
      <c r="D2334" s="449" t="str">
        <f>TrialBalance!C394</f>
        <v>Provision for future expenses</v>
      </c>
      <c r="L2334" s="452"/>
      <c r="M2334" s="527"/>
      <c r="N2334" s="449"/>
      <c r="O2334" s="531">
        <f>-TrialBalance!L394</f>
        <v>0</v>
      </c>
      <c r="Q2334" s="469"/>
      <c r="R2334" s="512" t="str">
        <f t="shared" si="174"/>
        <v>DELETE</v>
      </c>
    </row>
    <row r="2335" spans="2:18" ht="31.5" customHeight="1" x14ac:dyDescent="0.45">
      <c r="B2335" s="563"/>
      <c r="C2335" s="450"/>
      <c r="D2335" s="449" t="str">
        <f>TrialBalance!C395</f>
        <v>Provision for insurance</v>
      </c>
      <c r="L2335" s="452"/>
      <c r="M2335" s="527"/>
      <c r="N2335" s="449"/>
      <c r="O2335" s="531">
        <f>-TrialBalance!L395</f>
        <v>0</v>
      </c>
      <c r="Q2335" s="469"/>
      <c r="R2335" s="512" t="str">
        <f t="shared" si="174"/>
        <v>DELETE</v>
      </c>
    </row>
    <row r="2336" spans="2:18" ht="31.5" customHeight="1" x14ac:dyDescent="0.45">
      <c r="B2336" s="563"/>
      <c r="C2336" s="450"/>
      <c r="D2336" s="449" t="str">
        <f>TrialBalance!C396</f>
        <v>Provision for salary bonus</v>
      </c>
      <c r="L2336" s="452"/>
      <c r="M2336" s="527"/>
      <c r="N2336" s="449"/>
      <c r="O2336" s="531">
        <f>-TrialBalance!L396</f>
        <v>0</v>
      </c>
      <c r="Q2336" s="469"/>
      <c r="R2336" s="512" t="str">
        <f t="shared" si="174"/>
        <v>DELETE</v>
      </c>
    </row>
    <row r="2337" spans="2:18" ht="9" customHeight="1" x14ac:dyDescent="0.45">
      <c r="B2337" s="563"/>
      <c r="C2337" s="450"/>
      <c r="L2337" s="452"/>
      <c r="M2337" s="527"/>
      <c r="N2337" s="449"/>
      <c r="O2337" s="535"/>
      <c r="Q2337" s="469"/>
      <c r="R2337" s="512" t="str">
        <f t="shared" ref="R2337:R2345" si="175">R$2339</f>
        <v>DELETE</v>
      </c>
    </row>
    <row r="2338" spans="2:18" ht="9" customHeight="1" x14ac:dyDescent="0.45">
      <c r="B2338" s="563"/>
      <c r="C2338" s="450"/>
      <c r="L2338" s="452"/>
      <c r="M2338" s="527"/>
      <c r="N2338" s="449"/>
      <c r="O2338" s="531"/>
      <c r="Q2338" s="469"/>
      <c r="R2338" s="512" t="str">
        <f t="shared" si="175"/>
        <v>DELETE</v>
      </c>
    </row>
    <row r="2339" spans="2:18" ht="31.5" customHeight="1" x14ac:dyDescent="0.45">
      <c r="B2339" s="563"/>
      <c r="C2339" s="450"/>
      <c r="L2339" s="452"/>
      <c r="M2339" s="527"/>
      <c r="N2339" s="449"/>
      <c r="O2339" s="531">
        <f>SUM(O2332:O2338)</f>
        <v>0</v>
      </c>
      <c r="Q2339" s="469"/>
      <c r="R2339" s="512" t="str">
        <f t="shared" ref="R2339" si="176">IF(O2339=0,"DELETE"," ")</f>
        <v>DELETE</v>
      </c>
    </row>
    <row r="2340" spans="2:18" ht="9" customHeight="1" thickBot="1" x14ac:dyDescent="0.5">
      <c r="B2340" s="563"/>
      <c r="C2340" s="450"/>
      <c r="L2340" s="452"/>
      <c r="M2340" s="527"/>
      <c r="N2340" s="449"/>
      <c r="O2340" s="536"/>
      <c r="Q2340" s="469"/>
      <c r="R2340" s="512" t="str">
        <f t="shared" si="175"/>
        <v>DELETE</v>
      </c>
    </row>
    <row r="2341" spans="2:18" ht="9" customHeight="1" thickTop="1" x14ac:dyDescent="0.45">
      <c r="B2341" s="563"/>
      <c r="C2341" s="450"/>
      <c r="L2341" s="452"/>
      <c r="M2341" s="527"/>
      <c r="N2341" s="449"/>
      <c r="O2341" s="548"/>
      <c r="Q2341" s="469"/>
      <c r="R2341" s="512" t="str">
        <f t="shared" si="175"/>
        <v>DELETE</v>
      </c>
    </row>
    <row r="2342" spans="2:18" ht="31.5" customHeight="1" x14ac:dyDescent="0.45">
      <c r="B2342" s="563"/>
      <c r="C2342" s="450"/>
      <c r="L2342" s="452"/>
      <c r="M2342" s="527"/>
      <c r="N2342" s="449"/>
      <c r="O2342" s="531"/>
      <c r="Q2342" s="469"/>
      <c r="R2342" s="512" t="str">
        <f t="shared" si="175"/>
        <v>DELETE</v>
      </c>
    </row>
    <row r="2343" spans="2:18" ht="31.5" customHeight="1" x14ac:dyDescent="0.45">
      <c r="B2343" s="563"/>
      <c r="C2343" s="450"/>
      <c r="M2343" s="531"/>
      <c r="N2343" s="470"/>
      <c r="O2343" s="531"/>
      <c r="Q2343" s="469"/>
      <c r="R2343" s="512" t="str">
        <f t="shared" si="175"/>
        <v>DELETE</v>
      </c>
    </row>
    <row r="2344" spans="2:18" ht="31.5" customHeight="1" x14ac:dyDescent="0.45">
      <c r="B2344" s="564"/>
      <c r="C2344" s="502"/>
      <c r="D2344" s="461"/>
      <c r="E2344" s="461"/>
      <c r="F2344" s="461"/>
      <c r="G2344" s="461"/>
      <c r="H2344" s="461"/>
      <c r="I2344" s="461"/>
      <c r="J2344" s="461"/>
      <c r="K2344" s="461"/>
      <c r="L2344" s="461"/>
      <c r="M2344" s="535"/>
      <c r="N2344" s="473"/>
      <c r="O2344" s="535"/>
      <c r="P2344" s="631"/>
      <c r="Q2344" s="479"/>
      <c r="R2344" s="512" t="str">
        <f t="shared" si="175"/>
        <v>DELETE</v>
      </c>
    </row>
    <row r="2345" spans="2:18" ht="31.5" customHeight="1" x14ac:dyDescent="0.45">
      <c r="B2345" s="526"/>
      <c r="C2345" s="450"/>
      <c r="M2345" s="531"/>
      <c r="N2345" s="470"/>
      <c r="O2345" s="531"/>
      <c r="R2345" s="512" t="str">
        <f t="shared" si="175"/>
        <v>DELETE</v>
      </c>
    </row>
    <row r="2346" spans="2:18" ht="31.5" customHeight="1" x14ac:dyDescent="0.45">
      <c r="B2346" s="526"/>
      <c r="C2346" s="450"/>
      <c r="M2346" s="531"/>
      <c r="N2346" s="470"/>
      <c r="O2346" s="531"/>
      <c r="R2346" s="512" t="str">
        <f t="shared" ref="R2346:R2356" si="177">R$2366</f>
        <v>DELETE</v>
      </c>
    </row>
    <row r="2347" spans="2:18" ht="31.5" customHeight="1" x14ac:dyDescent="0.45">
      <c r="B2347" s="526"/>
      <c r="C2347" s="450"/>
      <c r="D2347" s="450" t="str">
        <f>Criteria!E9</f>
        <v>ABC COMPANY (PROPRIETARY) LIMITED</v>
      </c>
      <c r="M2347" s="635"/>
      <c r="N2347" s="621"/>
      <c r="O2347" s="531" t="s">
        <v>121</v>
      </c>
      <c r="Q2347" s="451">
        <f>MAX($Q$114:Q2346)+1</f>
        <v>58</v>
      </c>
      <c r="R2347" s="512" t="str">
        <f t="shared" si="177"/>
        <v>DELETE</v>
      </c>
    </row>
    <row r="2348" spans="2:18" ht="31.5" customHeight="1" x14ac:dyDescent="0.45">
      <c r="B2348" s="526"/>
      <c r="C2348" s="450"/>
      <c r="D2348" s="450" t="str">
        <f>Criteria!E10</f>
        <v>T/A SEAFRONT HOTEL, SEAFRONT RESTAURANT AND RENTAL PROPERTIES</v>
      </c>
      <c r="M2348" s="635"/>
      <c r="N2348" s="621"/>
      <c r="O2348" s="635"/>
      <c r="R2348" s="512" t="str">
        <f>IF(R$2366="DELETE","DELETE",IF(D2348=0,"DELETE"," "))</f>
        <v>DELETE</v>
      </c>
    </row>
    <row r="2349" spans="2:18" ht="31.5" customHeight="1" x14ac:dyDescent="0.45">
      <c r="B2349" s="526"/>
      <c r="C2349" s="450"/>
      <c r="M2349" s="635"/>
      <c r="N2349" s="621"/>
      <c r="O2349" s="635"/>
      <c r="R2349" s="512" t="str">
        <f t="shared" si="177"/>
        <v>DELETE</v>
      </c>
    </row>
    <row r="2350" spans="2:18" ht="31.5" customHeight="1" x14ac:dyDescent="0.45">
      <c r="B2350" s="526"/>
      <c r="C2350" s="450"/>
      <c r="D2350" s="450" t="s">
        <v>451</v>
      </c>
      <c r="M2350" s="635"/>
      <c r="N2350" s="621"/>
      <c r="O2350" s="635"/>
      <c r="R2350" s="512" t="str">
        <f t="shared" si="177"/>
        <v>DELETE</v>
      </c>
    </row>
    <row r="2351" spans="2:18" ht="31.5" customHeight="1" x14ac:dyDescent="0.45">
      <c r="B2351" s="526"/>
      <c r="C2351" s="450"/>
      <c r="D2351" s="450" t="str">
        <f>Criteria!E20</f>
        <v>29 FEBRUARY 2024</v>
      </c>
      <c r="J2351" s="449" t="s">
        <v>303</v>
      </c>
      <c r="M2351" s="635"/>
      <c r="N2351" s="621"/>
      <c r="O2351" s="635"/>
      <c r="R2351" s="512" t="str">
        <f t="shared" si="177"/>
        <v>DELETE</v>
      </c>
    </row>
    <row r="2352" spans="2:18" ht="31.5" customHeight="1" x14ac:dyDescent="0.45">
      <c r="B2352" s="526"/>
      <c r="C2352" s="450"/>
      <c r="M2352" s="531"/>
      <c r="N2352" s="470"/>
      <c r="O2352" s="531"/>
      <c r="R2352" s="512" t="str">
        <f t="shared" si="177"/>
        <v>DELETE</v>
      </c>
    </row>
    <row r="2353" spans="2:23" ht="31.5" customHeight="1" x14ac:dyDescent="0.45">
      <c r="B2353" s="565"/>
      <c r="C2353" s="503"/>
      <c r="D2353" s="466"/>
      <c r="E2353" s="466"/>
      <c r="F2353" s="466"/>
      <c r="G2353" s="466"/>
      <c r="H2353" s="466"/>
      <c r="I2353" s="466"/>
      <c r="J2353" s="466"/>
      <c r="K2353" s="466"/>
      <c r="L2353" s="466"/>
      <c r="M2353" s="546"/>
      <c r="N2353" s="471"/>
      <c r="O2353" s="546"/>
      <c r="P2353" s="643"/>
      <c r="Q2353" s="467"/>
      <c r="R2353" s="512" t="str">
        <f t="shared" si="177"/>
        <v>DELETE</v>
      </c>
    </row>
    <row r="2354" spans="2:23" ht="31.5" customHeight="1" x14ac:dyDescent="0.45">
      <c r="B2354" s="563"/>
      <c r="C2354" s="450"/>
      <c r="M2354" s="548"/>
      <c r="N2354" s="491"/>
      <c r="O2354" s="525">
        <f>Criteria!E22</f>
        <v>2024</v>
      </c>
      <c r="P2354" s="634"/>
      <c r="Q2354" s="469"/>
      <c r="R2354" s="512" t="str">
        <f t="shared" si="177"/>
        <v>DELETE</v>
      </c>
    </row>
    <row r="2355" spans="2:23" ht="31.5" customHeight="1" x14ac:dyDescent="0.45">
      <c r="B2355" s="563"/>
      <c r="C2355" s="450"/>
      <c r="M2355" s="548"/>
      <c r="N2355" s="491"/>
      <c r="O2355" s="548"/>
      <c r="P2355" s="634"/>
      <c r="Q2355" s="469"/>
      <c r="R2355" s="512" t="str">
        <f t="shared" si="177"/>
        <v>DELETE</v>
      </c>
    </row>
    <row r="2356" spans="2:23" ht="31.5" customHeight="1" x14ac:dyDescent="0.45">
      <c r="B2356" s="563">
        <f>MAX($B$804:B2355)+1</f>
        <v>29</v>
      </c>
      <c r="C2356" s="492" t="str">
        <f>IF(W2366=2,"CURRENT TAX LIABILITY","CURRENT TAX ASSET")</f>
        <v>CURRENT TAX LIABILITY</v>
      </c>
      <c r="D2356" s="452"/>
      <c r="M2356" s="491"/>
      <c r="N2356" s="491"/>
      <c r="O2356" s="548"/>
      <c r="P2356" s="634"/>
      <c r="Q2356" s="469"/>
      <c r="R2356" s="512" t="str">
        <f t="shared" si="177"/>
        <v>DELETE</v>
      </c>
    </row>
    <row r="2357" spans="2:23" ht="31.5" customHeight="1" x14ac:dyDescent="0.45">
      <c r="B2357" s="563"/>
      <c r="C2357" s="450"/>
      <c r="D2357" s="463" t="str">
        <f>IF(W2357=2,"Current tax liability at the beginning of the year","Current tax asset at the beginning of the year")</f>
        <v>Current tax liability at the beginning of the year</v>
      </c>
      <c r="M2357" s="491"/>
      <c r="N2357" s="491"/>
      <c r="O2357" s="548">
        <f>-TrialBalance!L385</f>
        <v>0</v>
      </c>
      <c r="P2357" s="634"/>
      <c r="Q2357" s="469"/>
      <c r="R2357" s="512" t="str">
        <f>IF(O2357=0,"DELETE"," ")</f>
        <v>DELETE</v>
      </c>
      <c r="W2357" s="513">
        <f>IF(O2357&lt;0,1,2)</f>
        <v>2</v>
      </c>
    </row>
    <row r="2358" spans="2:23" ht="31.5" customHeight="1" x14ac:dyDescent="0.45">
      <c r="B2358" s="563"/>
      <c r="C2358" s="450"/>
      <c r="D2358" s="449" t="s">
        <v>1689</v>
      </c>
      <c r="M2358" s="491"/>
      <c r="N2358" s="491"/>
      <c r="O2358" s="548">
        <f>-TrialBalance!L386</f>
        <v>0</v>
      </c>
      <c r="P2358" s="634"/>
      <c r="Q2358" s="469"/>
      <c r="R2358" s="512" t="str">
        <f t="shared" ref="R2358:R2362" si="178">IF(O2358=0,"DELETE"," ")</f>
        <v>DELETE</v>
      </c>
      <c r="U2358" s="513" t="b">
        <f>O2358=O1317</f>
        <v>1</v>
      </c>
    </row>
    <row r="2359" spans="2:23" ht="31.5" customHeight="1" x14ac:dyDescent="0.45">
      <c r="B2359" s="563"/>
      <c r="C2359" s="450"/>
      <c r="D2359" s="449" t="s">
        <v>1690</v>
      </c>
      <c r="M2359" s="491"/>
      <c r="N2359" s="491"/>
      <c r="O2359" s="548">
        <f>-TrialBalance!L387</f>
        <v>0</v>
      </c>
      <c r="P2359" s="634"/>
      <c r="Q2359" s="469"/>
      <c r="R2359" s="512" t="str">
        <f t="shared" si="178"/>
        <v>DELETE</v>
      </c>
      <c r="U2359" s="513" t="b">
        <f>O2359=O1318</f>
        <v>1</v>
      </c>
    </row>
    <row r="2360" spans="2:23" ht="31.5" customHeight="1" x14ac:dyDescent="0.45">
      <c r="B2360" s="563"/>
      <c r="C2360" s="450"/>
      <c r="D2360" s="449" t="s">
        <v>1691</v>
      </c>
      <c r="M2360" s="491"/>
      <c r="N2360" s="491"/>
      <c r="O2360" s="548">
        <f>-TrialBalance!L388</f>
        <v>0</v>
      </c>
      <c r="P2360" s="634"/>
      <c r="Q2360" s="469"/>
      <c r="R2360" s="512" t="str">
        <f t="shared" si="178"/>
        <v>DELETE</v>
      </c>
    </row>
    <row r="2361" spans="2:23" ht="31.5" customHeight="1" x14ac:dyDescent="0.45">
      <c r="B2361" s="563"/>
      <c r="C2361" s="450"/>
      <c r="D2361" s="449" t="s">
        <v>1692</v>
      </c>
      <c r="M2361" s="491"/>
      <c r="N2361" s="491"/>
      <c r="O2361" s="548">
        <f>-TrialBalance!L389</f>
        <v>0</v>
      </c>
      <c r="P2361" s="634"/>
      <c r="Q2361" s="469"/>
      <c r="R2361" s="512" t="str">
        <f t="shared" si="178"/>
        <v>DELETE</v>
      </c>
    </row>
    <row r="2362" spans="2:23" ht="31.5" customHeight="1" x14ac:dyDescent="0.45">
      <c r="B2362" s="563"/>
      <c r="C2362" s="450"/>
      <c r="D2362" s="449" t="s">
        <v>1693</v>
      </c>
      <c r="M2362" s="491"/>
      <c r="N2362" s="491"/>
      <c r="O2362" s="548">
        <f>-TrialBalance!L390</f>
        <v>0</v>
      </c>
      <c r="P2362" s="634"/>
      <c r="Q2362" s="469"/>
      <c r="R2362" s="512" t="str">
        <f t="shared" si="178"/>
        <v>DELETE</v>
      </c>
    </row>
    <row r="2363" spans="2:23" ht="31.5" customHeight="1" x14ac:dyDescent="0.45">
      <c r="B2363" s="563"/>
      <c r="C2363" s="450"/>
      <c r="D2363" s="449" t="s">
        <v>1694</v>
      </c>
      <c r="M2363" s="491"/>
      <c r="N2363" s="491"/>
      <c r="O2363" s="548">
        <f>-TrialBalance!L391</f>
        <v>0</v>
      </c>
      <c r="P2363" s="634"/>
      <c r="Q2363" s="469"/>
      <c r="R2363" s="512" t="str">
        <f>IF(O2363=0,"DELETE"," ")</f>
        <v>DELETE</v>
      </c>
    </row>
    <row r="2364" spans="2:23" ht="9" customHeight="1" x14ac:dyDescent="0.45">
      <c r="B2364" s="563"/>
      <c r="C2364" s="450"/>
      <c r="M2364" s="491"/>
      <c r="N2364" s="491"/>
      <c r="O2364" s="535"/>
      <c r="P2364" s="634"/>
      <c r="Q2364" s="469"/>
      <c r="R2364" s="512" t="str">
        <f>R$2366</f>
        <v>DELETE</v>
      </c>
    </row>
    <row r="2365" spans="2:23" ht="9" customHeight="1" x14ac:dyDescent="0.45">
      <c r="B2365" s="563"/>
      <c r="C2365" s="450"/>
      <c r="M2365" s="491"/>
      <c r="N2365" s="491"/>
      <c r="O2365" s="548"/>
      <c r="P2365" s="634"/>
      <c r="Q2365" s="469"/>
      <c r="R2365" s="512" t="str">
        <f>R$2366</f>
        <v>DELETE</v>
      </c>
    </row>
    <row r="2366" spans="2:23" ht="31.5" customHeight="1" x14ac:dyDescent="0.45">
      <c r="B2366" s="563"/>
      <c r="C2366" s="450"/>
      <c r="D2366" s="463" t="str">
        <f>IF(W2366=2,"Current tax liability at the end of the year","Current tax asset at the end of the year")</f>
        <v>Current tax liability at the end of the year</v>
      </c>
      <c r="M2366" s="491"/>
      <c r="N2366" s="491"/>
      <c r="O2366" s="548">
        <f>SUM(O2357:O2364)</f>
        <v>0</v>
      </c>
      <c r="P2366" s="634"/>
      <c r="Q2366" s="469"/>
      <c r="R2366" s="512" t="str">
        <f>IF(O2366=0,IF(COUNTIF(O2357:O2363,"&gt;0")&gt;0," ","DELETE")," ")</f>
        <v>DELETE</v>
      </c>
      <c r="W2366" s="513">
        <f>IF(O2366&lt;0,1,2)</f>
        <v>2</v>
      </c>
    </row>
    <row r="2367" spans="2:23" ht="9" customHeight="1" thickBot="1" x14ac:dyDescent="0.5">
      <c r="B2367" s="563"/>
      <c r="C2367" s="450"/>
      <c r="M2367" s="491"/>
      <c r="N2367" s="491"/>
      <c r="O2367" s="536"/>
      <c r="P2367" s="634"/>
      <c r="Q2367" s="469"/>
      <c r="R2367" s="512" t="str">
        <f t="shared" ref="R2367:R2372" si="179">R$2366</f>
        <v>DELETE</v>
      </c>
    </row>
    <row r="2368" spans="2:23" ht="9" customHeight="1" thickTop="1" x14ac:dyDescent="0.45">
      <c r="B2368" s="563"/>
      <c r="C2368" s="450"/>
      <c r="M2368" s="491"/>
      <c r="N2368" s="491"/>
      <c r="O2368" s="548"/>
      <c r="P2368" s="634"/>
      <c r="Q2368" s="469"/>
      <c r="R2368" s="512" t="str">
        <f t="shared" si="179"/>
        <v>DELETE</v>
      </c>
    </row>
    <row r="2369" spans="2:18" ht="31.5" customHeight="1" x14ac:dyDescent="0.45">
      <c r="B2369" s="563"/>
      <c r="C2369" s="450"/>
      <c r="M2369" s="548"/>
      <c r="N2369" s="491"/>
      <c r="O2369" s="548"/>
      <c r="P2369" s="634"/>
      <c r="Q2369" s="469"/>
      <c r="R2369" s="512" t="str">
        <f t="shared" si="179"/>
        <v>DELETE</v>
      </c>
    </row>
    <row r="2370" spans="2:18" ht="31.5" customHeight="1" x14ac:dyDescent="0.45">
      <c r="B2370" s="563"/>
      <c r="C2370" s="450"/>
      <c r="M2370" s="548"/>
      <c r="N2370" s="491"/>
      <c r="O2370" s="548"/>
      <c r="P2370" s="634"/>
      <c r="Q2370" s="469"/>
      <c r="R2370" s="512" t="str">
        <f t="shared" si="179"/>
        <v>DELETE</v>
      </c>
    </row>
    <row r="2371" spans="2:18" ht="31.5" customHeight="1" x14ac:dyDescent="0.45">
      <c r="B2371" s="564"/>
      <c r="C2371" s="502"/>
      <c r="D2371" s="461"/>
      <c r="E2371" s="461"/>
      <c r="F2371" s="461"/>
      <c r="G2371" s="461"/>
      <c r="H2371" s="461"/>
      <c r="I2371" s="461"/>
      <c r="J2371" s="461"/>
      <c r="K2371" s="461"/>
      <c r="L2371" s="461"/>
      <c r="M2371" s="535"/>
      <c r="N2371" s="473"/>
      <c r="O2371" s="535"/>
      <c r="P2371" s="631"/>
      <c r="Q2371" s="479"/>
      <c r="R2371" s="512" t="str">
        <f t="shared" si="179"/>
        <v>DELETE</v>
      </c>
    </row>
    <row r="2372" spans="2:18" ht="31.5" customHeight="1" x14ac:dyDescent="0.45">
      <c r="B2372" s="526"/>
      <c r="C2372" s="450"/>
      <c r="M2372" s="531"/>
      <c r="N2372" s="470"/>
      <c r="O2372" s="531"/>
      <c r="R2372" s="512" t="str">
        <f t="shared" si="179"/>
        <v>DELETE</v>
      </c>
    </row>
    <row r="2373" spans="2:18" ht="31.5" customHeight="1" x14ac:dyDescent="0.45">
      <c r="B2373" s="526"/>
      <c r="C2373" s="450"/>
      <c r="M2373" s="531"/>
      <c r="N2373" s="470"/>
      <c r="O2373" s="531"/>
      <c r="R2373" s="512" t="str">
        <f t="shared" ref="R2373:R2385" si="180">R$2391</f>
        <v>DELETE</v>
      </c>
    </row>
    <row r="2374" spans="2:18" ht="31.5" customHeight="1" x14ac:dyDescent="0.45">
      <c r="B2374" s="526"/>
      <c r="C2374" s="450"/>
      <c r="D2374" s="450" t="str">
        <f>Criteria!E9</f>
        <v>ABC COMPANY (PROPRIETARY) LIMITED</v>
      </c>
      <c r="M2374" s="635"/>
      <c r="N2374" s="621"/>
      <c r="O2374" s="531" t="s">
        <v>121</v>
      </c>
      <c r="Q2374" s="451">
        <f>MAX($Q$114:Q2373)+1</f>
        <v>59</v>
      </c>
      <c r="R2374" s="512" t="str">
        <f t="shared" si="180"/>
        <v>DELETE</v>
      </c>
    </row>
    <row r="2375" spans="2:18" ht="31.5" customHeight="1" x14ac:dyDescent="0.45">
      <c r="B2375" s="526"/>
      <c r="C2375" s="450"/>
      <c r="D2375" s="450" t="str">
        <f>Criteria!E10</f>
        <v>T/A SEAFRONT HOTEL, SEAFRONT RESTAURANT AND RENTAL PROPERTIES</v>
      </c>
      <c r="M2375" s="635"/>
      <c r="N2375" s="621"/>
      <c r="O2375" s="635"/>
      <c r="R2375" s="512" t="str">
        <f>IF(R$2391="DELETE","DELETE",IF(D2375=0,"DELETE"," "))</f>
        <v>DELETE</v>
      </c>
    </row>
    <row r="2376" spans="2:18" ht="31.5" customHeight="1" x14ac:dyDescent="0.45">
      <c r="B2376" s="526"/>
      <c r="C2376" s="450"/>
      <c r="M2376" s="635"/>
      <c r="N2376" s="621"/>
      <c r="O2376" s="635"/>
      <c r="R2376" s="512" t="str">
        <f t="shared" si="180"/>
        <v>DELETE</v>
      </c>
    </row>
    <row r="2377" spans="2:18" ht="31.5" customHeight="1" x14ac:dyDescent="0.45">
      <c r="B2377" s="526"/>
      <c r="C2377" s="450"/>
      <c r="D2377" s="450" t="s">
        <v>451</v>
      </c>
      <c r="M2377" s="635"/>
      <c r="N2377" s="621"/>
      <c r="O2377" s="635"/>
      <c r="R2377" s="512" t="str">
        <f t="shared" si="180"/>
        <v>DELETE</v>
      </c>
    </row>
    <row r="2378" spans="2:18" ht="31.5" customHeight="1" x14ac:dyDescent="0.45">
      <c r="B2378" s="526"/>
      <c r="C2378" s="450"/>
      <c r="D2378" s="450" t="str">
        <f>Criteria!E20</f>
        <v>29 FEBRUARY 2024</v>
      </c>
      <c r="J2378" s="449" t="s">
        <v>303</v>
      </c>
      <c r="M2378" s="635"/>
      <c r="N2378" s="621"/>
      <c r="O2378" s="635"/>
      <c r="R2378" s="512" t="str">
        <f t="shared" si="180"/>
        <v>DELETE</v>
      </c>
    </row>
    <row r="2379" spans="2:18" ht="31.5" customHeight="1" x14ac:dyDescent="0.45">
      <c r="B2379" s="526"/>
      <c r="C2379" s="450"/>
      <c r="M2379" s="531"/>
      <c r="N2379" s="470"/>
      <c r="O2379" s="531"/>
      <c r="R2379" s="512" t="str">
        <f t="shared" si="180"/>
        <v>DELETE</v>
      </c>
    </row>
    <row r="2380" spans="2:18" ht="31.5" customHeight="1" x14ac:dyDescent="0.45">
      <c r="B2380" s="565"/>
      <c r="C2380" s="503"/>
      <c r="D2380" s="466"/>
      <c r="E2380" s="466"/>
      <c r="F2380" s="466"/>
      <c r="G2380" s="466"/>
      <c r="H2380" s="466"/>
      <c r="I2380" s="466"/>
      <c r="J2380" s="466"/>
      <c r="K2380" s="466"/>
      <c r="L2380" s="466"/>
      <c r="M2380" s="546"/>
      <c r="N2380" s="471"/>
      <c r="O2380" s="546"/>
      <c r="P2380" s="643"/>
      <c r="Q2380" s="467"/>
      <c r="R2380" s="512" t="str">
        <f t="shared" si="180"/>
        <v>DELETE</v>
      </c>
    </row>
    <row r="2381" spans="2:18" ht="31.5" customHeight="1" x14ac:dyDescent="0.45">
      <c r="B2381" s="563"/>
      <c r="C2381" s="450"/>
      <c r="M2381" s="548"/>
      <c r="N2381" s="491"/>
      <c r="O2381" s="525">
        <f>Criteria!E22</f>
        <v>2024</v>
      </c>
      <c r="P2381" s="634"/>
      <c r="Q2381" s="469"/>
      <c r="R2381" s="512" t="str">
        <f t="shared" si="180"/>
        <v>DELETE</v>
      </c>
    </row>
    <row r="2382" spans="2:18" ht="31.5" customHeight="1" x14ac:dyDescent="0.45">
      <c r="B2382" s="563"/>
      <c r="C2382" s="450"/>
      <c r="M2382" s="548"/>
      <c r="N2382" s="491"/>
      <c r="O2382" s="548"/>
      <c r="P2382" s="634"/>
      <c r="Q2382" s="469"/>
      <c r="R2382" s="512" t="str">
        <f t="shared" si="180"/>
        <v>DELETE</v>
      </c>
    </row>
    <row r="2383" spans="2:18" ht="31.5" customHeight="1" x14ac:dyDescent="0.45">
      <c r="B2383" s="563">
        <f>MAX($B$804:B2382)+1</f>
        <v>30</v>
      </c>
      <c r="C2383" s="450" t="s">
        <v>1608</v>
      </c>
      <c r="M2383" s="548"/>
      <c r="N2383" s="491"/>
      <c r="O2383" s="548"/>
      <c r="P2383" s="634"/>
      <c r="Q2383" s="469"/>
      <c r="R2383" s="512" t="str">
        <f t="shared" si="180"/>
        <v>DELETE</v>
      </c>
    </row>
    <row r="2384" spans="2:18" ht="31.5" customHeight="1" x14ac:dyDescent="0.45">
      <c r="B2384" s="563"/>
      <c r="C2384" s="450"/>
      <c r="D2384" s="449" t="s">
        <v>1609</v>
      </c>
      <c r="M2384" s="548"/>
      <c r="N2384" s="491"/>
      <c r="O2384" s="548"/>
      <c r="P2384" s="634"/>
      <c r="Q2384" s="469"/>
      <c r="R2384" s="512" t="str">
        <f t="shared" si="180"/>
        <v>DELETE</v>
      </c>
    </row>
    <row r="2385" spans="2:18" ht="31.5" customHeight="1" x14ac:dyDescent="0.45">
      <c r="B2385" s="563"/>
      <c r="C2385" s="450"/>
      <c r="M2385" s="548"/>
      <c r="N2385" s="491"/>
      <c r="O2385" s="548"/>
      <c r="P2385" s="634"/>
      <c r="Q2385" s="469"/>
      <c r="R2385" s="512" t="str">
        <f t="shared" si="180"/>
        <v>DELETE</v>
      </c>
    </row>
    <row r="2386" spans="2:18" ht="31.5" customHeight="1" x14ac:dyDescent="0.45">
      <c r="B2386" s="563"/>
      <c r="C2386" s="450"/>
      <c r="E2386" s="449" t="s">
        <v>1610</v>
      </c>
      <c r="M2386" s="548"/>
      <c r="N2386" s="491"/>
      <c r="O2386" s="548">
        <f>Criteria!F385</f>
        <v>0</v>
      </c>
      <c r="P2386" s="634"/>
      <c r="Q2386" s="469"/>
      <c r="R2386" s="512" t="str">
        <f t="shared" ref="R2386:R2387" si="181">IF(O2386=0,"DELETE"," ")</f>
        <v>DELETE</v>
      </c>
    </row>
    <row r="2387" spans="2:18" ht="31.5" customHeight="1" x14ac:dyDescent="0.45">
      <c r="B2387" s="563"/>
      <c r="C2387" s="450"/>
      <c r="E2387" s="449" t="s">
        <v>1611</v>
      </c>
      <c r="M2387" s="548"/>
      <c r="N2387" s="491"/>
      <c r="O2387" s="548">
        <f>Criteria!F386</f>
        <v>0</v>
      </c>
      <c r="P2387" s="634"/>
      <c r="Q2387" s="469"/>
      <c r="R2387" s="512" t="str">
        <f t="shared" si="181"/>
        <v>DELETE</v>
      </c>
    </row>
    <row r="2388" spans="2:18" ht="31.5" customHeight="1" x14ac:dyDescent="0.45">
      <c r="B2388" s="563"/>
      <c r="C2388" s="450"/>
      <c r="E2388" s="449" t="s">
        <v>1612</v>
      </c>
      <c r="M2388" s="548"/>
      <c r="N2388" s="491"/>
      <c r="O2388" s="548">
        <f>Criteria!F387</f>
        <v>0</v>
      </c>
      <c r="P2388" s="634"/>
      <c r="Q2388" s="469"/>
      <c r="R2388" s="512" t="str">
        <f>IF(O2388=0,"DELETE"," ")</f>
        <v>DELETE</v>
      </c>
    </row>
    <row r="2389" spans="2:18" ht="9" customHeight="1" x14ac:dyDescent="0.45">
      <c r="B2389" s="563"/>
      <c r="C2389" s="450"/>
      <c r="M2389" s="548"/>
      <c r="N2389" s="491"/>
      <c r="O2389" s="535"/>
      <c r="P2389" s="634"/>
      <c r="Q2389" s="469"/>
      <c r="R2389" s="512" t="str">
        <f>R$2391</f>
        <v>DELETE</v>
      </c>
    </row>
    <row r="2390" spans="2:18" ht="9" customHeight="1" x14ac:dyDescent="0.45">
      <c r="B2390" s="563"/>
      <c r="C2390" s="450"/>
      <c r="M2390" s="548"/>
      <c r="N2390" s="491"/>
      <c r="O2390" s="548"/>
      <c r="P2390" s="634"/>
      <c r="Q2390" s="469"/>
      <c r="R2390" s="512" t="str">
        <f>R$2391</f>
        <v>DELETE</v>
      </c>
    </row>
    <row r="2391" spans="2:18" ht="31.5" customHeight="1" x14ac:dyDescent="0.45">
      <c r="B2391" s="563"/>
      <c r="C2391" s="450"/>
      <c r="M2391" s="548"/>
      <c r="N2391" s="491"/>
      <c r="O2391" s="548">
        <f>SUM(O2386:O2390)</f>
        <v>0</v>
      </c>
      <c r="P2391" s="634"/>
      <c r="Q2391" s="469"/>
      <c r="R2391" s="512" t="str">
        <f>IF(O2391=0,"DELETE"," ")</f>
        <v>DELETE</v>
      </c>
    </row>
    <row r="2392" spans="2:18" ht="9" customHeight="1" thickBot="1" x14ac:dyDescent="0.5">
      <c r="B2392" s="563"/>
      <c r="C2392" s="450"/>
      <c r="M2392" s="548"/>
      <c r="N2392" s="491"/>
      <c r="O2392" s="536"/>
      <c r="P2392" s="634"/>
      <c r="Q2392" s="469"/>
      <c r="R2392" s="512" t="str">
        <f t="shared" ref="R2392:R2397" si="182">R$2391</f>
        <v>DELETE</v>
      </c>
    </row>
    <row r="2393" spans="2:18" ht="9" customHeight="1" thickTop="1" x14ac:dyDescent="0.45">
      <c r="B2393" s="563"/>
      <c r="C2393" s="450"/>
      <c r="M2393" s="548"/>
      <c r="N2393" s="491"/>
      <c r="O2393" s="548"/>
      <c r="P2393" s="634"/>
      <c r="Q2393" s="469"/>
      <c r="R2393" s="512" t="str">
        <f t="shared" si="182"/>
        <v>DELETE</v>
      </c>
    </row>
    <row r="2394" spans="2:18" ht="31.5" customHeight="1" x14ac:dyDescent="0.45">
      <c r="B2394" s="563"/>
      <c r="C2394" s="450"/>
      <c r="M2394" s="548"/>
      <c r="N2394" s="491"/>
      <c r="O2394" s="548"/>
      <c r="P2394" s="634"/>
      <c r="Q2394" s="469"/>
      <c r="R2394" s="512" t="str">
        <f t="shared" si="182"/>
        <v>DELETE</v>
      </c>
    </row>
    <row r="2395" spans="2:18" ht="31.5" customHeight="1" x14ac:dyDescent="0.45">
      <c r="B2395" s="563"/>
      <c r="C2395" s="450"/>
      <c r="M2395" s="548"/>
      <c r="N2395" s="491"/>
      <c r="O2395" s="548"/>
      <c r="P2395" s="634"/>
      <c r="Q2395" s="469"/>
      <c r="R2395" s="512" t="str">
        <f t="shared" si="182"/>
        <v>DELETE</v>
      </c>
    </row>
    <row r="2396" spans="2:18" ht="31.5" customHeight="1" x14ac:dyDescent="0.45">
      <c r="B2396" s="564"/>
      <c r="C2396" s="502"/>
      <c r="D2396" s="461"/>
      <c r="E2396" s="461"/>
      <c r="F2396" s="461"/>
      <c r="G2396" s="461"/>
      <c r="H2396" s="461"/>
      <c r="I2396" s="461"/>
      <c r="J2396" s="461"/>
      <c r="K2396" s="461"/>
      <c r="L2396" s="461"/>
      <c r="M2396" s="535"/>
      <c r="N2396" s="473"/>
      <c r="O2396" s="535"/>
      <c r="P2396" s="631"/>
      <c r="Q2396" s="479"/>
      <c r="R2396" s="512" t="str">
        <f t="shared" si="182"/>
        <v>DELETE</v>
      </c>
    </row>
    <row r="2397" spans="2:18" ht="31.5" customHeight="1" x14ac:dyDescent="0.45">
      <c r="B2397" s="526"/>
      <c r="C2397" s="450"/>
      <c r="M2397" s="531"/>
      <c r="N2397" s="470"/>
      <c r="O2397" s="531"/>
      <c r="R2397" s="512" t="str">
        <f t="shared" si="182"/>
        <v>DELETE</v>
      </c>
    </row>
    <row r="2398" spans="2:18" ht="31.5" customHeight="1" x14ac:dyDescent="0.45">
      <c r="B2398" s="526"/>
      <c r="C2398" s="450"/>
      <c r="M2398" s="531"/>
      <c r="N2398" s="470"/>
      <c r="O2398" s="531"/>
      <c r="R2398" s="512" t="str">
        <f t="shared" ref="R2398:R2411" si="183">R$2417</f>
        <v>DELETE</v>
      </c>
    </row>
    <row r="2399" spans="2:18" ht="31.5" customHeight="1" x14ac:dyDescent="0.45">
      <c r="B2399" s="526"/>
      <c r="C2399" s="450"/>
      <c r="D2399" s="450" t="str">
        <f>Criteria!E9</f>
        <v>ABC COMPANY (PROPRIETARY) LIMITED</v>
      </c>
      <c r="M2399" s="635"/>
      <c r="N2399" s="621"/>
      <c r="O2399" s="531" t="s">
        <v>121</v>
      </c>
      <c r="Q2399" s="451">
        <f>MAX($Q$114:Q2398)+1</f>
        <v>60</v>
      </c>
      <c r="R2399" s="512" t="str">
        <f t="shared" si="183"/>
        <v>DELETE</v>
      </c>
    </row>
    <row r="2400" spans="2:18" ht="31.5" customHeight="1" x14ac:dyDescent="0.45">
      <c r="B2400" s="526"/>
      <c r="C2400" s="450"/>
      <c r="D2400" s="450" t="str">
        <f>Criteria!E10</f>
        <v>T/A SEAFRONT HOTEL, SEAFRONT RESTAURANT AND RENTAL PROPERTIES</v>
      </c>
      <c r="M2400" s="635"/>
      <c r="N2400" s="621"/>
      <c r="O2400" s="635"/>
      <c r="R2400" s="512" t="str">
        <f>IF(R$2417="DELETE","DELETE",IF(D2400=0,"DELETE"," "))</f>
        <v>DELETE</v>
      </c>
    </row>
    <row r="2401" spans="2:18" ht="31.5" customHeight="1" x14ac:dyDescent="0.45">
      <c r="B2401" s="526"/>
      <c r="C2401" s="450"/>
      <c r="M2401" s="635"/>
      <c r="N2401" s="621"/>
      <c r="O2401" s="635"/>
      <c r="R2401" s="512" t="str">
        <f t="shared" si="183"/>
        <v>DELETE</v>
      </c>
    </row>
    <row r="2402" spans="2:18" ht="31.5" customHeight="1" x14ac:dyDescent="0.45">
      <c r="B2402" s="526"/>
      <c r="C2402" s="450"/>
      <c r="D2402" s="450" t="s">
        <v>451</v>
      </c>
      <c r="M2402" s="635"/>
      <c r="N2402" s="621"/>
      <c r="O2402" s="635"/>
      <c r="R2402" s="512" t="str">
        <f t="shared" si="183"/>
        <v>DELETE</v>
      </c>
    </row>
    <row r="2403" spans="2:18" ht="31.5" customHeight="1" x14ac:dyDescent="0.45">
      <c r="B2403" s="526"/>
      <c r="C2403" s="450"/>
      <c r="D2403" s="450" t="str">
        <f>Criteria!E20</f>
        <v>29 FEBRUARY 2024</v>
      </c>
      <c r="J2403" s="449" t="s">
        <v>303</v>
      </c>
      <c r="M2403" s="635"/>
      <c r="N2403" s="621"/>
      <c r="O2403" s="635"/>
      <c r="R2403" s="512" t="str">
        <f t="shared" si="183"/>
        <v>DELETE</v>
      </c>
    </row>
    <row r="2404" spans="2:18" ht="31.5" customHeight="1" x14ac:dyDescent="0.45">
      <c r="B2404" s="526"/>
      <c r="C2404" s="450"/>
      <c r="M2404" s="531"/>
      <c r="N2404" s="470"/>
      <c r="O2404" s="531"/>
      <c r="R2404" s="512" t="str">
        <f t="shared" si="183"/>
        <v>DELETE</v>
      </c>
    </row>
    <row r="2405" spans="2:18" ht="31.5" customHeight="1" x14ac:dyDescent="0.45">
      <c r="B2405" s="565"/>
      <c r="C2405" s="503"/>
      <c r="D2405" s="466"/>
      <c r="E2405" s="466"/>
      <c r="F2405" s="466"/>
      <c r="G2405" s="466"/>
      <c r="H2405" s="466"/>
      <c r="I2405" s="466"/>
      <c r="J2405" s="466"/>
      <c r="K2405" s="466"/>
      <c r="L2405" s="466"/>
      <c r="M2405" s="546"/>
      <c r="N2405" s="471"/>
      <c r="O2405" s="546"/>
      <c r="P2405" s="643"/>
      <c r="Q2405" s="467"/>
      <c r="R2405" s="512" t="str">
        <f t="shared" si="183"/>
        <v>DELETE</v>
      </c>
    </row>
    <row r="2406" spans="2:18" ht="31.5" customHeight="1" x14ac:dyDescent="0.45">
      <c r="B2406" s="563"/>
      <c r="C2406" s="450"/>
      <c r="M2406" s="548"/>
      <c r="N2406" s="491"/>
      <c r="O2406" s="525">
        <f>Criteria!E22</f>
        <v>2024</v>
      </c>
      <c r="P2406" s="634"/>
      <c r="Q2406" s="469"/>
      <c r="R2406" s="512" t="str">
        <f t="shared" si="183"/>
        <v>DELETE</v>
      </c>
    </row>
    <row r="2407" spans="2:18" ht="31.5" customHeight="1" x14ac:dyDescent="0.45">
      <c r="B2407" s="563"/>
      <c r="C2407" s="450"/>
      <c r="M2407" s="548"/>
      <c r="N2407" s="491"/>
      <c r="O2407" s="548"/>
      <c r="P2407" s="634"/>
      <c r="Q2407" s="469"/>
      <c r="R2407" s="512" t="str">
        <f t="shared" si="183"/>
        <v>DELETE</v>
      </c>
    </row>
    <row r="2408" spans="2:18" ht="31.5" customHeight="1" x14ac:dyDescent="0.45">
      <c r="B2408" s="563">
        <f>MAX($B$804:B2407)+1</f>
        <v>31</v>
      </c>
      <c r="C2408" s="450" t="s">
        <v>1617</v>
      </c>
      <c r="M2408" s="548"/>
      <c r="N2408" s="491"/>
      <c r="O2408" s="548"/>
      <c r="P2408" s="634"/>
      <c r="Q2408" s="469"/>
      <c r="R2408" s="512" t="str">
        <f t="shared" si="183"/>
        <v>DELETE</v>
      </c>
    </row>
    <row r="2409" spans="2:18" ht="31.5" customHeight="1" x14ac:dyDescent="0.45">
      <c r="B2409" s="563"/>
      <c r="C2409" s="450"/>
      <c r="D2409" s="449" t="s">
        <v>1657</v>
      </c>
      <c r="M2409" s="548"/>
      <c r="N2409" s="491"/>
      <c r="O2409" s="548"/>
      <c r="P2409" s="634"/>
      <c r="Q2409" s="469"/>
      <c r="R2409" s="512" t="str">
        <f t="shared" si="183"/>
        <v>DELETE</v>
      </c>
    </row>
    <row r="2410" spans="2:18" ht="31.5" customHeight="1" x14ac:dyDescent="0.45">
      <c r="B2410" s="563"/>
      <c r="C2410" s="450"/>
      <c r="D2410" s="449" t="s">
        <v>1618</v>
      </c>
      <c r="M2410" s="548"/>
      <c r="N2410" s="491"/>
      <c r="O2410" s="548"/>
      <c r="P2410" s="634"/>
      <c r="Q2410" s="469"/>
      <c r="R2410" s="512" t="str">
        <f t="shared" si="183"/>
        <v>DELETE</v>
      </c>
    </row>
    <row r="2411" spans="2:18" ht="31.5" customHeight="1" x14ac:dyDescent="0.45">
      <c r="B2411" s="563"/>
      <c r="C2411" s="450"/>
      <c r="M2411" s="548"/>
      <c r="N2411" s="491"/>
      <c r="O2411" s="548"/>
      <c r="P2411" s="634"/>
      <c r="Q2411" s="469"/>
      <c r="R2411" s="512" t="str">
        <f t="shared" si="183"/>
        <v>DELETE</v>
      </c>
    </row>
    <row r="2412" spans="2:18" ht="31.5" customHeight="1" x14ac:dyDescent="0.45">
      <c r="B2412" s="563"/>
      <c r="C2412" s="450"/>
      <c r="E2412" s="449" t="s">
        <v>1610</v>
      </c>
      <c r="M2412" s="548"/>
      <c r="N2412" s="491"/>
      <c r="O2412" s="548">
        <f>Criteria!F392</f>
        <v>0</v>
      </c>
      <c r="P2412" s="634"/>
      <c r="Q2412" s="469"/>
      <c r="R2412" s="512" t="str">
        <f t="shared" ref="R2412:R2413" si="184">IF(O2412=0,"DELETE"," ")</f>
        <v>DELETE</v>
      </c>
    </row>
    <row r="2413" spans="2:18" ht="31.5" customHeight="1" x14ac:dyDescent="0.45">
      <c r="B2413" s="563"/>
      <c r="C2413" s="450"/>
      <c r="E2413" s="449" t="s">
        <v>1611</v>
      </c>
      <c r="M2413" s="548"/>
      <c r="N2413" s="491"/>
      <c r="O2413" s="548">
        <f>Criteria!F393</f>
        <v>0</v>
      </c>
      <c r="P2413" s="634"/>
      <c r="Q2413" s="469"/>
      <c r="R2413" s="512" t="str">
        <f t="shared" si="184"/>
        <v>DELETE</v>
      </c>
    </row>
    <row r="2414" spans="2:18" ht="31.5" customHeight="1" x14ac:dyDescent="0.45">
      <c r="B2414" s="563"/>
      <c r="C2414" s="450"/>
      <c r="E2414" s="449" t="s">
        <v>1612</v>
      </c>
      <c r="M2414" s="548"/>
      <c r="N2414" s="491"/>
      <c r="O2414" s="548">
        <f>Criteria!F394</f>
        <v>0</v>
      </c>
      <c r="P2414" s="634"/>
      <c r="Q2414" s="469"/>
      <c r="R2414" s="512" t="str">
        <f>IF(O2414=0,"DELETE"," ")</f>
        <v>DELETE</v>
      </c>
    </row>
    <row r="2415" spans="2:18" ht="9" customHeight="1" x14ac:dyDescent="0.45">
      <c r="B2415" s="563"/>
      <c r="C2415" s="450"/>
      <c r="M2415" s="548"/>
      <c r="N2415" s="491"/>
      <c r="O2415" s="535"/>
      <c r="P2415" s="634"/>
      <c r="Q2415" s="469"/>
      <c r="R2415" s="512" t="str">
        <f>R$2417</f>
        <v>DELETE</v>
      </c>
    </row>
    <row r="2416" spans="2:18" ht="9" customHeight="1" x14ac:dyDescent="0.45">
      <c r="B2416" s="563"/>
      <c r="C2416" s="450"/>
      <c r="M2416" s="548"/>
      <c r="N2416" s="491"/>
      <c r="O2416" s="548"/>
      <c r="P2416" s="634"/>
      <c r="Q2416" s="469"/>
      <c r="R2416" s="512" t="str">
        <f>R$2417</f>
        <v>DELETE</v>
      </c>
    </row>
    <row r="2417" spans="2:18" ht="31.5" customHeight="1" x14ac:dyDescent="0.45">
      <c r="B2417" s="563"/>
      <c r="C2417" s="450"/>
      <c r="M2417" s="548"/>
      <c r="N2417" s="491"/>
      <c r="O2417" s="548">
        <f>SUM(O2412:O2416)</f>
        <v>0</v>
      </c>
      <c r="P2417" s="634"/>
      <c r="Q2417" s="469"/>
      <c r="R2417" s="512" t="str">
        <f>IF(O2417=0,"DELETE"," ")</f>
        <v>DELETE</v>
      </c>
    </row>
    <row r="2418" spans="2:18" ht="9" customHeight="1" thickBot="1" x14ac:dyDescent="0.5">
      <c r="B2418" s="563"/>
      <c r="C2418" s="450"/>
      <c r="M2418" s="548"/>
      <c r="N2418" s="491"/>
      <c r="O2418" s="536"/>
      <c r="P2418" s="634"/>
      <c r="Q2418" s="469"/>
      <c r="R2418" s="512" t="str">
        <f t="shared" ref="R2418:R2423" si="185">R$2417</f>
        <v>DELETE</v>
      </c>
    </row>
    <row r="2419" spans="2:18" ht="9" customHeight="1" thickTop="1" x14ac:dyDescent="0.45">
      <c r="B2419" s="563"/>
      <c r="C2419" s="450"/>
      <c r="M2419" s="548"/>
      <c r="N2419" s="491"/>
      <c r="O2419" s="548"/>
      <c r="P2419" s="634"/>
      <c r="Q2419" s="469"/>
      <c r="R2419" s="512" t="str">
        <f t="shared" si="185"/>
        <v>DELETE</v>
      </c>
    </row>
    <row r="2420" spans="2:18" ht="31.5" customHeight="1" x14ac:dyDescent="0.45">
      <c r="B2420" s="563"/>
      <c r="C2420" s="450"/>
      <c r="M2420" s="548"/>
      <c r="N2420" s="491"/>
      <c r="O2420" s="548"/>
      <c r="P2420" s="634"/>
      <c r="Q2420" s="469"/>
      <c r="R2420" s="512" t="str">
        <f t="shared" si="185"/>
        <v>DELETE</v>
      </c>
    </row>
    <row r="2421" spans="2:18" ht="31.5" customHeight="1" x14ac:dyDescent="0.45">
      <c r="B2421" s="563"/>
      <c r="C2421" s="450"/>
      <c r="M2421" s="548"/>
      <c r="N2421" s="491"/>
      <c r="O2421" s="548"/>
      <c r="P2421" s="634"/>
      <c r="Q2421" s="469"/>
      <c r="R2421" s="512" t="str">
        <f t="shared" si="185"/>
        <v>DELETE</v>
      </c>
    </row>
    <row r="2422" spans="2:18" ht="31.5" customHeight="1" x14ac:dyDescent="0.45">
      <c r="B2422" s="564"/>
      <c r="C2422" s="502"/>
      <c r="D2422" s="461"/>
      <c r="E2422" s="461"/>
      <c r="F2422" s="461"/>
      <c r="G2422" s="461"/>
      <c r="H2422" s="461"/>
      <c r="I2422" s="461"/>
      <c r="J2422" s="461"/>
      <c r="K2422" s="461"/>
      <c r="L2422" s="461"/>
      <c r="M2422" s="535"/>
      <c r="N2422" s="473"/>
      <c r="O2422" s="535"/>
      <c r="P2422" s="631"/>
      <c r="Q2422" s="479"/>
      <c r="R2422" s="512" t="str">
        <f t="shared" si="185"/>
        <v>DELETE</v>
      </c>
    </row>
    <row r="2423" spans="2:18" ht="31.5" customHeight="1" x14ac:dyDescent="0.45">
      <c r="B2423" s="526"/>
      <c r="C2423" s="450"/>
      <c r="M2423" s="531"/>
      <c r="N2423" s="470"/>
      <c r="O2423" s="531"/>
      <c r="R2423" s="512" t="str">
        <f t="shared" si="185"/>
        <v>DELETE</v>
      </c>
    </row>
    <row r="2424" spans="2:18" ht="31.5" customHeight="1" x14ac:dyDescent="0.45">
      <c r="B2424" s="526"/>
      <c r="C2424" s="450"/>
      <c r="M2424" s="531"/>
      <c r="N2424" s="470"/>
      <c r="O2424" s="531"/>
    </row>
    <row r="2425" spans="2:18" ht="31.5" customHeight="1" x14ac:dyDescent="0.45">
      <c r="B2425" s="527"/>
      <c r="D2425" s="450" t="str">
        <f>Criteria!E9</f>
        <v>ABC COMPANY (PROPRIETARY) LIMITED</v>
      </c>
      <c r="M2425" s="635"/>
      <c r="N2425" s="621"/>
      <c r="O2425" s="531" t="s">
        <v>121</v>
      </c>
      <c r="Q2425" s="451">
        <f>MAX($Q$114:Q2424)+1</f>
        <v>61</v>
      </c>
    </row>
    <row r="2426" spans="2:18" ht="31.5" customHeight="1" x14ac:dyDescent="0.45">
      <c r="B2426" s="527"/>
      <c r="D2426" s="450" t="str">
        <f>Criteria!E10</f>
        <v>T/A SEAFRONT HOTEL, SEAFRONT RESTAURANT AND RENTAL PROPERTIES</v>
      </c>
      <c r="M2426" s="635"/>
      <c r="N2426" s="621"/>
      <c r="O2426" s="635"/>
      <c r="R2426" s="512" t="str">
        <f>IF(D2426=0,"DELETE"," ")</f>
        <v xml:space="preserve"> </v>
      </c>
    </row>
    <row r="2427" spans="2:18" ht="31.5" customHeight="1" x14ac:dyDescent="0.45">
      <c r="B2427" s="527"/>
      <c r="M2427" s="635"/>
      <c r="N2427" s="621"/>
      <c r="O2427" s="635"/>
    </row>
    <row r="2428" spans="2:18" ht="31.5" customHeight="1" x14ac:dyDescent="0.45">
      <c r="B2428" s="527"/>
      <c r="D2428" s="450" t="s">
        <v>451</v>
      </c>
      <c r="M2428" s="635"/>
      <c r="N2428" s="621"/>
      <c r="O2428" s="635"/>
    </row>
    <row r="2429" spans="2:18" ht="31.5" customHeight="1" x14ac:dyDescent="0.45">
      <c r="B2429" s="527"/>
      <c r="D2429" s="450" t="str">
        <f>Criteria!E20</f>
        <v>29 FEBRUARY 2024</v>
      </c>
      <c r="J2429" s="449" t="s">
        <v>303</v>
      </c>
      <c r="M2429" s="635"/>
      <c r="N2429" s="621"/>
      <c r="O2429" s="635"/>
    </row>
    <row r="2430" spans="2:18" ht="31.5" customHeight="1" x14ac:dyDescent="0.45">
      <c r="B2430" s="527"/>
      <c r="D2430" s="450"/>
      <c r="M2430" s="635"/>
      <c r="N2430" s="621"/>
      <c r="O2430" s="635"/>
    </row>
    <row r="2431" spans="2:18" ht="31.5" customHeight="1" x14ac:dyDescent="0.45">
      <c r="B2431" s="565"/>
      <c r="C2431" s="503"/>
      <c r="D2431" s="466"/>
      <c r="E2431" s="466"/>
      <c r="F2431" s="466"/>
      <c r="G2431" s="466"/>
      <c r="H2431" s="466"/>
      <c r="I2431" s="466"/>
      <c r="J2431" s="466"/>
      <c r="K2431" s="466"/>
      <c r="L2431" s="466"/>
      <c r="M2431" s="546"/>
      <c r="N2431" s="471"/>
      <c r="O2431" s="546"/>
      <c r="P2431" s="643"/>
      <c r="Q2431" s="467"/>
    </row>
    <row r="2432" spans="2:18" ht="31.5" customHeight="1" x14ac:dyDescent="0.45">
      <c r="B2432" s="563"/>
      <c r="C2432" s="450"/>
      <c r="L2432" s="452"/>
      <c r="M2432" s="527"/>
      <c r="N2432" s="449"/>
      <c r="O2432" s="525">
        <f>Criteria!E22</f>
        <v>2024</v>
      </c>
      <c r="Q2432" s="469"/>
    </row>
    <row r="2433" spans="2:23" ht="31.5" customHeight="1" x14ac:dyDescent="0.45">
      <c r="B2433" s="563"/>
      <c r="C2433" s="450"/>
      <c r="L2433" s="452"/>
      <c r="M2433" s="527"/>
      <c r="N2433" s="449"/>
      <c r="O2433" s="531"/>
      <c r="Q2433" s="469"/>
    </row>
    <row r="2434" spans="2:23" ht="31.5" customHeight="1" x14ac:dyDescent="0.45">
      <c r="B2434" s="563">
        <f>MAX($B$804:B2433)+1</f>
        <v>32</v>
      </c>
      <c r="C2434" s="492" t="str">
        <f>IF(W2434=2,"RECONCILIATION OF OPERATING  PROFIT BEFORE TAXATION","RECONCILIATION OF OPERATING LOSS BEFORE TAXATION")</f>
        <v>RECONCILIATION OF OPERATING  PROFIT BEFORE TAXATION</v>
      </c>
      <c r="L2434" s="452"/>
      <c r="M2434" s="527"/>
      <c r="N2434" s="449"/>
      <c r="O2434" s="531"/>
      <c r="Q2434" s="469"/>
      <c r="W2434" s="513">
        <f>IF(SUM(S526:S541)&lt;0,1,2)</f>
        <v>2</v>
      </c>
    </row>
    <row r="2435" spans="2:23" ht="31.5" customHeight="1" x14ac:dyDescent="0.45">
      <c r="B2435" s="563"/>
      <c r="C2435" s="450" t="s">
        <v>327</v>
      </c>
      <c r="L2435" s="452"/>
      <c r="M2435" s="527"/>
      <c r="N2435" s="449"/>
      <c r="O2435" s="531"/>
      <c r="Q2435" s="469"/>
    </row>
    <row r="2436" spans="2:23" ht="31.5" customHeight="1" x14ac:dyDescent="0.45">
      <c r="B2436" s="563"/>
      <c r="C2436" s="450"/>
      <c r="L2436" s="452"/>
      <c r="M2436" s="527"/>
      <c r="N2436" s="449"/>
      <c r="O2436" s="531"/>
      <c r="Q2436" s="469"/>
    </row>
    <row r="2437" spans="2:23" ht="31.5" customHeight="1" x14ac:dyDescent="0.45">
      <c r="B2437" s="563"/>
      <c r="D2437" s="463" t="str">
        <f>IF(W2437=2,"Operating profit","Operating loss")</f>
        <v>Operating profit</v>
      </c>
      <c r="L2437" s="452"/>
      <c r="M2437" s="527"/>
      <c r="N2437" s="449"/>
      <c r="O2437" s="531">
        <f>SUM(S526:S540)</f>
        <v>0</v>
      </c>
      <c r="Q2437" s="469"/>
      <c r="S2437" s="518">
        <f>O2437</f>
        <v>0</v>
      </c>
      <c r="T2437" s="518"/>
      <c r="U2437" s="518"/>
      <c r="V2437" s="518"/>
      <c r="W2437" s="513">
        <f>IF(SUM(S526:S541)&lt;0,1,2)</f>
        <v>2</v>
      </c>
    </row>
    <row r="2438" spans="2:23" ht="31.5" customHeight="1" x14ac:dyDescent="0.45">
      <c r="B2438" s="563"/>
      <c r="C2438" s="450"/>
      <c r="D2438" s="449" t="s">
        <v>269</v>
      </c>
      <c r="L2438" s="452"/>
      <c r="M2438" s="527"/>
      <c r="N2438" s="449"/>
      <c r="O2438" s="531">
        <f>SUM(O2440:O2448)</f>
        <v>0</v>
      </c>
      <c r="Q2438" s="469"/>
      <c r="R2438" s="512" t="str">
        <f>IF(COUNTIF(O2441:O2447,"&gt;0")&gt;0," ",IF(COUNTIF(O2441:O2447,"&lt;0")&gt;0," ","DELETE"))</f>
        <v>DELETE</v>
      </c>
      <c r="S2438" s="518">
        <f>O2438</f>
        <v>0</v>
      </c>
      <c r="T2438" s="518"/>
      <c r="U2438" s="518"/>
      <c r="V2438" s="518"/>
    </row>
    <row r="2439" spans="2:23" ht="9" customHeight="1" x14ac:dyDescent="0.45">
      <c r="B2439" s="563"/>
      <c r="C2439" s="450"/>
      <c r="L2439" s="452"/>
      <c r="M2439" s="527"/>
      <c r="N2439" s="449"/>
      <c r="O2439" s="531"/>
      <c r="Q2439" s="469"/>
      <c r="R2439" s="512" t="str">
        <f>R2438</f>
        <v>DELETE</v>
      </c>
    </row>
    <row r="2440" spans="2:23" ht="9" customHeight="1" x14ac:dyDescent="0.45">
      <c r="B2440" s="563"/>
      <c r="C2440" s="450"/>
      <c r="L2440" s="452"/>
      <c r="M2440" s="527"/>
      <c r="N2440" s="449"/>
      <c r="O2440" s="558"/>
      <c r="Q2440" s="469"/>
      <c r="R2440" s="512" t="str">
        <f>R2438</f>
        <v>DELETE</v>
      </c>
    </row>
    <row r="2441" spans="2:23" ht="31.5" customHeight="1" x14ac:dyDescent="0.45">
      <c r="B2441" s="563"/>
      <c r="C2441" s="450"/>
      <c r="D2441" s="449" t="s">
        <v>1533</v>
      </c>
      <c r="L2441" s="452"/>
      <c r="M2441" s="527"/>
      <c r="N2441" s="449"/>
      <c r="O2441" s="559">
        <f>TrialBalance!L139+TrialBalanceA!I139+TrialBalanceB!I139+TrialBalanceC!I139</f>
        <v>0</v>
      </c>
      <c r="Q2441" s="469"/>
      <c r="R2441" s="512" t="str">
        <f t="shared" ref="R2441:R2446" si="186">IF(O2441=0,"DELETE"," ")</f>
        <v>DELETE</v>
      </c>
    </row>
    <row r="2442" spans="2:23" ht="31.5" customHeight="1" x14ac:dyDescent="0.45">
      <c r="B2442" s="563"/>
      <c r="C2442" s="450"/>
      <c r="D2442" s="449" t="s">
        <v>1485</v>
      </c>
      <c r="L2442" s="452"/>
      <c r="M2442" s="527"/>
      <c r="N2442" s="449"/>
      <c r="O2442" s="559">
        <f>TrialBalance!L138+TrialBalanceA!I138+TrialBalanceB!I138+TrialBalanceC!I138</f>
        <v>0</v>
      </c>
      <c r="Q2442" s="469"/>
      <c r="R2442" s="512" t="str">
        <f t="shared" si="186"/>
        <v>DELETE</v>
      </c>
    </row>
    <row r="2443" spans="2:23" ht="31.5" customHeight="1" x14ac:dyDescent="0.45">
      <c r="B2443" s="563"/>
      <c r="C2443" s="450"/>
      <c r="D2443" s="449" t="s">
        <v>113</v>
      </c>
      <c r="L2443" s="452"/>
      <c r="M2443" s="527"/>
      <c r="N2443" s="449"/>
      <c r="O2443" s="559">
        <f>SUM(TrialBalance!L44:L46)+SUM(TrialBalance!L108:L109)+SUM(TrialBalanceA!I44:I46)+SUM(TrialBalanceA!I108:I109)+SUM(TrialBalanceB!I44:I46)+SUM(TrialBalanceB!I108:I109)+SUM(TrialBalanceC!I44:I46)+SUM(TrialBalanceC!I108:I109)</f>
        <v>0</v>
      </c>
      <c r="Q2443" s="469"/>
      <c r="R2443" s="512" t="str">
        <f t="shared" si="186"/>
        <v>DELETE</v>
      </c>
    </row>
    <row r="2444" spans="2:23" ht="31.5" customHeight="1" x14ac:dyDescent="0.45">
      <c r="B2444" s="563"/>
      <c r="C2444" s="450"/>
      <c r="D2444" s="449" t="s">
        <v>1534</v>
      </c>
      <c r="L2444" s="452"/>
      <c r="M2444" s="527"/>
      <c r="N2444" s="449"/>
      <c r="O2444" s="559">
        <f>TrialBalance!L154+TrialBalanceA!I154+TrialBalanceB!I154+TrialBalanceC!I154</f>
        <v>0</v>
      </c>
      <c r="Q2444" s="469"/>
      <c r="R2444" s="512" t="str">
        <f t="shared" si="186"/>
        <v>DELETE</v>
      </c>
    </row>
    <row r="2445" spans="2:23" ht="31.5" customHeight="1" x14ac:dyDescent="0.45">
      <c r="B2445" s="563"/>
      <c r="C2445" s="450"/>
      <c r="D2445" s="449" t="s">
        <v>670</v>
      </c>
      <c r="L2445" s="452"/>
      <c r="M2445" s="527"/>
      <c r="N2445" s="449"/>
      <c r="O2445" s="559">
        <f>IF(TrialBalance!L93&gt;0,TrialBalance!L93,0)+IF(TrialBalanceA!I93&gt;0,TrialBalanceA!I93,0)+IF(TrialBalanceB!I93&gt;0,TrialBalanceB!I93,0)+IF(TrialBalanceC!I93&gt;0,TrialBalanceC!I93,0)</f>
        <v>0</v>
      </c>
      <c r="Q2445" s="469"/>
      <c r="R2445" s="512" t="str">
        <f t="shared" si="186"/>
        <v>DELETE</v>
      </c>
    </row>
    <row r="2446" spans="2:23" ht="31.5" customHeight="1" x14ac:dyDescent="0.45">
      <c r="B2446" s="563"/>
      <c r="C2446" s="450"/>
      <c r="D2446" s="449" t="s">
        <v>1549</v>
      </c>
      <c r="L2446" s="452"/>
      <c r="M2446" s="527"/>
      <c r="N2446" s="449"/>
      <c r="O2446" s="559">
        <f>TrialBalance!L33+TrialBalanceA!I33+TrialBalanceB!I33+TrialBalanceC!I33</f>
        <v>0</v>
      </c>
      <c r="Q2446" s="469"/>
      <c r="R2446" s="512" t="str">
        <f t="shared" si="186"/>
        <v>DELETE</v>
      </c>
    </row>
    <row r="2447" spans="2:23" ht="31.5" customHeight="1" x14ac:dyDescent="0.45">
      <c r="B2447" s="563"/>
      <c r="C2447" s="450"/>
      <c r="D2447" s="449" t="s">
        <v>1560</v>
      </c>
      <c r="L2447" s="452"/>
      <c r="M2447" s="527"/>
      <c r="N2447" s="449"/>
      <c r="O2447" s="559">
        <f>TrialBalance!L155+TrialBalanceA!I155+TrialBalanceB!I155+TrialBalanceC!I155</f>
        <v>0</v>
      </c>
      <c r="Q2447" s="469"/>
      <c r="R2447" s="512" t="str">
        <f>IF(O2447=0,"DELETE"," ")</f>
        <v>DELETE</v>
      </c>
    </row>
    <row r="2448" spans="2:23" ht="9" customHeight="1" x14ac:dyDescent="0.45">
      <c r="B2448" s="563"/>
      <c r="C2448" s="450"/>
      <c r="L2448" s="452"/>
      <c r="M2448" s="527"/>
      <c r="N2448" s="449"/>
      <c r="O2448" s="560"/>
      <c r="Q2448" s="469"/>
      <c r="R2448" s="512" t="str">
        <f>R2438</f>
        <v>DELETE</v>
      </c>
    </row>
    <row r="2449" spans="2:23" ht="9" customHeight="1" x14ac:dyDescent="0.45">
      <c r="B2449" s="563"/>
      <c r="C2449" s="450"/>
      <c r="L2449" s="452"/>
      <c r="M2449" s="527"/>
      <c r="N2449" s="449"/>
      <c r="O2449" s="535"/>
      <c r="Q2449" s="469"/>
      <c r="R2449" s="512" t="str">
        <f>R2438</f>
        <v>DELETE</v>
      </c>
    </row>
    <row r="2450" spans="2:23" ht="9" customHeight="1" x14ac:dyDescent="0.45">
      <c r="B2450" s="563"/>
      <c r="C2450" s="450"/>
      <c r="L2450" s="452"/>
      <c r="M2450" s="527"/>
      <c r="N2450" s="449"/>
      <c r="O2450" s="531"/>
      <c r="Q2450" s="469"/>
      <c r="R2450" s="512" t="str">
        <f>R2438</f>
        <v>DELETE</v>
      </c>
    </row>
    <row r="2451" spans="2:23" ht="31.5" customHeight="1" x14ac:dyDescent="0.45">
      <c r="B2451" s="563"/>
      <c r="C2451" s="450"/>
      <c r="L2451" s="452"/>
      <c r="M2451" s="527"/>
      <c r="N2451" s="449"/>
      <c r="O2451" s="531">
        <f>O2437+O2438</f>
        <v>0</v>
      </c>
      <c r="Q2451" s="469"/>
      <c r="R2451" s="512" t="str">
        <f>R2438</f>
        <v>DELETE</v>
      </c>
    </row>
    <row r="2452" spans="2:23" ht="31.5" customHeight="1" x14ac:dyDescent="0.45">
      <c r="B2452" s="563"/>
      <c r="C2452" s="450"/>
      <c r="D2452" s="449" t="s">
        <v>114</v>
      </c>
      <c r="L2452" s="452"/>
      <c r="M2452" s="527"/>
      <c r="N2452" s="449"/>
      <c r="O2452" s="531">
        <f>SUM(O2455:O2457)</f>
        <v>0</v>
      </c>
      <c r="Q2452" s="469"/>
      <c r="S2452" s="518">
        <f>O2452</f>
        <v>0</v>
      </c>
      <c r="T2452" s="518"/>
      <c r="U2452" s="518"/>
      <c r="V2452" s="518"/>
    </row>
    <row r="2453" spans="2:23" ht="9" customHeight="1" x14ac:dyDescent="0.45">
      <c r="B2453" s="563"/>
      <c r="C2453" s="450"/>
      <c r="L2453" s="452"/>
      <c r="M2453" s="527"/>
      <c r="N2453" s="449"/>
      <c r="O2453" s="531"/>
      <c r="Q2453" s="469"/>
    </row>
    <row r="2454" spans="2:23" ht="9" customHeight="1" x14ac:dyDescent="0.45">
      <c r="B2454" s="563"/>
      <c r="C2454" s="450"/>
      <c r="L2454" s="452"/>
      <c r="M2454" s="527"/>
      <c r="N2454" s="449"/>
      <c r="O2454" s="558"/>
      <c r="Q2454" s="469"/>
    </row>
    <row r="2455" spans="2:23" ht="31.5" customHeight="1" x14ac:dyDescent="0.45">
      <c r="B2455" s="563"/>
      <c r="C2455" s="450"/>
      <c r="D2455" s="463" t="str">
        <f>IF(W2455=2,"Decrease in inventories","Increase in inventories")</f>
        <v>Decrease in inventories</v>
      </c>
      <c r="L2455" s="452"/>
      <c r="M2455" s="527"/>
      <c r="N2455" s="449"/>
      <c r="O2455" s="559">
        <f>SUM(TrialBalance!N353:N357)-SUM(TrialBalance!L353:L357)</f>
        <v>0</v>
      </c>
      <c r="Q2455" s="469"/>
      <c r="W2455" s="513">
        <f>IF(O2455&lt;0,1,2)</f>
        <v>2</v>
      </c>
    </row>
    <row r="2456" spans="2:23" ht="31.5" customHeight="1" x14ac:dyDescent="0.45">
      <c r="B2456" s="563"/>
      <c r="C2456" s="450"/>
      <c r="D2456" s="463" t="str">
        <f>IF(W2456=2,"Decrease in accounts receivable","Increase in accounts receivable")</f>
        <v>Decrease in accounts receivable</v>
      </c>
      <c r="L2456" s="452"/>
      <c r="M2456" s="527"/>
      <c r="N2456" s="449"/>
      <c r="O2456" s="559">
        <f>SUM(TrialBalance!N358:N364)-SUM(TrialBalance!L358:L364)</f>
        <v>0</v>
      </c>
      <c r="Q2456" s="469"/>
      <c r="W2456" s="513">
        <f t="shared" ref="W2456:W2457" si="187">IF(O2456&lt;0,1,2)</f>
        <v>2</v>
      </c>
    </row>
    <row r="2457" spans="2:23" ht="31.5" customHeight="1" x14ac:dyDescent="0.45">
      <c r="B2457" s="563"/>
      <c r="C2457" s="450"/>
      <c r="D2457" s="463" t="str">
        <f>IF(W2457=2,"Increase in accounts payable","Decrease in accounts payable")</f>
        <v>Increase in accounts payable</v>
      </c>
      <c r="L2457" s="452"/>
      <c r="M2457" s="527"/>
      <c r="N2457" s="449"/>
      <c r="O2457" s="559">
        <f>SUM(TrialBalance!N378:N383)+SUM(TrialBalance!N394:N398)-SUM(TrialBalance!L378:L383)-SUM(TrialBalance!L394:L398)</f>
        <v>0</v>
      </c>
      <c r="Q2457" s="469"/>
      <c r="W2457" s="513">
        <f t="shared" si="187"/>
        <v>2</v>
      </c>
    </row>
    <row r="2458" spans="2:23" ht="9" customHeight="1" x14ac:dyDescent="0.45">
      <c r="B2458" s="563"/>
      <c r="C2458" s="450"/>
      <c r="L2458" s="452"/>
      <c r="M2458" s="527"/>
      <c r="N2458" s="449"/>
      <c r="O2458" s="560"/>
      <c r="Q2458" s="469"/>
    </row>
    <row r="2459" spans="2:23" ht="9" customHeight="1" x14ac:dyDescent="0.45">
      <c r="B2459" s="563"/>
      <c r="C2459" s="450"/>
      <c r="L2459" s="452"/>
      <c r="M2459" s="527"/>
      <c r="N2459" s="449"/>
      <c r="O2459" s="531"/>
      <c r="Q2459" s="469"/>
    </row>
    <row r="2460" spans="2:23" ht="9" customHeight="1" x14ac:dyDescent="0.45">
      <c r="B2460" s="563"/>
      <c r="C2460" s="450"/>
      <c r="L2460" s="452"/>
      <c r="M2460" s="527"/>
      <c r="N2460" s="449"/>
      <c r="O2460" s="535"/>
      <c r="Q2460" s="469"/>
    </row>
    <row r="2461" spans="2:23" ht="9" customHeight="1" x14ac:dyDescent="0.45">
      <c r="B2461" s="563"/>
      <c r="C2461" s="450"/>
      <c r="L2461" s="452"/>
      <c r="M2461" s="527"/>
      <c r="N2461" s="449"/>
      <c r="O2461" s="531"/>
      <c r="Q2461" s="469"/>
    </row>
    <row r="2462" spans="2:23" ht="31.5" customHeight="1" x14ac:dyDescent="0.45">
      <c r="B2462" s="563"/>
      <c r="C2462" s="450"/>
      <c r="D2462" s="449" t="s">
        <v>268</v>
      </c>
      <c r="L2462" s="452"/>
      <c r="M2462" s="527"/>
      <c r="N2462" s="449"/>
      <c r="O2462" s="531">
        <f>SUM(S2437:S2459)</f>
        <v>0</v>
      </c>
      <c r="Q2462" s="469"/>
      <c r="U2462" s="517"/>
      <c r="V2462" s="517"/>
    </row>
    <row r="2463" spans="2:23" ht="9" customHeight="1" thickBot="1" x14ac:dyDescent="0.5">
      <c r="B2463" s="563"/>
      <c r="C2463" s="450"/>
      <c r="L2463" s="452"/>
      <c r="M2463" s="527"/>
      <c r="N2463" s="449"/>
      <c r="O2463" s="536"/>
      <c r="Q2463" s="469"/>
    </row>
    <row r="2464" spans="2:23" ht="9" customHeight="1" thickTop="1" x14ac:dyDescent="0.45">
      <c r="B2464" s="563"/>
      <c r="C2464" s="450"/>
      <c r="L2464" s="452"/>
      <c r="M2464" s="527"/>
      <c r="N2464" s="449"/>
      <c r="O2464" s="548"/>
      <c r="Q2464" s="469"/>
    </row>
    <row r="2465" spans="2:18" ht="31.5" customHeight="1" x14ac:dyDescent="0.45">
      <c r="B2465" s="582"/>
      <c r="L2465" s="452"/>
      <c r="M2465" s="527"/>
      <c r="N2465" s="449"/>
      <c r="O2465" s="531"/>
      <c r="Q2465" s="469"/>
    </row>
    <row r="2466" spans="2:18" ht="31.5" customHeight="1" x14ac:dyDescent="0.45">
      <c r="B2466" s="582"/>
      <c r="M2466" s="531"/>
      <c r="N2466" s="470"/>
      <c r="O2466" s="531"/>
      <c r="Q2466" s="469"/>
    </row>
    <row r="2467" spans="2:18" ht="31.5" customHeight="1" x14ac:dyDescent="0.45">
      <c r="B2467" s="567"/>
      <c r="C2467" s="461"/>
      <c r="D2467" s="461"/>
      <c r="E2467" s="461"/>
      <c r="F2467" s="461"/>
      <c r="G2467" s="461"/>
      <c r="H2467" s="461"/>
      <c r="I2467" s="461"/>
      <c r="J2467" s="461"/>
      <c r="K2467" s="461"/>
      <c r="L2467" s="461"/>
      <c r="M2467" s="535"/>
      <c r="N2467" s="473"/>
      <c r="O2467" s="535"/>
      <c r="P2467" s="631"/>
      <c r="Q2467" s="479"/>
    </row>
    <row r="2468" spans="2:18" ht="31.5" customHeight="1" x14ac:dyDescent="0.45">
      <c r="B2468" s="527"/>
      <c r="M2468" s="548"/>
      <c r="N2468" s="491"/>
      <c r="O2468" s="548"/>
      <c r="P2468" s="634"/>
    </row>
    <row r="2469" spans="2:18" ht="31.5" customHeight="1" x14ac:dyDescent="0.45">
      <c r="B2469" s="527"/>
      <c r="M2469" s="548"/>
      <c r="N2469" s="491"/>
      <c r="O2469" s="548"/>
      <c r="P2469" s="634"/>
    </row>
    <row r="2470" spans="2:18" ht="31.5" customHeight="1" x14ac:dyDescent="0.45">
      <c r="B2470" s="527"/>
      <c r="D2470" s="450" t="str">
        <f>Criteria!E9</f>
        <v>ABC COMPANY (PROPRIETARY) LIMITED</v>
      </c>
      <c r="M2470" s="635"/>
      <c r="N2470" s="621"/>
      <c r="O2470" s="531" t="s">
        <v>121</v>
      </c>
      <c r="Q2470" s="451">
        <f>MAX($Q$114:Q2469)+1</f>
        <v>62</v>
      </c>
    </row>
    <row r="2471" spans="2:18" ht="31.5" customHeight="1" x14ac:dyDescent="0.45">
      <c r="B2471" s="527"/>
      <c r="D2471" s="450" t="str">
        <f>Criteria!E10</f>
        <v>T/A SEAFRONT HOTEL, SEAFRONT RESTAURANT AND RENTAL PROPERTIES</v>
      </c>
      <c r="M2471" s="635"/>
      <c r="N2471" s="621"/>
      <c r="O2471" s="635"/>
      <c r="R2471" s="512" t="str">
        <f>IF(D2471=0,"DELETE"," ")</f>
        <v xml:space="preserve"> </v>
      </c>
    </row>
    <row r="2472" spans="2:18" ht="31.5" customHeight="1" x14ac:dyDescent="0.45">
      <c r="B2472" s="527"/>
      <c r="M2472" s="635"/>
      <c r="N2472" s="621"/>
      <c r="O2472" s="635"/>
    </row>
    <row r="2473" spans="2:18" ht="31.5" customHeight="1" x14ac:dyDescent="0.45">
      <c r="B2473" s="527"/>
      <c r="D2473" s="450" t="s">
        <v>451</v>
      </c>
      <c r="M2473" s="635"/>
      <c r="N2473" s="621"/>
      <c r="O2473" s="635"/>
    </row>
    <row r="2474" spans="2:18" ht="31.5" customHeight="1" x14ac:dyDescent="0.45">
      <c r="B2474" s="527"/>
      <c r="D2474" s="450" t="str">
        <f>Criteria!E20</f>
        <v>29 FEBRUARY 2024</v>
      </c>
      <c r="J2474" s="449" t="s">
        <v>303</v>
      </c>
      <c r="M2474" s="635"/>
      <c r="N2474" s="621"/>
      <c r="O2474" s="635"/>
    </row>
    <row r="2475" spans="2:18" ht="31.5" customHeight="1" x14ac:dyDescent="0.45">
      <c r="B2475" s="527"/>
      <c r="M2475" s="548"/>
      <c r="N2475" s="491"/>
      <c r="O2475" s="548"/>
      <c r="P2475" s="634"/>
    </row>
    <row r="2476" spans="2:18" ht="31.5" customHeight="1" x14ac:dyDescent="0.45">
      <c r="B2476" s="566"/>
      <c r="C2476" s="466"/>
      <c r="D2476" s="466"/>
      <c r="E2476" s="466"/>
      <c r="F2476" s="466"/>
      <c r="G2476" s="466"/>
      <c r="H2476" s="466"/>
      <c r="I2476" s="466"/>
      <c r="J2476" s="466"/>
      <c r="K2476" s="466"/>
      <c r="L2476" s="466"/>
      <c r="M2476" s="546"/>
      <c r="N2476" s="471"/>
      <c r="O2476" s="546"/>
      <c r="P2476" s="643"/>
      <c r="Q2476" s="467"/>
    </row>
    <row r="2477" spans="2:18" ht="31.5" customHeight="1" x14ac:dyDescent="0.45">
      <c r="B2477" s="563">
        <f>MAX($B$804:B2476)+1</f>
        <v>33</v>
      </c>
      <c r="C2477" s="492" t="s">
        <v>1064</v>
      </c>
      <c r="M2477" s="548"/>
      <c r="N2477" s="491"/>
      <c r="O2477" s="548"/>
      <c r="P2477" s="634"/>
      <c r="Q2477" s="469"/>
    </row>
    <row r="2478" spans="2:18" ht="31.5" customHeight="1" x14ac:dyDescent="0.45">
      <c r="B2478" s="582"/>
      <c r="M2478" s="548"/>
      <c r="N2478" s="491"/>
      <c r="O2478" s="548"/>
      <c r="P2478" s="634"/>
      <c r="Q2478" s="469"/>
    </row>
    <row r="2479" spans="2:18" ht="31.5" customHeight="1" x14ac:dyDescent="0.45">
      <c r="B2479" s="582"/>
      <c r="C2479" s="449" t="s">
        <v>1076</v>
      </c>
      <c r="M2479" s="548"/>
      <c r="N2479" s="491"/>
      <c r="O2479" s="548"/>
      <c r="P2479" s="634"/>
      <c r="Q2479" s="469"/>
    </row>
    <row r="2480" spans="2:18" ht="31.5" customHeight="1" x14ac:dyDescent="0.45">
      <c r="B2480" s="582"/>
      <c r="M2480" s="548"/>
      <c r="N2480" s="491"/>
      <c r="O2480" s="548"/>
      <c r="P2480" s="634"/>
      <c r="Q2480" s="469"/>
    </row>
    <row r="2481" spans="2:18" ht="31.5" customHeight="1" x14ac:dyDescent="0.45">
      <c r="B2481" s="582"/>
      <c r="C2481" s="462" t="s">
        <v>1075</v>
      </c>
      <c r="J2481" s="462" t="s">
        <v>1065</v>
      </c>
      <c r="M2481" s="548"/>
      <c r="N2481" s="491"/>
      <c r="O2481" s="548"/>
      <c r="P2481" s="634"/>
      <c r="Q2481" s="469"/>
    </row>
    <row r="2482" spans="2:18" ht="31.5" customHeight="1" x14ac:dyDescent="0.45">
      <c r="B2482" s="582"/>
      <c r="D2482" s="449" t="str">
        <f>Criteria!E41</f>
        <v>A Director</v>
      </c>
      <c r="J2482" s="449" t="s">
        <v>1066</v>
      </c>
      <c r="M2482" s="548"/>
      <c r="N2482" s="491"/>
      <c r="O2482" s="548"/>
      <c r="P2482" s="634"/>
      <c r="Q2482" s="469"/>
      <c r="R2482" s="512" t="str">
        <f>IF(D2482=0,"DELETE"," ")</f>
        <v xml:space="preserve"> </v>
      </c>
    </row>
    <row r="2483" spans="2:18" ht="31.5" customHeight="1" x14ac:dyDescent="0.45">
      <c r="B2483" s="582"/>
      <c r="D2483" s="449" t="str">
        <f>Criteria!E42</f>
        <v>C Director</v>
      </c>
      <c r="J2483" s="449" t="s">
        <v>1066</v>
      </c>
      <c r="M2483" s="548"/>
      <c r="N2483" s="491"/>
      <c r="O2483" s="548"/>
      <c r="P2483" s="634"/>
      <c r="Q2483" s="469"/>
      <c r="R2483" s="512" t="str">
        <f t="shared" ref="R2483:R2486" si="188">IF(D2483=0,"DELETE"," ")</f>
        <v xml:space="preserve"> </v>
      </c>
    </row>
    <row r="2484" spans="2:18" ht="31.5" customHeight="1" x14ac:dyDescent="0.45">
      <c r="B2484" s="582"/>
      <c r="D2484" s="449">
        <f>Criteria!E43</f>
        <v>0</v>
      </c>
      <c r="J2484" s="449" t="s">
        <v>1066</v>
      </c>
      <c r="M2484" s="548"/>
      <c r="N2484" s="491"/>
      <c r="O2484" s="548"/>
      <c r="P2484" s="634"/>
      <c r="Q2484" s="469"/>
      <c r="R2484" s="512" t="str">
        <f t="shared" si="188"/>
        <v>DELETE</v>
      </c>
    </row>
    <row r="2485" spans="2:18" ht="31.5" customHeight="1" x14ac:dyDescent="0.45">
      <c r="B2485" s="582"/>
      <c r="D2485" s="449">
        <f>Criteria!E44</f>
        <v>0</v>
      </c>
      <c r="J2485" s="449" t="s">
        <v>1066</v>
      </c>
      <c r="M2485" s="548"/>
      <c r="N2485" s="491"/>
      <c r="O2485" s="548"/>
      <c r="P2485" s="634"/>
      <c r="Q2485" s="469"/>
      <c r="R2485" s="512" t="str">
        <f t="shared" si="188"/>
        <v>DELETE</v>
      </c>
    </row>
    <row r="2486" spans="2:18" ht="31.5" customHeight="1" x14ac:dyDescent="0.45">
      <c r="B2486" s="582"/>
      <c r="D2486" s="449">
        <f>Criteria!E45</f>
        <v>0</v>
      </c>
      <c r="J2486" s="449" t="s">
        <v>1066</v>
      </c>
      <c r="M2486" s="548"/>
      <c r="N2486" s="491"/>
      <c r="O2486" s="548"/>
      <c r="P2486" s="634"/>
      <c r="Q2486" s="469"/>
      <c r="R2486" s="512" t="str">
        <f t="shared" si="188"/>
        <v>DELETE</v>
      </c>
    </row>
    <row r="2487" spans="2:18" ht="31.5" customHeight="1" x14ac:dyDescent="0.45">
      <c r="B2487" s="582"/>
      <c r="M2487" s="548"/>
      <c r="N2487" s="491"/>
      <c r="O2487" s="548"/>
      <c r="P2487" s="634"/>
      <c r="Q2487" s="469"/>
    </row>
    <row r="2488" spans="2:18" ht="31.5" customHeight="1" x14ac:dyDescent="0.45">
      <c r="B2488" s="582"/>
      <c r="C2488" s="449" t="str">
        <f>CONCATENATE("The detail of ",IF(MAX(Criteria!I41:I45)&gt;1,"directors' remuneration","the director's remuneration")," are comprehensively disclosed in Note ",'FS2'!C1105," of the Notes to the")</f>
        <v>The detail of directors' remuneration are comprehensively disclosed in Note 4.1 of the Notes to the</v>
      </c>
      <c r="M2488" s="548"/>
      <c r="N2488" s="491"/>
      <c r="O2488" s="548"/>
      <c r="P2488" s="634"/>
      <c r="Q2488" s="469"/>
    </row>
    <row r="2489" spans="2:18" ht="31.5" customHeight="1" x14ac:dyDescent="0.45">
      <c r="B2489" s="582"/>
      <c r="C2489" s="449" t="s">
        <v>1148</v>
      </c>
      <c r="M2489" s="548"/>
      <c r="N2489" s="491"/>
      <c r="O2489" s="548"/>
      <c r="P2489" s="634"/>
      <c r="Q2489" s="469"/>
    </row>
    <row r="2490" spans="2:18" ht="31.5" customHeight="1" x14ac:dyDescent="0.45">
      <c r="B2490" s="582"/>
      <c r="M2490" s="548"/>
      <c r="N2490" s="491"/>
      <c r="O2490" s="548"/>
      <c r="P2490" s="634"/>
      <c r="Q2490" s="469"/>
    </row>
    <row r="2491" spans="2:18" ht="31.5" customHeight="1" x14ac:dyDescent="0.45">
      <c r="B2491" s="582"/>
      <c r="C2491" s="449" t="str">
        <f>IF(SUM(Criteria!G521:H521)&gt;0,"Related party balances and transactions with entities with control, joint control or significant influence","There were no related party balances outstanding at year end and no further transactions with entities")</f>
        <v>There were no related party balances outstanding at year end and no further transactions with entities</v>
      </c>
      <c r="M2491" s="548"/>
      <c r="N2491" s="491"/>
      <c r="O2491" s="548"/>
      <c r="P2491" s="634"/>
      <c r="Q2491" s="469"/>
    </row>
    <row r="2492" spans="2:18" ht="31.5" customHeight="1" x14ac:dyDescent="0.45">
      <c r="B2492" s="582"/>
      <c r="C2492" s="449" t="str">
        <f>IF(SUM(Criteria!G521:H521)&gt;0,"over the company are as follows:","with control, joint control or significant influence over the company.")</f>
        <v>with control, joint control or significant influence over the company.</v>
      </c>
      <c r="M2492" s="548"/>
      <c r="N2492" s="491"/>
      <c r="O2492" s="548"/>
      <c r="P2492" s="634"/>
      <c r="Q2492" s="469"/>
    </row>
    <row r="2493" spans="2:18" ht="31.5" customHeight="1" x14ac:dyDescent="0.45">
      <c r="B2493" s="582"/>
      <c r="L2493" s="695" t="s">
        <v>824</v>
      </c>
      <c r="M2493" s="695"/>
      <c r="N2493" s="695"/>
      <c r="O2493" s="697" t="s">
        <v>111</v>
      </c>
      <c r="P2493" s="697"/>
      <c r="Q2493" s="469"/>
      <c r="R2493" s="512" t="str">
        <f>IF(SUM(Criteria!G521:H521)&gt;0," ","DELETE")</f>
        <v>DELETE</v>
      </c>
    </row>
    <row r="2494" spans="2:18" ht="31.5" customHeight="1" x14ac:dyDescent="0.45">
      <c r="B2494" s="582"/>
      <c r="C2494" s="462" t="s">
        <v>1067</v>
      </c>
      <c r="L2494" s="694" t="s">
        <v>1071</v>
      </c>
      <c r="M2494" s="694"/>
      <c r="N2494" s="694"/>
      <c r="O2494" s="698" t="s">
        <v>1068</v>
      </c>
      <c r="P2494" s="698"/>
      <c r="Q2494" s="469"/>
      <c r="R2494" s="512" t="str">
        <f>R2493</f>
        <v>DELETE</v>
      </c>
    </row>
    <row r="2495" spans="2:18" ht="31.5" customHeight="1" x14ac:dyDescent="0.45">
      <c r="B2495" s="582"/>
      <c r="M2495" s="548"/>
      <c r="N2495" s="491"/>
      <c r="O2495" s="548"/>
      <c r="P2495" s="634"/>
      <c r="Q2495" s="469"/>
    </row>
    <row r="2496" spans="2:18" ht="31.5" customHeight="1" x14ac:dyDescent="0.45">
      <c r="B2496" s="582"/>
      <c r="C2496" s="449">
        <f>Criteria!C521</f>
        <v>0</v>
      </c>
      <c r="M2496" s="548">
        <f>-Criteria!F521</f>
        <v>0</v>
      </c>
      <c r="N2496" s="491"/>
      <c r="O2496" s="548">
        <f>Criteria!E521</f>
        <v>0</v>
      </c>
      <c r="P2496" s="634"/>
      <c r="Q2496" s="469"/>
      <c r="R2496" s="512" t="str">
        <f>IF(M2496=0,IF(O2496=0,"DELETE"," ")," ")</f>
        <v>DELETE</v>
      </c>
    </row>
    <row r="2497" spans="2:18" ht="31.5" customHeight="1" x14ac:dyDescent="0.45">
      <c r="B2497" s="582"/>
      <c r="C2497" s="449">
        <f>Criteria!C522</f>
        <v>0</v>
      </c>
      <c r="M2497" s="548">
        <f>-Criteria!F522</f>
        <v>0</v>
      </c>
      <c r="N2497" s="491"/>
      <c r="O2497" s="548">
        <f>Criteria!E522</f>
        <v>0</v>
      </c>
      <c r="P2497" s="634"/>
      <c r="Q2497" s="469"/>
      <c r="R2497" s="512" t="str">
        <f t="shared" ref="R2497:R2505" si="189">IF(M2497=0,IF(O2497=0,"DELETE"," ")," ")</f>
        <v>DELETE</v>
      </c>
    </row>
    <row r="2498" spans="2:18" ht="31.5" customHeight="1" x14ac:dyDescent="0.45">
      <c r="B2498" s="582"/>
      <c r="C2498" s="449">
        <f>Criteria!C523</f>
        <v>0</v>
      </c>
      <c r="M2498" s="548">
        <f>-Criteria!F523</f>
        <v>0</v>
      </c>
      <c r="N2498" s="491"/>
      <c r="O2498" s="548">
        <f>Criteria!E523</f>
        <v>0</v>
      </c>
      <c r="P2498" s="634"/>
      <c r="Q2498" s="469"/>
      <c r="R2498" s="512" t="str">
        <f t="shared" si="189"/>
        <v>DELETE</v>
      </c>
    </row>
    <row r="2499" spans="2:18" ht="31.5" customHeight="1" x14ac:dyDescent="0.45">
      <c r="B2499" s="582"/>
      <c r="C2499" s="449">
        <f>Criteria!C524</f>
        <v>0</v>
      </c>
      <c r="M2499" s="548">
        <f>-Criteria!F524</f>
        <v>0</v>
      </c>
      <c r="N2499" s="491"/>
      <c r="O2499" s="548">
        <f>Criteria!E524</f>
        <v>0</v>
      </c>
      <c r="P2499" s="634"/>
      <c r="Q2499" s="469"/>
      <c r="R2499" s="512" t="str">
        <f t="shared" si="189"/>
        <v>DELETE</v>
      </c>
    </row>
    <row r="2500" spans="2:18" ht="31.5" customHeight="1" x14ac:dyDescent="0.45">
      <c r="B2500" s="582"/>
      <c r="C2500" s="449">
        <f>Criteria!C525</f>
        <v>0</v>
      </c>
      <c r="M2500" s="548">
        <f>-Criteria!F525</f>
        <v>0</v>
      </c>
      <c r="N2500" s="491"/>
      <c r="O2500" s="548">
        <f>Criteria!E525</f>
        <v>0</v>
      </c>
      <c r="P2500" s="634"/>
      <c r="Q2500" s="469"/>
      <c r="R2500" s="512" t="str">
        <f t="shared" si="189"/>
        <v>DELETE</v>
      </c>
    </row>
    <row r="2501" spans="2:18" ht="31.5" customHeight="1" x14ac:dyDescent="0.45">
      <c r="B2501" s="582"/>
      <c r="C2501" s="449">
        <f>Criteria!C526</f>
        <v>0</v>
      </c>
      <c r="M2501" s="548">
        <f>-Criteria!F526</f>
        <v>0</v>
      </c>
      <c r="N2501" s="491"/>
      <c r="O2501" s="548">
        <f>Criteria!E526</f>
        <v>0</v>
      </c>
      <c r="P2501" s="634"/>
      <c r="Q2501" s="469"/>
      <c r="R2501" s="512" t="str">
        <f t="shared" si="189"/>
        <v>DELETE</v>
      </c>
    </row>
    <row r="2502" spans="2:18" ht="31.5" customHeight="1" x14ac:dyDescent="0.45">
      <c r="B2502" s="582"/>
      <c r="C2502" s="449">
        <f>Criteria!C527</f>
        <v>0</v>
      </c>
      <c r="M2502" s="548">
        <f>-Criteria!F527</f>
        <v>0</v>
      </c>
      <c r="N2502" s="491"/>
      <c r="O2502" s="548">
        <f>Criteria!E527</f>
        <v>0</v>
      </c>
      <c r="P2502" s="634"/>
      <c r="Q2502" s="469"/>
      <c r="R2502" s="512" t="str">
        <f t="shared" si="189"/>
        <v>DELETE</v>
      </c>
    </row>
    <row r="2503" spans="2:18" ht="31.5" customHeight="1" x14ac:dyDescent="0.45">
      <c r="B2503" s="582"/>
      <c r="C2503" s="449">
        <f>Criteria!C528</f>
        <v>0</v>
      </c>
      <c r="M2503" s="548">
        <f>-Criteria!F528</f>
        <v>0</v>
      </c>
      <c r="N2503" s="491"/>
      <c r="O2503" s="548">
        <f>Criteria!E528</f>
        <v>0</v>
      </c>
      <c r="P2503" s="634"/>
      <c r="Q2503" s="469"/>
      <c r="R2503" s="512" t="str">
        <f t="shared" si="189"/>
        <v>DELETE</v>
      </c>
    </row>
    <row r="2504" spans="2:18" ht="31.5" customHeight="1" x14ac:dyDescent="0.45">
      <c r="B2504" s="582"/>
      <c r="C2504" s="449">
        <f>Criteria!C529</f>
        <v>0</v>
      </c>
      <c r="M2504" s="548">
        <f>-Criteria!F529</f>
        <v>0</v>
      </c>
      <c r="N2504" s="491"/>
      <c r="O2504" s="548">
        <f>Criteria!E529</f>
        <v>0</v>
      </c>
      <c r="P2504" s="634"/>
      <c r="Q2504" s="469"/>
      <c r="R2504" s="512" t="str">
        <f t="shared" si="189"/>
        <v>DELETE</v>
      </c>
    </row>
    <row r="2505" spans="2:18" ht="31.5" customHeight="1" x14ac:dyDescent="0.45">
      <c r="B2505" s="582"/>
      <c r="C2505" s="449">
        <f>Criteria!C530</f>
        <v>0</v>
      </c>
      <c r="M2505" s="548">
        <f>-Criteria!F530</f>
        <v>0</v>
      </c>
      <c r="N2505" s="491"/>
      <c r="O2505" s="548">
        <f>Criteria!E530</f>
        <v>0</v>
      </c>
      <c r="P2505" s="634"/>
      <c r="Q2505" s="469"/>
      <c r="R2505" s="512" t="str">
        <f t="shared" si="189"/>
        <v>DELETE</v>
      </c>
    </row>
    <row r="2506" spans="2:18" ht="31.5" customHeight="1" x14ac:dyDescent="0.45">
      <c r="B2506" s="582"/>
      <c r="M2506" s="548"/>
      <c r="N2506" s="491"/>
      <c r="O2506" s="548"/>
      <c r="P2506" s="634"/>
      <c r="Q2506" s="469"/>
    </row>
    <row r="2507" spans="2:18" ht="31.5" customHeight="1" x14ac:dyDescent="0.45">
      <c r="B2507" s="582"/>
      <c r="M2507" s="548"/>
      <c r="N2507" s="491"/>
      <c r="O2507" s="548"/>
      <c r="P2507" s="634"/>
      <c r="Q2507" s="469"/>
    </row>
    <row r="2508" spans="2:18" ht="31.5" customHeight="1" x14ac:dyDescent="0.45">
      <c r="B2508" s="567"/>
      <c r="C2508" s="461"/>
      <c r="D2508" s="461"/>
      <c r="E2508" s="461"/>
      <c r="F2508" s="461"/>
      <c r="G2508" s="461"/>
      <c r="H2508" s="461"/>
      <c r="I2508" s="461"/>
      <c r="J2508" s="461"/>
      <c r="K2508" s="461"/>
      <c r="L2508" s="461"/>
      <c r="M2508" s="535"/>
      <c r="N2508" s="473"/>
      <c r="O2508" s="535"/>
      <c r="P2508" s="631"/>
      <c r="Q2508" s="479"/>
    </row>
    <row r="2509" spans="2:18" ht="31.5" customHeight="1" x14ac:dyDescent="0.45">
      <c r="M2509" s="635"/>
      <c r="N2509" s="621"/>
      <c r="O2509" s="635"/>
    </row>
    <row r="2510" spans="2:18" ht="31.5" customHeight="1" x14ac:dyDescent="0.45">
      <c r="M2510" s="635"/>
      <c r="N2510" s="621"/>
      <c r="O2510" s="635"/>
    </row>
    <row r="2511" spans="2:18" ht="31.5" customHeight="1" x14ac:dyDescent="0.45">
      <c r="D2511" s="450" t="str">
        <f>Criteria!E9</f>
        <v>ABC COMPANY (PROPRIETARY) LIMITED</v>
      </c>
      <c r="M2511" s="635"/>
      <c r="N2511" s="621"/>
      <c r="O2511" s="531" t="s">
        <v>121</v>
      </c>
      <c r="Q2511" s="451">
        <f>MAX($Q$114:Q2510)+1</f>
        <v>63</v>
      </c>
    </row>
    <row r="2512" spans="2:18" ht="31.5" customHeight="1" x14ac:dyDescent="0.45">
      <c r="D2512" s="450" t="str">
        <f>IF(Criteria!E13=0," ",CONCATENATE("T/A ",Criteria!E13))</f>
        <v>T/A SEAFRONT HOTEL</v>
      </c>
      <c r="M2512" s="635"/>
      <c r="N2512" s="621"/>
      <c r="O2512" s="635"/>
      <c r="R2512" s="512" t="str">
        <f>IF(Criteria!E13=0,"DELETE"," ")</f>
        <v xml:space="preserve"> </v>
      </c>
    </row>
    <row r="2513" spans="2:22" ht="31.5" customHeight="1" x14ac:dyDescent="0.45">
      <c r="M2513" s="635"/>
      <c r="N2513" s="621"/>
      <c r="O2513" s="635"/>
    </row>
    <row r="2514" spans="2:22" ht="31.5" customHeight="1" x14ac:dyDescent="0.45">
      <c r="D2514" s="450" t="s">
        <v>115</v>
      </c>
      <c r="M2514" s="635"/>
      <c r="N2514" s="621"/>
      <c r="O2514" s="635"/>
    </row>
    <row r="2515" spans="2:22" ht="31.5" customHeight="1" x14ac:dyDescent="0.45">
      <c r="D2515" s="450" t="str">
        <f>Criteria!E20</f>
        <v>29 FEBRUARY 2024</v>
      </c>
      <c r="M2515" s="635"/>
      <c r="N2515" s="621"/>
      <c r="O2515" s="635"/>
    </row>
    <row r="2516" spans="2:22" ht="31.5" customHeight="1" x14ac:dyDescent="0.45">
      <c r="M2516" s="635"/>
      <c r="N2516" s="621"/>
      <c r="O2516" s="635"/>
    </row>
    <row r="2517" spans="2:22" ht="31.5" customHeight="1" x14ac:dyDescent="0.45">
      <c r="B2517" s="465"/>
      <c r="C2517" s="466"/>
      <c r="D2517" s="466"/>
      <c r="E2517" s="466"/>
      <c r="F2517" s="466"/>
      <c r="G2517" s="466"/>
      <c r="H2517" s="466"/>
      <c r="I2517" s="466"/>
      <c r="J2517" s="466"/>
      <c r="K2517" s="466"/>
      <c r="L2517" s="466"/>
      <c r="M2517" s="648"/>
      <c r="N2517" s="649"/>
      <c r="O2517" s="648"/>
      <c r="P2517" s="643"/>
      <c r="Q2517" s="467"/>
    </row>
    <row r="2518" spans="2:22" ht="31.5" customHeight="1" x14ac:dyDescent="0.45">
      <c r="B2518" s="468"/>
      <c r="J2518" s="451"/>
      <c r="K2518" s="451" t="s">
        <v>129</v>
      </c>
      <c r="L2518" s="452"/>
      <c r="M2518" s="527"/>
      <c r="N2518" s="451"/>
      <c r="O2518" s="525">
        <f>Criteria!E22</f>
        <v>2024</v>
      </c>
      <c r="P2518" s="459"/>
      <c r="Q2518" s="469"/>
    </row>
    <row r="2519" spans="2:22" ht="31.5" customHeight="1" x14ac:dyDescent="0.45">
      <c r="B2519" s="468"/>
      <c r="J2519" s="451"/>
      <c r="K2519" s="451"/>
      <c r="L2519" s="452"/>
      <c r="M2519" s="527"/>
      <c r="N2519" s="451"/>
      <c r="O2519" s="531"/>
      <c r="P2519" s="459"/>
      <c r="Q2519" s="469"/>
    </row>
    <row r="2520" spans="2:22" ht="31.5" customHeight="1" x14ac:dyDescent="0.45">
      <c r="B2520" s="468"/>
      <c r="C2520" s="450" t="s">
        <v>137</v>
      </c>
      <c r="J2520" s="451"/>
      <c r="K2520" s="451"/>
      <c r="L2520" s="452"/>
      <c r="M2520" s="527"/>
      <c r="N2520" s="451"/>
      <c r="O2520" s="531">
        <f>-SUM(TrialBalance!L5:L10)</f>
        <v>0</v>
      </c>
      <c r="P2520" s="459"/>
      <c r="Q2520" s="469"/>
      <c r="R2520" s="512" t="str">
        <f>IF(O2520=0,IF(O2522=0," ","DELETE")," ")</f>
        <v xml:space="preserve"> </v>
      </c>
      <c r="S2520" s="517">
        <f>O2520</f>
        <v>0</v>
      </c>
      <c r="T2520" s="517"/>
      <c r="U2520" s="517"/>
      <c r="V2520" s="517"/>
    </row>
    <row r="2521" spans="2:22" ht="31.5" customHeight="1" x14ac:dyDescent="0.45">
      <c r="B2521" s="468"/>
      <c r="C2521" s="450"/>
      <c r="J2521" s="451"/>
      <c r="K2521" s="451"/>
      <c r="L2521" s="452"/>
      <c r="M2521" s="527"/>
      <c r="N2521" s="451"/>
      <c r="O2521" s="531"/>
      <c r="P2521" s="459"/>
      <c r="Q2521" s="469"/>
      <c r="R2521" s="512" t="str">
        <f>R2520</f>
        <v xml:space="preserve"> </v>
      </c>
      <c r="S2521" s="517"/>
      <c r="T2521" s="517"/>
      <c r="U2521" s="517"/>
      <c r="V2521" s="517"/>
    </row>
    <row r="2522" spans="2:22" ht="31.5" customHeight="1" x14ac:dyDescent="0.45">
      <c r="B2522" s="468"/>
      <c r="C2522" s="450" t="s">
        <v>606</v>
      </c>
      <c r="J2522" s="451"/>
      <c r="K2522" s="451"/>
      <c r="L2522" s="452"/>
      <c r="M2522" s="527"/>
      <c r="N2522" s="451"/>
      <c r="O2522" s="531">
        <f>-TrialBalance!L11</f>
        <v>0</v>
      </c>
      <c r="P2522" s="459"/>
      <c r="Q2522" s="469"/>
      <c r="R2522" s="512" t="str">
        <f t="shared" ref="R2522" si="190">IF(O2522=0,"DELETE"," ")</f>
        <v>DELETE</v>
      </c>
      <c r="S2522" s="517">
        <f>O2522</f>
        <v>0</v>
      </c>
      <c r="T2522" s="517"/>
      <c r="U2522" s="517"/>
      <c r="V2522" s="517"/>
    </row>
    <row r="2523" spans="2:22" ht="31.5" customHeight="1" x14ac:dyDescent="0.45">
      <c r="B2523" s="468"/>
      <c r="C2523" s="450"/>
      <c r="J2523" s="451"/>
      <c r="K2523" s="451"/>
      <c r="L2523" s="452"/>
      <c r="M2523" s="527"/>
      <c r="N2523" s="451"/>
      <c r="O2523" s="531"/>
      <c r="P2523" s="459"/>
      <c r="Q2523" s="469"/>
      <c r="R2523" s="512" t="str">
        <f>R2522</f>
        <v>DELETE</v>
      </c>
    </row>
    <row r="2524" spans="2:22" ht="31.5" customHeight="1" x14ac:dyDescent="0.45">
      <c r="B2524" s="468"/>
      <c r="C2524" s="450" t="s">
        <v>333</v>
      </c>
      <c r="J2524" s="451"/>
      <c r="K2524" s="451"/>
      <c r="L2524" s="452"/>
      <c r="M2524" s="527"/>
      <c r="N2524" s="451"/>
      <c r="O2524" s="531">
        <f>SUM(O2527:O2534)</f>
        <v>0</v>
      </c>
      <c r="P2524" s="459"/>
      <c r="Q2524" s="469"/>
      <c r="R2524" s="512" t="str">
        <f t="shared" ref="R2524" si="191">IF(O2524=0,"DELETE"," ")</f>
        <v>DELETE</v>
      </c>
      <c r="S2524" s="517">
        <f>-O2524</f>
        <v>0</v>
      </c>
      <c r="T2524" s="517"/>
      <c r="U2524" s="517"/>
      <c r="V2524" s="517"/>
    </row>
    <row r="2525" spans="2:22" ht="9" customHeight="1" x14ac:dyDescent="0.45">
      <c r="B2525" s="468"/>
      <c r="C2525" s="450"/>
      <c r="J2525" s="451"/>
      <c r="K2525" s="451"/>
      <c r="L2525" s="452"/>
      <c r="M2525" s="527"/>
      <c r="N2525" s="451"/>
      <c r="O2525" s="531"/>
      <c r="P2525" s="459"/>
      <c r="Q2525" s="469"/>
      <c r="R2525" s="512" t="str">
        <f>R2524</f>
        <v>DELETE</v>
      </c>
    </row>
    <row r="2526" spans="2:22" ht="9" customHeight="1" x14ac:dyDescent="0.45">
      <c r="B2526" s="468"/>
      <c r="C2526" s="450"/>
      <c r="J2526" s="451"/>
      <c r="K2526" s="451"/>
      <c r="L2526" s="452"/>
      <c r="M2526" s="527"/>
      <c r="N2526" s="451"/>
      <c r="O2526" s="558"/>
      <c r="P2526" s="459"/>
      <c r="Q2526" s="469"/>
      <c r="R2526" s="512" t="str">
        <f>R2525</f>
        <v>DELETE</v>
      </c>
    </row>
    <row r="2527" spans="2:22" ht="31.5" customHeight="1" x14ac:dyDescent="0.45">
      <c r="B2527" s="468"/>
      <c r="C2527" s="450"/>
      <c r="D2527" s="449" t="s">
        <v>608</v>
      </c>
      <c r="J2527" s="451"/>
      <c r="K2527" s="451"/>
      <c r="L2527" s="452"/>
      <c r="M2527" s="527"/>
      <c r="N2527" s="451"/>
      <c r="O2527" s="559">
        <f>SUM(TrialBalance!L13:L16)</f>
        <v>0</v>
      </c>
      <c r="P2527" s="459"/>
      <c r="Q2527" s="469"/>
      <c r="R2527" s="512" t="str">
        <f t="shared" ref="R2527:R2534" si="192">IF(O2527=0,"DELETE"," ")</f>
        <v>DELETE</v>
      </c>
    </row>
    <row r="2528" spans="2:22" ht="31.5" customHeight="1" x14ac:dyDescent="0.45">
      <c r="B2528" s="468"/>
      <c r="C2528" s="450"/>
      <c r="D2528" s="449" t="s">
        <v>334</v>
      </c>
      <c r="J2528" s="451"/>
      <c r="K2528" s="451"/>
      <c r="L2528" s="452"/>
      <c r="M2528" s="527"/>
      <c r="N2528" s="451"/>
      <c r="O2528" s="559">
        <f>TrialBalance!L17</f>
        <v>0</v>
      </c>
      <c r="P2528" s="459"/>
      <c r="Q2528" s="469"/>
      <c r="R2528" s="512" t="str">
        <f t="shared" si="192"/>
        <v>DELETE</v>
      </c>
    </row>
    <row r="2529" spans="2:23" ht="31.5" customHeight="1" x14ac:dyDescent="0.45">
      <c r="B2529" s="468"/>
      <c r="C2529" s="450"/>
      <c r="D2529" s="449">
        <f>TrialBalance!C18</f>
        <v>0</v>
      </c>
      <c r="J2529" s="451"/>
      <c r="K2529" s="451"/>
      <c r="L2529" s="452"/>
      <c r="M2529" s="527"/>
      <c r="N2529" s="451"/>
      <c r="O2529" s="559">
        <f>TrialBalance!L18</f>
        <v>0</v>
      </c>
      <c r="P2529" s="459"/>
      <c r="Q2529" s="469"/>
      <c r="R2529" s="512" t="str">
        <f t="shared" si="192"/>
        <v>DELETE</v>
      </c>
    </row>
    <row r="2530" spans="2:23" ht="31.5" customHeight="1" x14ac:dyDescent="0.45">
      <c r="B2530" s="468"/>
      <c r="C2530" s="450"/>
      <c r="D2530" s="449">
        <f>TrialBalance!C19</f>
        <v>0</v>
      </c>
      <c r="J2530" s="451"/>
      <c r="K2530" s="451"/>
      <c r="L2530" s="452"/>
      <c r="M2530" s="527"/>
      <c r="N2530" s="451"/>
      <c r="O2530" s="559">
        <f>TrialBalance!L19</f>
        <v>0</v>
      </c>
      <c r="P2530" s="459"/>
      <c r="Q2530" s="469"/>
      <c r="R2530" s="512" t="str">
        <f t="shared" si="192"/>
        <v>DELETE</v>
      </c>
    </row>
    <row r="2531" spans="2:23" ht="31.5" customHeight="1" x14ac:dyDescent="0.45">
      <c r="B2531" s="468"/>
      <c r="C2531" s="450"/>
      <c r="D2531" s="449">
        <f>TrialBalance!C20</f>
        <v>0</v>
      </c>
      <c r="J2531" s="451"/>
      <c r="K2531" s="451"/>
      <c r="L2531" s="452"/>
      <c r="M2531" s="527"/>
      <c r="N2531" s="451"/>
      <c r="O2531" s="559">
        <f>TrialBalance!L20</f>
        <v>0</v>
      </c>
      <c r="P2531" s="459"/>
      <c r="Q2531" s="469"/>
      <c r="R2531" s="512" t="str">
        <f t="shared" si="192"/>
        <v>DELETE</v>
      </c>
    </row>
    <row r="2532" spans="2:23" ht="31.5" customHeight="1" x14ac:dyDescent="0.45">
      <c r="B2532" s="468"/>
      <c r="C2532" s="450"/>
      <c r="D2532" s="449">
        <f>TrialBalance!C21</f>
        <v>0</v>
      </c>
      <c r="J2532" s="451"/>
      <c r="K2532" s="451"/>
      <c r="L2532" s="452"/>
      <c r="M2532" s="527"/>
      <c r="N2532" s="451"/>
      <c r="O2532" s="559">
        <f>TrialBalance!L21</f>
        <v>0</v>
      </c>
      <c r="P2532" s="459"/>
      <c r="Q2532" s="469"/>
      <c r="R2532" s="512" t="str">
        <f t="shared" si="192"/>
        <v>DELETE</v>
      </c>
    </row>
    <row r="2533" spans="2:23" ht="31.5" customHeight="1" x14ac:dyDescent="0.45">
      <c r="B2533" s="468"/>
      <c r="C2533" s="450"/>
      <c r="D2533" s="449">
        <f>TrialBalance!C22</f>
        <v>0</v>
      </c>
      <c r="J2533" s="451"/>
      <c r="K2533" s="451"/>
      <c r="L2533" s="452"/>
      <c r="M2533" s="527"/>
      <c r="N2533" s="451"/>
      <c r="O2533" s="559">
        <f>TrialBalance!L22</f>
        <v>0</v>
      </c>
      <c r="P2533" s="459"/>
      <c r="Q2533" s="469"/>
      <c r="R2533" s="512" t="str">
        <f t="shared" si="192"/>
        <v>DELETE</v>
      </c>
    </row>
    <row r="2534" spans="2:23" ht="31.5" customHeight="1" x14ac:dyDescent="0.45">
      <c r="B2534" s="468"/>
      <c r="C2534" s="450"/>
      <c r="D2534" s="449" t="s">
        <v>609</v>
      </c>
      <c r="J2534" s="451"/>
      <c r="K2534" s="451"/>
      <c r="L2534" s="452"/>
      <c r="M2534" s="527"/>
      <c r="N2534" s="451"/>
      <c r="O2534" s="559">
        <f>SUM(TrialBalance!L23:L26)</f>
        <v>0</v>
      </c>
      <c r="P2534" s="459"/>
      <c r="Q2534" s="469"/>
      <c r="R2534" s="512" t="str">
        <f t="shared" si="192"/>
        <v>DELETE</v>
      </c>
    </row>
    <row r="2535" spans="2:23" ht="9" customHeight="1" x14ac:dyDescent="0.45">
      <c r="B2535" s="468"/>
      <c r="C2535" s="450"/>
      <c r="J2535" s="451"/>
      <c r="K2535" s="451"/>
      <c r="L2535" s="452"/>
      <c r="M2535" s="527"/>
      <c r="N2535" s="451"/>
      <c r="O2535" s="560"/>
      <c r="P2535" s="459"/>
      <c r="Q2535" s="469"/>
      <c r="R2535" s="512" t="str">
        <f>R2524</f>
        <v>DELETE</v>
      </c>
    </row>
    <row r="2536" spans="2:23" ht="9" customHeight="1" x14ac:dyDescent="0.45">
      <c r="B2536" s="468"/>
      <c r="C2536" s="450"/>
      <c r="J2536" s="451"/>
      <c r="K2536" s="451"/>
      <c r="L2536" s="452"/>
      <c r="M2536" s="527"/>
      <c r="N2536" s="451"/>
      <c r="O2536" s="535"/>
      <c r="P2536" s="459"/>
      <c r="Q2536" s="469"/>
      <c r="R2536" s="512" t="str">
        <f>R2524</f>
        <v>DELETE</v>
      </c>
    </row>
    <row r="2537" spans="2:23" ht="9" customHeight="1" x14ac:dyDescent="0.45">
      <c r="B2537" s="468"/>
      <c r="C2537" s="450"/>
      <c r="J2537" s="451"/>
      <c r="K2537" s="451"/>
      <c r="L2537" s="452"/>
      <c r="M2537" s="527"/>
      <c r="N2537" s="451"/>
      <c r="O2537" s="531"/>
      <c r="P2537" s="459"/>
      <c r="Q2537" s="469"/>
      <c r="R2537" s="512" t="str">
        <f>R2536</f>
        <v>DELETE</v>
      </c>
    </row>
    <row r="2538" spans="2:23" ht="31.5" customHeight="1" x14ac:dyDescent="0.45">
      <c r="B2538" s="468"/>
      <c r="C2538" s="492" t="str">
        <f>IF(W2538=2,"GROSS PROFIT","GROSS LOSS")</f>
        <v>GROSS PROFIT</v>
      </c>
      <c r="J2538" s="451"/>
      <c r="K2538" s="451"/>
      <c r="L2538" s="452"/>
      <c r="M2538" s="527"/>
      <c r="N2538" s="451"/>
      <c r="O2538" s="531">
        <f>SUM(S2520:S2535)</f>
        <v>0</v>
      </c>
      <c r="P2538" s="459"/>
      <c r="Q2538" s="469"/>
      <c r="R2538" s="512" t="str">
        <f>R2537</f>
        <v>DELETE</v>
      </c>
      <c r="W2538" s="513">
        <f>IF(O2538&lt;0,1,2)</f>
        <v>2</v>
      </c>
    </row>
    <row r="2539" spans="2:23" ht="31.5" customHeight="1" x14ac:dyDescent="0.45">
      <c r="B2539" s="468"/>
      <c r="C2539" s="450"/>
      <c r="J2539" s="451"/>
      <c r="K2539" s="451"/>
      <c r="L2539" s="452"/>
      <c r="M2539" s="527"/>
      <c r="N2539" s="451"/>
      <c r="O2539" s="531"/>
      <c r="P2539" s="459"/>
      <c r="Q2539" s="469"/>
      <c r="R2539" s="512" t="str">
        <f>R2538</f>
        <v>DELETE</v>
      </c>
    </row>
    <row r="2540" spans="2:23" ht="31.5" customHeight="1" x14ac:dyDescent="0.45">
      <c r="B2540" s="468"/>
      <c r="C2540" s="450" t="s">
        <v>385</v>
      </c>
      <c r="J2540" s="451"/>
      <c r="K2540" s="451"/>
      <c r="L2540" s="452"/>
      <c r="M2540" s="527"/>
      <c r="N2540" s="451"/>
      <c r="O2540" s="531">
        <f>SUM(O2542:O2549)</f>
        <v>0</v>
      </c>
      <c r="P2540" s="459"/>
      <c r="Q2540" s="469"/>
      <c r="R2540" s="512" t="str">
        <f t="shared" ref="R2540" si="193">IF(O2540=0,"DELETE"," ")</f>
        <v>DELETE</v>
      </c>
      <c r="S2540" s="517">
        <f>O2540</f>
        <v>0</v>
      </c>
      <c r="T2540" s="517"/>
    </row>
    <row r="2541" spans="2:23" ht="9" customHeight="1" x14ac:dyDescent="0.45">
      <c r="B2541" s="468"/>
      <c r="C2541" s="450"/>
      <c r="J2541" s="451"/>
      <c r="K2541" s="451"/>
      <c r="L2541" s="452"/>
      <c r="M2541" s="527"/>
      <c r="N2541" s="451"/>
      <c r="O2541" s="531"/>
      <c r="P2541" s="459"/>
      <c r="Q2541" s="469"/>
      <c r="R2541" s="512" t="str">
        <f>R2540</f>
        <v>DELETE</v>
      </c>
    </row>
    <row r="2542" spans="2:23" ht="9" customHeight="1" x14ac:dyDescent="0.45">
      <c r="B2542" s="468"/>
      <c r="C2542" s="450"/>
      <c r="J2542" s="451"/>
      <c r="K2542" s="451"/>
      <c r="L2542" s="452"/>
      <c r="M2542" s="527"/>
      <c r="N2542" s="451"/>
      <c r="O2542" s="558"/>
      <c r="P2542" s="459"/>
      <c r="Q2542" s="469"/>
      <c r="R2542" s="512" t="str">
        <f>R2540</f>
        <v>DELETE</v>
      </c>
    </row>
    <row r="2543" spans="2:23" ht="31.5" customHeight="1" x14ac:dyDescent="0.45">
      <c r="B2543" s="468"/>
      <c r="C2543" s="450"/>
      <c r="D2543" s="449" t="str">
        <f>TrialBalance!C28</f>
        <v>Insurance claims - Seafront Hotel</v>
      </c>
      <c r="J2543" s="451"/>
      <c r="K2543" s="451"/>
      <c r="L2543" s="452"/>
      <c r="M2543" s="527"/>
      <c r="N2543" s="451"/>
      <c r="O2543" s="559">
        <f>-TrialBalance!L28</f>
        <v>0</v>
      </c>
      <c r="P2543" s="459"/>
      <c r="Q2543" s="469"/>
      <c r="R2543" s="512" t="str">
        <f t="shared" ref="R2543:R2547" si="194">IF(O2543=0,"DELETE"," ")</f>
        <v>DELETE</v>
      </c>
    </row>
    <row r="2544" spans="2:23" ht="31.5" customHeight="1" x14ac:dyDescent="0.45">
      <c r="B2544" s="468"/>
      <c r="C2544" s="450"/>
      <c r="D2544" s="449" t="str">
        <f>TrialBalance!C29</f>
        <v>Government grants received</v>
      </c>
      <c r="J2544" s="451"/>
      <c r="K2544" s="451"/>
      <c r="L2544" s="452"/>
      <c r="M2544" s="527"/>
      <c r="N2544" s="451"/>
      <c r="O2544" s="559">
        <f>-TrialBalance!L29</f>
        <v>0</v>
      </c>
      <c r="P2544" s="459"/>
      <c r="Q2544" s="469"/>
      <c r="R2544" s="512" t="str">
        <f t="shared" si="194"/>
        <v>DELETE</v>
      </c>
    </row>
    <row r="2545" spans="2:22" ht="31.5" customHeight="1" x14ac:dyDescent="0.45">
      <c r="B2545" s="468"/>
      <c r="C2545" s="450"/>
      <c r="D2545" s="449">
        <f>TrialBalance!C30</f>
        <v>0</v>
      </c>
      <c r="J2545" s="451"/>
      <c r="K2545" s="451"/>
      <c r="L2545" s="452"/>
      <c r="M2545" s="527"/>
      <c r="N2545" s="451"/>
      <c r="O2545" s="559">
        <f>-TrialBalance!L30</f>
        <v>0</v>
      </c>
      <c r="P2545" s="459"/>
      <c r="Q2545" s="469"/>
      <c r="R2545" s="512" t="str">
        <f t="shared" si="194"/>
        <v>DELETE</v>
      </c>
    </row>
    <row r="2546" spans="2:22" ht="31.5" customHeight="1" x14ac:dyDescent="0.45">
      <c r="B2546" s="468"/>
      <c r="C2546" s="450"/>
      <c r="D2546" s="449">
        <f>TrialBalance!C31</f>
        <v>0</v>
      </c>
      <c r="J2546" s="451"/>
      <c r="K2546" s="451"/>
      <c r="L2546" s="452"/>
      <c r="M2546" s="527"/>
      <c r="N2546" s="451"/>
      <c r="O2546" s="559">
        <f>-TrialBalance!L31</f>
        <v>0</v>
      </c>
      <c r="P2546" s="459"/>
      <c r="Q2546" s="469"/>
      <c r="R2546" s="512" t="str">
        <f t="shared" si="194"/>
        <v>DELETE</v>
      </c>
    </row>
    <row r="2547" spans="2:22" ht="31.5" customHeight="1" x14ac:dyDescent="0.45">
      <c r="B2547" s="468"/>
      <c r="C2547" s="450"/>
      <c r="D2547" s="449">
        <f>TrialBalance!C32</f>
        <v>0</v>
      </c>
      <c r="J2547" s="451"/>
      <c r="K2547" s="451"/>
      <c r="L2547" s="452"/>
      <c r="M2547" s="527"/>
      <c r="N2547" s="451"/>
      <c r="O2547" s="559">
        <f>-TrialBalance!L32</f>
        <v>0</v>
      </c>
      <c r="P2547" s="459"/>
      <c r="Q2547" s="469"/>
      <c r="R2547" s="512" t="str">
        <f t="shared" si="194"/>
        <v>DELETE</v>
      </c>
    </row>
    <row r="2548" spans="2:22" ht="31.5" customHeight="1" x14ac:dyDescent="0.45">
      <c r="B2548" s="468"/>
      <c r="C2548" s="450"/>
      <c r="D2548" s="449" t="str">
        <f>TrialBalance!C33</f>
        <v>Recoupment of depreciation</v>
      </c>
      <c r="J2548" s="451"/>
      <c r="K2548" s="451"/>
      <c r="L2548" s="452"/>
      <c r="M2548" s="527"/>
      <c r="N2548" s="451"/>
      <c r="O2548" s="559">
        <f>-TrialBalance!L33</f>
        <v>0</v>
      </c>
      <c r="P2548" s="459"/>
      <c r="Q2548" s="469"/>
      <c r="R2548" s="512" t="str">
        <f t="shared" ref="R2548" si="195">IF(O2548=0,"DELETE"," ")</f>
        <v>DELETE</v>
      </c>
    </row>
    <row r="2549" spans="2:22" ht="9" customHeight="1" x14ac:dyDescent="0.45">
      <c r="B2549" s="468"/>
      <c r="C2549" s="450"/>
      <c r="J2549" s="451"/>
      <c r="K2549" s="451"/>
      <c r="L2549" s="452"/>
      <c r="M2549" s="527"/>
      <c r="N2549" s="451"/>
      <c r="O2549" s="560"/>
      <c r="P2549" s="459"/>
      <c r="Q2549" s="469"/>
      <c r="R2549" s="512" t="str">
        <f>R2540</f>
        <v>DELETE</v>
      </c>
    </row>
    <row r="2550" spans="2:22" ht="9" customHeight="1" x14ac:dyDescent="0.45">
      <c r="B2550" s="468"/>
      <c r="C2550" s="450"/>
      <c r="J2550" s="451"/>
      <c r="K2550" s="451"/>
      <c r="L2550" s="452"/>
      <c r="M2550" s="527"/>
      <c r="N2550" s="451"/>
      <c r="O2550" s="547"/>
      <c r="P2550" s="459"/>
      <c r="Q2550" s="469"/>
      <c r="R2550" s="512" t="str">
        <f>R2549</f>
        <v>DELETE</v>
      </c>
    </row>
    <row r="2551" spans="2:22" ht="9" customHeight="1" x14ac:dyDescent="0.45">
      <c r="B2551" s="468"/>
      <c r="C2551" s="450"/>
      <c r="J2551" s="451"/>
      <c r="K2551" s="451"/>
      <c r="L2551" s="452"/>
      <c r="M2551" s="527"/>
      <c r="N2551" s="451"/>
      <c r="O2551" s="531"/>
      <c r="P2551" s="459"/>
      <c r="Q2551" s="469"/>
      <c r="R2551" s="512" t="str">
        <f>R2550</f>
        <v>DELETE</v>
      </c>
    </row>
    <row r="2552" spans="2:22" ht="31.5" customHeight="1" x14ac:dyDescent="0.45">
      <c r="B2552" s="468"/>
      <c r="C2552" s="450"/>
      <c r="J2552" s="451"/>
      <c r="K2552" s="451"/>
      <c r="L2552" s="452"/>
      <c r="M2552" s="527"/>
      <c r="N2552" s="451"/>
      <c r="O2552" s="531">
        <f>SUM(S2520:S2540)</f>
        <v>0</v>
      </c>
      <c r="P2552" s="459"/>
      <c r="Q2552" s="469"/>
      <c r="R2552" s="512" t="str">
        <f>R2540</f>
        <v>DELETE</v>
      </c>
    </row>
    <row r="2553" spans="2:22" ht="31.5" customHeight="1" x14ac:dyDescent="0.45">
      <c r="B2553" s="468"/>
      <c r="C2553" s="450"/>
      <c r="J2553" s="451"/>
      <c r="K2553" s="451"/>
      <c r="L2553" s="452"/>
      <c r="M2553" s="527"/>
      <c r="N2553" s="451"/>
      <c r="O2553" s="531"/>
      <c r="P2553" s="459"/>
      <c r="Q2553" s="469"/>
      <c r="R2553" s="512" t="str">
        <f>R2552</f>
        <v>DELETE</v>
      </c>
    </row>
    <row r="2554" spans="2:22" ht="31.5" customHeight="1" x14ac:dyDescent="0.45">
      <c r="B2554" s="468"/>
      <c r="C2554" s="450" t="s">
        <v>1416</v>
      </c>
      <c r="J2554" s="451"/>
      <c r="K2554" s="451"/>
      <c r="L2554" s="452"/>
      <c r="M2554" s="527"/>
      <c r="N2554" s="451"/>
      <c r="O2554" s="531">
        <f>SUM(O2556:O2584)</f>
        <v>0</v>
      </c>
      <c r="P2554" s="459"/>
      <c r="Q2554" s="469"/>
      <c r="R2554" s="512" t="str">
        <f t="shared" ref="R2554" si="196">IF(O2554=0,"DELETE"," ")</f>
        <v>DELETE</v>
      </c>
      <c r="S2554" s="517">
        <f>-O2554</f>
        <v>0</v>
      </c>
      <c r="T2554" s="517"/>
      <c r="U2554" s="517"/>
      <c r="V2554" s="517"/>
    </row>
    <row r="2555" spans="2:22" ht="9" customHeight="1" x14ac:dyDescent="0.45">
      <c r="B2555" s="468"/>
      <c r="C2555" s="450"/>
      <c r="J2555" s="451"/>
      <c r="K2555" s="451"/>
      <c r="L2555" s="452"/>
      <c r="M2555" s="527"/>
      <c r="N2555" s="451"/>
      <c r="O2555" s="531"/>
      <c r="P2555" s="459"/>
      <c r="Q2555" s="469"/>
      <c r="R2555" s="512" t="str">
        <f>R2554</f>
        <v>DELETE</v>
      </c>
    </row>
    <row r="2556" spans="2:22" ht="9" customHeight="1" x14ac:dyDescent="0.45">
      <c r="B2556" s="468"/>
      <c r="C2556" s="450"/>
      <c r="J2556" s="451"/>
      <c r="K2556" s="451"/>
      <c r="L2556" s="452"/>
      <c r="M2556" s="527"/>
      <c r="N2556" s="451"/>
      <c r="O2556" s="558"/>
      <c r="P2556" s="459"/>
      <c r="Q2556" s="469"/>
      <c r="R2556" s="512" t="str">
        <f>R2555</f>
        <v>DELETE</v>
      </c>
    </row>
    <row r="2557" spans="2:22" ht="31.5" customHeight="1" x14ac:dyDescent="0.45">
      <c r="B2557" s="468"/>
      <c r="C2557" s="450"/>
      <c r="D2557" s="449" t="s">
        <v>335</v>
      </c>
      <c r="J2557" s="451"/>
      <c r="K2557" s="451"/>
      <c r="L2557" s="452"/>
      <c r="M2557" s="527"/>
      <c r="N2557" s="451"/>
      <c r="O2557" s="559">
        <f>TrialBalance!L40</f>
        <v>0</v>
      </c>
      <c r="P2557" s="459"/>
      <c r="Q2557" s="469"/>
      <c r="R2557" s="512" t="str">
        <f t="shared" ref="R2557:R2583" si="197">IF(O2557=0,"DELETE"," ")</f>
        <v>DELETE</v>
      </c>
    </row>
    <row r="2558" spans="2:22" ht="31.5" customHeight="1" x14ac:dyDescent="0.45">
      <c r="B2558" s="468"/>
      <c r="C2558" s="450"/>
      <c r="D2558" s="449" t="s">
        <v>888</v>
      </c>
      <c r="J2558" s="451"/>
      <c r="K2558" s="451"/>
      <c r="L2558" s="452"/>
      <c r="M2558" s="527"/>
      <c r="N2558" s="451"/>
      <c r="O2558" s="559">
        <f>TrialBalance!L41</f>
        <v>0</v>
      </c>
      <c r="P2558" s="459"/>
      <c r="Q2558" s="469"/>
      <c r="R2558" s="512" t="str">
        <f t="shared" si="197"/>
        <v>DELETE</v>
      </c>
    </row>
    <row r="2559" spans="2:22" ht="31.5" customHeight="1" x14ac:dyDescent="0.45">
      <c r="B2559" s="468"/>
      <c r="C2559" s="450"/>
      <c r="D2559" s="449" t="s">
        <v>336</v>
      </c>
      <c r="J2559" s="451"/>
      <c r="K2559" s="451"/>
      <c r="L2559" s="452"/>
      <c r="M2559" s="527"/>
      <c r="N2559" s="451"/>
      <c r="O2559" s="559">
        <f>TrialBalance!L42</f>
        <v>0</v>
      </c>
      <c r="P2559" s="459"/>
      <c r="Q2559" s="469"/>
      <c r="R2559" s="512" t="str">
        <f t="shared" si="197"/>
        <v>DELETE</v>
      </c>
    </row>
    <row r="2560" spans="2:22" ht="31.5" customHeight="1" x14ac:dyDescent="0.45">
      <c r="B2560" s="468"/>
      <c r="C2560" s="450"/>
      <c r="D2560" s="449" t="s">
        <v>337</v>
      </c>
      <c r="J2560" s="451"/>
      <c r="K2560" s="451">
        <f>C$1164</f>
        <v>4.2999999999999989</v>
      </c>
      <c r="L2560" s="452"/>
      <c r="M2560" s="527"/>
      <c r="N2560" s="451"/>
      <c r="O2560" s="559">
        <f>SUM(TrialBalance!L44:L46)</f>
        <v>0</v>
      </c>
      <c r="P2560" s="459"/>
      <c r="Q2560" s="469"/>
      <c r="R2560" s="512" t="str">
        <f t="shared" si="197"/>
        <v>DELETE</v>
      </c>
    </row>
    <row r="2561" spans="2:22" ht="31.5" customHeight="1" x14ac:dyDescent="0.45">
      <c r="B2561" s="468"/>
      <c r="C2561" s="450"/>
      <c r="D2561" s="449" t="s">
        <v>610</v>
      </c>
      <c r="J2561" s="451"/>
      <c r="K2561" s="451"/>
      <c r="L2561" s="452"/>
      <c r="M2561" s="527"/>
      <c r="N2561" s="451"/>
      <c r="O2561" s="559">
        <f>TrialBalance!L47</f>
        <v>0</v>
      </c>
      <c r="P2561" s="459"/>
      <c r="Q2561" s="469"/>
      <c r="R2561" s="512" t="str">
        <f t="shared" si="197"/>
        <v>DELETE</v>
      </c>
      <c r="S2561" s="518"/>
      <c r="T2561" s="518"/>
      <c r="U2561" s="518"/>
      <c r="V2561" s="518"/>
    </row>
    <row r="2562" spans="2:22" ht="31.5" customHeight="1" x14ac:dyDescent="0.45">
      <c r="B2562" s="468"/>
      <c r="C2562" s="450"/>
      <c r="D2562" s="449" t="s">
        <v>933</v>
      </c>
      <c r="J2562" s="451"/>
      <c r="K2562" s="451"/>
      <c r="L2562" s="452"/>
      <c r="M2562" s="527"/>
      <c r="N2562" s="451"/>
      <c r="O2562" s="559">
        <f>TrialBalance!L48</f>
        <v>0</v>
      </c>
      <c r="P2562" s="459"/>
      <c r="Q2562" s="469"/>
      <c r="R2562" s="512" t="str">
        <f t="shared" si="197"/>
        <v>DELETE</v>
      </c>
    </row>
    <row r="2563" spans="2:22" ht="31.5" customHeight="1" x14ac:dyDescent="0.45">
      <c r="B2563" s="468"/>
      <c r="C2563" s="450"/>
      <c r="D2563" s="449" t="s">
        <v>74</v>
      </c>
      <c r="J2563" s="451"/>
      <c r="K2563" s="451"/>
      <c r="L2563" s="452"/>
      <c r="M2563" s="527"/>
      <c r="N2563" s="451"/>
      <c r="O2563" s="559">
        <f>TrialBalance!L49</f>
        <v>0</v>
      </c>
      <c r="P2563" s="459"/>
      <c r="Q2563" s="469"/>
      <c r="R2563" s="512" t="str">
        <f t="shared" si="197"/>
        <v>DELETE</v>
      </c>
    </row>
    <row r="2564" spans="2:22" ht="31.5" customHeight="1" x14ac:dyDescent="0.45">
      <c r="B2564" s="468"/>
      <c r="C2564" s="450"/>
      <c r="D2564" s="449" t="s">
        <v>338</v>
      </c>
      <c r="J2564" s="451"/>
      <c r="K2564" s="451"/>
      <c r="L2564" s="452"/>
      <c r="M2564" s="527"/>
      <c r="N2564" s="451"/>
      <c r="O2564" s="559">
        <f>TrialBalance!L50</f>
        <v>0</v>
      </c>
      <c r="P2564" s="459"/>
      <c r="Q2564" s="469"/>
      <c r="R2564" s="512" t="str">
        <f t="shared" si="197"/>
        <v>DELETE</v>
      </c>
    </row>
    <row r="2565" spans="2:22" ht="31.5" customHeight="1" x14ac:dyDescent="0.45">
      <c r="B2565" s="468"/>
      <c r="C2565" s="450"/>
      <c r="D2565" s="449" t="s">
        <v>632</v>
      </c>
      <c r="J2565" s="451"/>
      <c r="K2565" s="451"/>
      <c r="L2565" s="452"/>
      <c r="M2565" s="527"/>
      <c r="N2565" s="451"/>
      <c r="O2565" s="559">
        <f>SUM(TrialBalance!L51:L52)</f>
        <v>0</v>
      </c>
      <c r="P2565" s="459"/>
      <c r="Q2565" s="469"/>
      <c r="R2565" s="512" t="str">
        <f t="shared" si="197"/>
        <v>DELETE</v>
      </c>
    </row>
    <row r="2566" spans="2:22" ht="31.5" customHeight="1" x14ac:dyDescent="0.45">
      <c r="B2566" s="468"/>
      <c r="C2566" s="450"/>
      <c r="D2566" s="449" t="s">
        <v>630</v>
      </c>
      <c r="J2566" s="451"/>
      <c r="K2566" s="451"/>
      <c r="L2566" s="452"/>
      <c r="M2566" s="527"/>
      <c r="N2566" s="451"/>
      <c r="O2566" s="559">
        <f>TrialBalance!L53</f>
        <v>0</v>
      </c>
      <c r="P2566" s="459"/>
      <c r="Q2566" s="469"/>
      <c r="R2566" s="512" t="str">
        <f t="shared" si="197"/>
        <v>DELETE</v>
      </c>
    </row>
    <row r="2567" spans="2:22" ht="31.5" customHeight="1" x14ac:dyDescent="0.45">
      <c r="B2567" s="468"/>
      <c r="C2567" s="450"/>
      <c r="D2567" s="449" t="s">
        <v>611</v>
      </c>
      <c r="J2567" s="451"/>
      <c r="K2567" s="451"/>
      <c r="L2567" s="452"/>
      <c r="M2567" s="527"/>
      <c r="N2567" s="451"/>
      <c r="O2567" s="559">
        <f>SUM(TrialBalance!L55:L59)</f>
        <v>0</v>
      </c>
      <c r="P2567" s="459"/>
      <c r="Q2567" s="469"/>
      <c r="R2567" s="512" t="str">
        <f t="shared" si="197"/>
        <v>DELETE</v>
      </c>
    </row>
    <row r="2568" spans="2:22" ht="31.5" customHeight="1" x14ac:dyDescent="0.45">
      <c r="B2568" s="468"/>
      <c r="C2568" s="450"/>
      <c r="D2568" s="449" t="s">
        <v>590</v>
      </c>
      <c r="J2568" s="451"/>
      <c r="K2568" s="451">
        <f>C$1132</f>
        <v>4.1999999999999993</v>
      </c>
      <c r="L2568" s="452"/>
      <c r="M2568" s="527"/>
      <c r="N2568" s="451"/>
      <c r="O2568" s="559">
        <f>SUM(TrialBalance!L61:L63)</f>
        <v>0</v>
      </c>
      <c r="P2568" s="459"/>
      <c r="Q2568" s="469"/>
      <c r="R2568" s="512" t="str">
        <f t="shared" si="197"/>
        <v>DELETE</v>
      </c>
    </row>
    <row r="2569" spans="2:22" ht="31.5" customHeight="1" x14ac:dyDescent="0.45">
      <c r="B2569" s="468"/>
      <c r="C2569" s="450"/>
      <c r="D2569" s="449" t="s">
        <v>82</v>
      </c>
      <c r="J2569" s="451"/>
      <c r="K2569" s="451"/>
      <c r="L2569" s="452"/>
      <c r="M2569" s="527"/>
      <c r="N2569" s="451"/>
      <c r="O2569" s="559">
        <f>TrialBalance!L64</f>
        <v>0</v>
      </c>
      <c r="P2569" s="459"/>
      <c r="Q2569" s="469"/>
      <c r="R2569" s="512" t="str">
        <f t="shared" si="197"/>
        <v>DELETE</v>
      </c>
    </row>
    <row r="2570" spans="2:22" ht="31.5" customHeight="1" x14ac:dyDescent="0.45">
      <c r="B2570" s="468"/>
      <c r="C2570" s="450"/>
      <c r="D2570" s="449" t="s">
        <v>309</v>
      </c>
      <c r="J2570" s="451"/>
      <c r="K2570" s="451"/>
      <c r="L2570" s="452"/>
      <c r="M2570" s="527"/>
      <c r="N2570" s="451"/>
      <c r="O2570" s="559">
        <f>SUM(TrialBalance!L65:L67)</f>
        <v>0</v>
      </c>
      <c r="P2570" s="459"/>
      <c r="Q2570" s="469"/>
      <c r="R2570" s="512" t="str">
        <f t="shared" si="197"/>
        <v>DELETE</v>
      </c>
    </row>
    <row r="2571" spans="2:22" ht="31.5" customHeight="1" x14ac:dyDescent="0.45">
      <c r="B2571" s="468"/>
      <c r="C2571" s="450"/>
      <c r="D2571" s="449" t="s">
        <v>934</v>
      </c>
      <c r="J2571" s="451"/>
      <c r="K2571" s="451"/>
      <c r="L2571" s="452"/>
      <c r="M2571" s="527"/>
      <c r="N2571" s="451"/>
      <c r="O2571" s="559">
        <f>SUM(TrialBalance!L68:L69)</f>
        <v>0</v>
      </c>
      <c r="P2571" s="459"/>
      <c r="Q2571" s="469"/>
      <c r="R2571" s="512" t="str">
        <f t="shared" si="197"/>
        <v>DELETE</v>
      </c>
    </row>
    <row r="2572" spans="2:22" ht="31.5" customHeight="1" x14ac:dyDescent="0.45">
      <c r="B2572" s="468"/>
      <c r="C2572" s="450"/>
      <c r="D2572" s="449" t="s">
        <v>310</v>
      </c>
      <c r="J2572" s="451"/>
      <c r="K2572" s="451"/>
      <c r="L2572" s="452"/>
      <c r="M2572" s="527"/>
      <c r="N2572" s="451"/>
      <c r="O2572" s="559">
        <f>TrialBalance!L70</f>
        <v>0</v>
      </c>
      <c r="P2572" s="459"/>
      <c r="Q2572" s="469"/>
      <c r="R2572" s="512" t="str">
        <f t="shared" si="197"/>
        <v>DELETE</v>
      </c>
    </row>
    <row r="2573" spans="2:22" ht="31.5" customHeight="1" x14ac:dyDescent="0.45">
      <c r="B2573" s="468"/>
      <c r="C2573" s="450"/>
      <c r="D2573" s="449" t="s">
        <v>461</v>
      </c>
      <c r="J2573" s="451"/>
      <c r="K2573" s="451"/>
      <c r="L2573" s="452"/>
      <c r="M2573" s="527"/>
      <c r="N2573" s="451"/>
      <c r="O2573" s="559">
        <f>TrialBalance!L71</f>
        <v>0</v>
      </c>
      <c r="P2573" s="459"/>
      <c r="Q2573" s="469"/>
      <c r="R2573" s="512" t="str">
        <f t="shared" si="197"/>
        <v>DELETE</v>
      </c>
    </row>
    <row r="2574" spans="2:22" ht="31.5" customHeight="1" x14ac:dyDescent="0.45">
      <c r="B2574" s="468"/>
      <c r="C2574" s="450"/>
      <c r="D2574" s="449">
        <f>TrialBalance!C72</f>
        <v>0</v>
      </c>
      <c r="J2574" s="451"/>
      <c r="K2574" s="451"/>
      <c r="L2574" s="452"/>
      <c r="M2574" s="527"/>
      <c r="N2574" s="451"/>
      <c r="O2574" s="559">
        <f>TrialBalance!L72</f>
        <v>0</v>
      </c>
      <c r="P2574" s="459"/>
      <c r="Q2574" s="469"/>
      <c r="R2574" s="512" t="str">
        <f t="shared" si="197"/>
        <v>DELETE</v>
      </c>
    </row>
    <row r="2575" spans="2:22" ht="31.5" customHeight="1" x14ac:dyDescent="0.45">
      <c r="B2575" s="468"/>
      <c r="C2575" s="450"/>
      <c r="D2575" s="449">
        <f>TrialBalance!C73</f>
        <v>0</v>
      </c>
      <c r="J2575" s="451"/>
      <c r="K2575" s="451"/>
      <c r="L2575" s="452"/>
      <c r="M2575" s="527"/>
      <c r="N2575" s="451"/>
      <c r="O2575" s="559">
        <f>TrialBalance!L73</f>
        <v>0</v>
      </c>
      <c r="P2575" s="459"/>
      <c r="Q2575" s="469"/>
      <c r="R2575" s="512" t="str">
        <f t="shared" si="197"/>
        <v>DELETE</v>
      </c>
    </row>
    <row r="2576" spans="2:22" ht="31.5" customHeight="1" x14ac:dyDescent="0.45">
      <c r="B2576" s="468"/>
      <c r="C2576" s="450"/>
      <c r="D2576" s="449">
        <f>TrialBalance!C74</f>
        <v>0</v>
      </c>
      <c r="J2576" s="451"/>
      <c r="K2576" s="451"/>
      <c r="L2576" s="452"/>
      <c r="M2576" s="527"/>
      <c r="N2576" s="451"/>
      <c r="O2576" s="559">
        <f>TrialBalance!L74</f>
        <v>0</v>
      </c>
      <c r="P2576" s="459"/>
      <c r="Q2576" s="469"/>
      <c r="R2576" s="512" t="str">
        <f t="shared" si="197"/>
        <v>DELETE</v>
      </c>
    </row>
    <row r="2577" spans="2:23" ht="31.5" customHeight="1" x14ac:dyDescent="0.45">
      <c r="B2577" s="468"/>
      <c r="C2577" s="450"/>
      <c r="D2577" s="449">
        <f>TrialBalance!C75</f>
        <v>0</v>
      </c>
      <c r="J2577" s="451"/>
      <c r="K2577" s="451"/>
      <c r="L2577" s="452"/>
      <c r="M2577" s="527"/>
      <c r="N2577" s="451"/>
      <c r="O2577" s="559">
        <f>TrialBalance!L75</f>
        <v>0</v>
      </c>
      <c r="P2577" s="459"/>
      <c r="Q2577" s="469"/>
      <c r="R2577" s="512" t="str">
        <f t="shared" si="197"/>
        <v>DELETE</v>
      </c>
    </row>
    <row r="2578" spans="2:23" ht="31.5" customHeight="1" x14ac:dyDescent="0.45">
      <c r="B2578" s="468"/>
      <c r="C2578" s="450"/>
      <c r="D2578" s="449">
        <f>TrialBalance!C76</f>
        <v>0</v>
      </c>
      <c r="J2578" s="451"/>
      <c r="K2578" s="451"/>
      <c r="L2578" s="452"/>
      <c r="M2578" s="527"/>
      <c r="N2578" s="451"/>
      <c r="O2578" s="559">
        <f>TrialBalance!L76</f>
        <v>0</v>
      </c>
      <c r="P2578" s="459"/>
      <c r="Q2578" s="469"/>
      <c r="R2578" s="512" t="str">
        <f t="shared" si="197"/>
        <v>DELETE</v>
      </c>
    </row>
    <row r="2579" spans="2:23" ht="31.5" customHeight="1" x14ac:dyDescent="0.45">
      <c r="B2579" s="468"/>
      <c r="C2579" s="450"/>
      <c r="D2579" s="449">
        <f>TrialBalance!C77</f>
        <v>0</v>
      </c>
      <c r="J2579" s="451"/>
      <c r="K2579" s="451"/>
      <c r="L2579" s="452"/>
      <c r="M2579" s="527"/>
      <c r="N2579" s="451"/>
      <c r="O2579" s="559">
        <f>TrialBalance!L77</f>
        <v>0</v>
      </c>
      <c r="P2579" s="459"/>
      <c r="Q2579" s="469"/>
      <c r="R2579" s="512" t="str">
        <f t="shared" si="197"/>
        <v>DELETE</v>
      </c>
    </row>
    <row r="2580" spans="2:23" ht="31.5" customHeight="1" x14ac:dyDescent="0.45">
      <c r="B2580" s="468"/>
      <c r="C2580" s="450"/>
      <c r="D2580" s="449">
        <f>TrialBalance!C78</f>
        <v>0</v>
      </c>
      <c r="J2580" s="451"/>
      <c r="K2580" s="451"/>
      <c r="L2580" s="452"/>
      <c r="M2580" s="527"/>
      <c r="N2580" s="451"/>
      <c r="O2580" s="559">
        <f>TrialBalance!L78</f>
        <v>0</v>
      </c>
      <c r="P2580" s="459"/>
      <c r="Q2580" s="469"/>
      <c r="R2580" s="512" t="str">
        <f t="shared" si="197"/>
        <v>DELETE</v>
      </c>
    </row>
    <row r="2581" spans="2:23" ht="31.5" customHeight="1" x14ac:dyDescent="0.45">
      <c r="B2581" s="468"/>
      <c r="C2581" s="450"/>
      <c r="D2581" s="449">
        <f>TrialBalance!C79</f>
        <v>0</v>
      </c>
      <c r="J2581" s="451"/>
      <c r="K2581" s="451"/>
      <c r="L2581" s="452"/>
      <c r="M2581" s="527"/>
      <c r="N2581" s="451"/>
      <c r="O2581" s="559">
        <f>TrialBalance!L79</f>
        <v>0</v>
      </c>
      <c r="P2581" s="459"/>
      <c r="Q2581" s="469"/>
      <c r="R2581" s="512" t="str">
        <f t="shared" si="197"/>
        <v>DELETE</v>
      </c>
    </row>
    <row r="2582" spans="2:23" ht="31.5" customHeight="1" x14ac:dyDescent="0.45">
      <c r="B2582" s="468"/>
      <c r="C2582" s="450"/>
      <c r="D2582" s="449">
        <f>TrialBalance!C80</f>
        <v>0</v>
      </c>
      <c r="J2582" s="451"/>
      <c r="K2582" s="451"/>
      <c r="L2582" s="452"/>
      <c r="M2582" s="527"/>
      <c r="N2582" s="451"/>
      <c r="O2582" s="559">
        <f>TrialBalance!L80</f>
        <v>0</v>
      </c>
      <c r="P2582" s="459"/>
      <c r="Q2582" s="469"/>
      <c r="R2582" s="512" t="str">
        <f t="shared" si="197"/>
        <v>DELETE</v>
      </c>
    </row>
    <row r="2583" spans="2:23" ht="31.5" customHeight="1" x14ac:dyDescent="0.45">
      <c r="B2583" s="468"/>
      <c r="C2583" s="450"/>
      <c r="D2583" s="449">
        <f>TrialBalance!C81</f>
        <v>0</v>
      </c>
      <c r="J2583" s="451"/>
      <c r="K2583" s="451"/>
      <c r="L2583" s="452"/>
      <c r="M2583" s="527"/>
      <c r="N2583" s="451"/>
      <c r="O2583" s="559">
        <f>TrialBalance!L81</f>
        <v>0</v>
      </c>
      <c r="P2583" s="459"/>
      <c r="Q2583" s="469"/>
      <c r="R2583" s="512" t="str">
        <f t="shared" si="197"/>
        <v>DELETE</v>
      </c>
    </row>
    <row r="2584" spans="2:23" ht="9" customHeight="1" x14ac:dyDescent="0.45">
      <c r="B2584" s="468"/>
      <c r="C2584" s="450"/>
      <c r="J2584" s="451"/>
      <c r="K2584" s="451"/>
      <c r="L2584" s="452"/>
      <c r="M2584" s="527"/>
      <c r="N2584" s="451"/>
      <c r="O2584" s="560"/>
      <c r="P2584" s="459"/>
      <c r="Q2584" s="469"/>
      <c r="R2584" s="512" t="str">
        <f>R2554</f>
        <v>DELETE</v>
      </c>
    </row>
    <row r="2585" spans="2:23" ht="9" customHeight="1" x14ac:dyDescent="0.45">
      <c r="B2585" s="468"/>
      <c r="C2585" s="450"/>
      <c r="J2585" s="451"/>
      <c r="K2585" s="451"/>
      <c r="L2585" s="452"/>
      <c r="M2585" s="527"/>
      <c r="N2585" s="451"/>
      <c r="O2585" s="535"/>
      <c r="P2585" s="459"/>
      <c r="Q2585" s="469"/>
    </row>
    <row r="2586" spans="2:23" ht="9" customHeight="1" x14ac:dyDescent="0.45">
      <c r="B2586" s="468"/>
      <c r="C2586" s="450"/>
      <c r="J2586" s="451"/>
      <c r="K2586" s="451"/>
      <c r="L2586" s="452"/>
      <c r="M2586" s="527"/>
      <c r="N2586" s="451"/>
      <c r="O2586" s="531"/>
      <c r="P2586" s="459"/>
      <c r="Q2586" s="469"/>
    </row>
    <row r="2587" spans="2:23" ht="31.5" customHeight="1" x14ac:dyDescent="0.45">
      <c r="B2587" s="468"/>
      <c r="C2587" s="492" t="str">
        <f>IF(W2587=2,"OPERATING PROFIT","OPERATING LOSS")</f>
        <v>OPERATING PROFIT</v>
      </c>
      <c r="J2587" s="451"/>
      <c r="K2587" s="451"/>
      <c r="L2587" s="452"/>
      <c r="M2587" s="527"/>
      <c r="N2587" s="451"/>
      <c r="O2587" s="531">
        <f>SUM(S2520:S2585)</f>
        <v>0</v>
      </c>
      <c r="P2587" s="459"/>
      <c r="Q2587" s="469"/>
      <c r="W2587" s="513">
        <f>IF(O2587&lt;0,1,2)</f>
        <v>2</v>
      </c>
    </row>
    <row r="2588" spans="2:23" ht="31.5" customHeight="1" x14ac:dyDescent="0.45">
      <c r="B2588" s="468"/>
      <c r="C2588" s="450"/>
      <c r="D2588" s="449" t="s">
        <v>312</v>
      </c>
      <c r="J2588" s="451"/>
      <c r="K2588" s="451"/>
      <c r="L2588" s="452"/>
      <c r="M2588" s="527"/>
      <c r="N2588" s="451"/>
      <c r="O2588" s="531"/>
      <c r="P2588" s="459"/>
      <c r="Q2588" s="469"/>
    </row>
    <row r="2589" spans="2:23" ht="31.5" customHeight="1" x14ac:dyDescent="0.45">
      <c r="B2589" s="468"/>
      <c r="C2589" s="450"/>
      <c r="J2589" s="451"/>
      <c r="K2589" s="451"/>
      <c r="L2589" s="451"/>
      <c r="M2589" s="531"/>
      <c r="N2589" s="470"/>
      <c r="O2589" s="531"/>
      <c r="P2589" s="459"/>
      <c r="Q2589" s="469"/>
    </row>
    <row r="2590" spans="2:23" ht="31.5" customHeight="1" x14ac:dyDescent="0.45">
      <c r="B2590" s="468"/>
      <c r="C2590" s="450"/>
      <c r="J2590" s="451"/>
      <c r="K2590" s="451"/>
      <c r="L2590" s="451"/>
      <c r="M2590" s="531"/>
      <c r="N2590" s="470"/>
      <c r="O2590" s="531"/>
      <c r="P2590" s="459"/>
      <c r="Q2590" s="469"/>
    </row>
    <row r="2591" spans="2:23" ht="31.5" customHeight="1" x14ac:dyDescent="0.45">
      <c r="B2591" s="477"/>
      <c r="C2591" s="502"/>
      <c r="D2591" s="461"/>
      <c r="E2591" s="461"/>
      <c r="F2591" s="461"/>
      <c r="G2591" s="461"/>
      <c r="H2591" s="461"/>
      <c r="I2591" s="461"/>
      <c r="J2591" s="483"/>
      <c r="K2591" s="483"/>
      <c r="L2591" s="483"/>
      <c r="M2591" s="535"/>
      <c r="N2591" s="473"/>
      <c r="O2591" s="535"/>
      <c r="P2591" s="484"/>
      <c r="Q2591" s="479"/>
    </row>
    <row r="2592" spans="2:23" ht="31.5" customHeight="1" x14ac:dyDescent="0.45">
      <c r="C2592" s="450"/>
      <c r="J2592" s="451"/>
      <c r="K2592" s="451"/>
      <c r="L2592" s="451"/>
      <c r="M2592" s="531"/>
      <c r="N2592" s="470"/>
      <c r="O2592" s="531"/>
      <c r="P2592" s="459"/>
    </row>
    <row r="2593" spans="2:23" ht="31.5" customHeight="1" x14ac:dyDescent="0.45">
      <c r="C2593" s="450"/>
      <c r="J2593" s="451"/>
      <c r="K2593" s="451"/>
      <c r="L2593" s="451"/>
      <c r="M2593" s="531"/>
      <c r="N2593" s="470"/>
      <c r="O2593" s="531"/>
      <c r="P2593" s="459"/>
    </row>
    <row r="2594" spans="2:23" ht="31.5" customHeight="1" x14ac:dyDescent="0.45">
      <c r="C2594" s="450"/>
      <c r="D2594" s="450" t="str">
        <f>Criteria!E9</f>
        <v>ABC COMPANY (PROPRIETARY) LIMITED</v>
      </c>
      <c r="J2594" s="451"/>
      <c r="K2594" s="451"/>
      <c r="L2594" s="451"/>
      <c r="M2594" s="531"/>
      <c r="N2594" s="470"/>
      <c r="O2594" s="531" t="s">
        <v>121</v>
      </c>
      <c r="P2594" s="459"/>
      <c r="Q2594" s="451">
        <f>MAX($Q$114:Q2593)+1</f>
        <v>64</v>
      </c>
    </row>
    <row r="2595" spans="2:23" ht="31.5" customHeight="1" x14ac:dyDescent="0.45">
      <c r="C2595" s="450"/>
      <c r="D2595" s="450" t="str">
        <f>IF(Criteria!E13=0," ",CONCATENATE("T/A ",Criteria!E13))</f>
        <v>T/A SEAFRONT HOTEL</v>
      </c>
      <c r="J2595" s="451"/>
      <c r="K2595" s="451"/>
      <c r="L2595" s="451"/>
      <c r="M2595" s="531"/>
      <c r="N2595" s="470"/>
      <c r="O2595" s="531"/>
      <c r="P2595" s="459"/>
      <c r="R2595" s="512" t="str">
        <f>IF(Criteria!E13=0,"DELETE"," ")</f>
        <v xml:space="preserve"> </v>
      </c>
    </row>
    <row r="2596" spans="2:23" ht="31.5" customHeight="1" x14ac:dyDescent="0.45">
      <c r="C2596" s="450"/>
      <c r="J2596" s="451"/>
      <c r="K2596" s="451"/>
      <c r="L2596" s="451"/>
      <c r="M2596" s="531"/>
      <c r="N2596" s="470"/>
      <c r="O2596" s="531"/>
      <c r="P2596" s="459"/>
    </row>
    <row r="2597" spans="2:23" ht="31.5" customHeight="1" x14ac:dyDescent="0.45">
      <c r="C2597" s="450"/>
      <c r="D2597" s="450" t="s">
        <v>115</v>
      </c>
      <c r="J2597" s="451"/>
      <c r="K2597" s="451"/>
      <c r="L2597" s="451"/>
      <c r="M2597" s="531"/>
      <c r="N2597" s="470"/>
      <c r="O2597" s="531"/>
      <c r="P2597" s="459"/>
    </row>
    <row r="2598" spans="2:23" ht="31.5" customHeight="1" x14ac:dyDescent="0.45">
      <c r="C2598" s="450"/>
      <c r="D2598" s="450" t="str">
        <f>D2515</f>
        <v>29 FEBRUARY 2024</v>
      </c>
      <c r="H2598" s="449" t="s">
        <v>127</v>
      </c>
      <c r="J2598" s="451"/>
      <c r="K2598" s="451"/>
      <c r="L2598" s="451"/>
      <c r="M2598" s="531"/>
      <c r="N2598" s="470"/>
      <c r="O2598" s="531"/>
      <c r="P2598" s="459"/>
    </row>
    <row r="2599" spans="2:23" ht="31.5" customHeight="1" x14ac:dyDescent="0.45">
      <c r="C2599" s="450"/>
      <c r="J2599" s="451"/>
      <c r="K2599" s="483"/>
      <c r="L2599" s="483"/>
      <c r="M2599" s="535"/>
      <c r="N2599" s="473"/>
      <c r="O2599" s="535"/>
      <c r="P2599" s="459"/>
    </row>
    <row r="2600" spans="2:23" ht="31.5" customHeight="1" x14ac:dyDescent="0.45">
      <c r="B2600" s="465"/>
      <c r="C2600" s="503"/>
      <c r="D2600" s="466"/>
      <c r="E2600" s="466"/>
      <c r="F2600" s="466"/>
      <c r="G2600" s="466"/>
      <c r="H2600" s="466"/>
      <c r="I2600" s="466"/>
      <c r="J2600" s="511"/>
      <c r="M2600" s="635"/>
      <c r="N2600" s="621"/>
      <c r="O2600" s="635"/>
      <c r="P2600" s="506"/>
      <c r="Q2600" s="467"/>
    </row>
    <row r="2601" spans="2:23" ht="31.5" customHeight="1" x14ac:dyDescent="0.45">
      <c r="B2601" s="468"/>
      <c r="C2601" s="450"/>
      <c r="J2601" s="451"/>
      <c r="K2601" s="451" t="s">
        <v>129</v>
      </c>
      <c r="L2601" s="452"/>
      <c r="M2601" s="527"/>
      <c r="N2601" s="451"/>
      <c r="O2601" s="525">
        <f>Criteria!E22</f>
        <v>2024</v>
      </c>
      <c r="P2601" s="459"/>
      <c r="Q2601" s="469"/>
    </row>
    <row r="2602" spans="2:23" ht="31.5" customHeight="1" x14ac:dyDescent="0.45">
      <c r="B2602" s="468"/>
      <c r="C2602" s="450"/>
      <c r="J2602" s="451"/>
      <c r="K2602" s="451"/>
      <c r="L2602" s="452"/>
      <c r="M2602" s="527"/>
      <c r="N2602" s="451"/>
      <c r="O2602" s="531"/>
      <c r="P2602" s="459"/>
      <c r="Q2602" s="469"/>
    </row>
    <row r="2603" spans="2:23" ht="31.5" customHeight="1" x14ac:dyDescent="0.45">
      <c r="B2603" s="468"/>
      <c r="C2603" s="492" t="str">
        <f>IF(W2603=2,"OPERATING PROFIT","OPERATING LOSS")</f>
        <v>OPERATING PROFIT</v>
      </c>
      <c r="J2603" s="451"/>
      <c r="K2603" s="451"/>
      <c r="L2603" s="452"/>
      <c r="M2603" s="527"/>
      <c r="N2603" s="451"/>
      <c r="O2603" s="531">
        <f>SUM(S2520:S2584)</f>
        <v>0</v>
      </c>
      <c r="P2603" s="459"/>
      <c r="Q2603" s="469"/>
      <c r="U2603" s="513" t="b">
        <f>O2603=O2587</f>
        <v>1</v>
      </c>
      <c r="W2603" s="513">
        <f>IF(O2603&lt;0,1,2)</f>
        <v>2</v>
      </c>
    </row>
    <row r="2604" spans="2:23" ht="31.5" customHeight="1" x14ac:dyDescent="0.45">
      <c r="B2604" s="468"/>
      <c r="C2604" s="450"/>
      <c r="D2604" s="449" t="s">
        <v>313</v>
      </c>
      <c r="J2604" s="451"/>
      <c r="K2604" s="451"/>
      <c r="L2604" s="452"/>
      <c r="M2604" s="527"/>
      <c r="N2604" s="451"/>
      <c r="O2604" s="531"/>
      <c r="P2604" s="459"/>
      <c r="Q2604" s="469"/>
    </row>
    <row r="2605" spans="2:23" ht="31.5" customHeight="1" x14ac:dyDescent="0.45">
      <c r="B2605" s="468"/>
      <c r="C2605" s="450"/>
      <c r="J2605" s="451"/>
      <c r="K2605" s="451"/>
      <c r="L2605" s="452"/>
      <c r="M2605" s="527"/>
      <c r="N2605" s="451"/>
      <c r="O2605" s="531"/>
      <c r="P2605" s="459"/>
      <c r="Q2605" s="469"/>
    </row>
    <row r="2606" spans="2:23" ht="31.5" customHeight="1" x14ac:dyDescent="0.45">
      <c r="B2606" s="468"/>
      <c r="C2606" s="450" t="s">
        <v>1307</v>
      </c>
      <c r="J2606" s="451"/>
      <c r="K2606" s="451"/>
      <c r="L2606" s="452"/>
      <c r="M2606" s="527"/>
      <c r="N2606" s="451"/>
      <c r="O2606" s="531">
        <f>SUM(O2609:O2643)</f>
        <v>0</v>
      </c>
      <c r="P2606" s="459"/>
      <c r="Q2606" s="469"/>
      <c r="R2606" s="512" t="str">
        <f t="shared" ref="R2606" si="198">IF(O2606=0,"DELETE"," ")</f>
        <v>DELETE</v>
      </c>
      <c r="S2606" s="517">
        <f>-O2606</f>
        <v>0</v>
      </c>
      <c r="T2606" s="517"/>
      <c r="U2606" s="517"/>
      <c r="V2606" s="517"/>
    </row>
    <row r="2607" spans="2:23" ht="9" customHeight="1" x14ac:dyDescent="0.45">
      <c r="B2607" s="468"/>
      <c r="C2607" s="450"/>
      <c r="J2607" s="451"/>
      <c r="K2607" s="451"/>
      <c r="L2607" s="452"/>
      <c r="M2607" s="527"/>
      <c r="N2607" s="451"/>
      <c r="O2607" s="531"/>
      <c r="P2607" s="459"/>
      <c r="Q2607" s="469"/>
      <c r="R2607" s="512" t="str">
        <f>R2606</f>
        <v>DELETE</v>
      </c>
    </row>
    <row r="2608" spans="2:23" ht="9" customHeight="1" x14ac:dyDescent="0.45">
      <c r="B2608" s="468"/>
      <c r="C2608" s="450"/>
      <c r="J2608" s="451"/>
      <c r="K2608" s="451"/>
      <c r="L2608" s="452"/>
      <c r="M2608" s="527"/>
      <c r="N2608" s="451"/>
      <c r="O2608" s="558"/>
      <c r="P2608" s="459"/>
      <c r="Q2608" s="469"/>
      <c r="R2608" s="512" t="str">
        <f>R2607</f>
        <v>DELETE</v>
      </c>
    </row>
    <row r="2609" spans="2:18" ht="31.5" customHeight="1" x14ac:dyDescent="0.45">
      <c r="B2609" s="468"/>
      <c r="C2609" s="450"/>
      <c r="D2609" s="449" t="s">
        <v>253</v>
      </c>
      <c r="J2609" s="451"/>
      <c r="K2609" s="451"/>
      <c r="L2609" s="452"/>
      <c r="M2609" s="527"/>
      <c r="N2609" s="451"/>
      <c r="O2609" s="559">
        <f>SUM(TrialBalance!L101:L101)</f>
        <v>0</v>
      </c>
      <c r="P2609" s="459"/>
      <c r="Q2609" s="469"/>
      <c r="R2609" s="512" t="str">
        <f t="shared" ref="R2609:R2641" si="199">IF(O2609=0,"DELETE"," ")</f>
        <v>DELETE</v>
      </c>
    </row>
    <row r="2610" spans="2:18" ht="31.5" customHeight="1" x14ac:dyDescent="0.45">
      <c r="B2610" s="468"/>
      <c r="C2610" s="450"/>
      <c r="D2610" s="449" t="s">
        <v>784</v>
      </c>
      <c r="J2610" s="451"/>
      <c r="K2610" s="451"/>
      <c r="L2610" s="452"/>
      <c r="M2610" s="527"/>
      <c r="N2610" s="451"/>
      <c r="O2610" s="559">
        <f>SUM(TrialBalance!L98:L100)</f>
        <v>0</v>
      </c>
      <c r="P2610" s="459"/>
      <c r="Q2610" s="469"/>
      <c r="R2610" s="512" t="str">
        <f t="shared" si="199"/>
        <v>DELETE</v>
      </c>
    </row>
    <row r="2611" spans="2:18" ht="31.5" customHeight="1" x14ac:dyDescent="0.45">
      <c r="B2611" s="468"/>
      <c r="C2611" s="450"/>
      <c r="D2611" s="449" t="s">
        <v>255</v>
      </c>
      <c r="J2611" s="451"/>
      <c r="K2611" s="451"/>
      <c r="L2611" s="452"/>
      <c r="M2611" s="527"/>
      <c r="N2611" s="451"/>
      <c r="O2611" s="559">
        <f>TrialBalance!L102</f>
        <v>0</v>
      </c>
      <c r="P2611" s="459"/>
      <c r="Q2611" s="469"/>
      <c r="R2611" s="512" t="str">
        <f t="shared" si="199"/>
        <v>DELETE</v>
      </c>
    </row>
    <row r="2612" spans="2:18" ht="31.5" customHeight="1" x14ac:dyDescent="0.45">
      <c r="B2612" s="468"/>
      <c r="C2612" s="450"/>
      <c r="D2612" s="449" t="s">
        <v>257</v>
      </c>
      <c r="J2612" s="451"/>
      <c r="K2612" s="451"/>
      <c r="L2612" s="452"/>
      <c r="M2612" s="527"/>
      <c r="N2612" s="451"/>
      <c r="O2612" s="559">
        <f>TrialBalance!L103</f>
        <v>0</v>
      </c>
      <c r="P2612" s="459"/>
      <c r="Q2612" s="469"/>
      <c r="R2612" s="512" t="str">
        <f t="shared" si="199"/>
        <v>DELETE</v>
      </c>
    </row>
    <row r="2613" spans="2:18" ht="31.5" customHeight="1" x14ac:dyDescent="0.45">
      <c r="B2613" s="468"/>
      <c r="C2613" s="450"/>
      <c r="D2613" s="449" t="s">
        <v>314</v>
      </c>
      <c r="J2613" s="451"/>
      <c r="K2613" s="451"/>
      <c r="L2613" s="452"/>
      <c r="M2613" s="527"/>
      <c r="N2613" s="451"/>
      <c r="O2613" s="559">
        <f>TrialBalance!L104</f>
        <v>0</v>
      </c>
      <c r="P2613" s="459"/>
      <c r="Q2613" s="469"/>
      <c r="R2613" s="512" t="str">
        <f t="shared" si="199"/>
        <v>DELETE</v>
      </c>
    </row>
    <row r="2614" spans="2:18" ht="31.5" customHeight="1" x14ac:dyDescent="0.45">
      <c r="B2614" s="468"/>
      <c r="C2614" s="450"/>
      <c r="D2614" s="449" t="s">
        <v>260</v>
      </c>
      <c r="J2614" s="451"/>
      <c r="K2614" s="451"/>
      <c r="L2614" s="452"/>
      <c r="M2614" s="527"/>
      <c r="N2614" s="451"/>
      <c r="O2614" s="559">
        <f>TrialBalance!L105</f>
        <v>0</v>
      </c>
      <c r="P2614" s="459"/>
      <c r="Q2614" s="469"/>
      <c r="R2614" s="512" t="str">
        <f t="shared" si="199"/>
        <v>DELETE</v>
      </c>
    </row>
    <row r="2615" spans="2:18" ht="31.5" customHeight="1" x14ac:dyDescent="0.45">
      <c r="B2615" s="468"/>
      <c r="C2615" s="450"/>
      <c r="D2615" s="449" t="s">
        <v>935</v>
      </c>
      <c r="J2615" s="451"/>
      <c r="K2615" s="451"/>
      <c r="L2615" s="452"/>
      <c r="M2615" s="527"/>
      <c r="N2615" s="451"/>
      <c r="O2615" s="559">
        <f>TrialBalance!L106</f>
        <v>0</v>
      </c>
      <c r="P2615" s="459"/>
      <c r="Q2615" s="469"/>
      <c r="R2615" s="512" t="str">
        <f t="shared" si="199"/>
        <v>DELETE</v>
      </c>
    </row>
    <row r="2616" spans="2:18" ht="31.5" customHeight="1" x14ac:dyDescent="0.45">
      <c r="B2616" s="468"/>
      <c r="C2616" s="450"/>
      <c r="D2616" s="449" t="s">
        <v>337</v>
      </c>
      <c r="J2616" s="451"/>
      <c r="K2616" s="451">
        <f>C$1164</f>
        <v>4.2999999999999989</v>
      </c>
      <c r="L2616" s="452"/>
      <c r="M2616" s="527"/>
      <c r="N2616" s="451"/>
      <c r="O2616" s="559">
        <f>SUM(TrialBalance!L108:L109)</f>
        <v>0</v>
      </c>
      <c r="P2616" s="459"/>
      <c r="Q2616" s="469"/>
      <c r="R2616" s="512" t="str">
        <f t="shared" si="199"/>
        <v>DELETE</v>
      </c>
    </row>
    <row r="2617" spans="2:18" ht="31.5" customHeight="1" x14ac:dyDescent="0.45">
      <c r="B2617" s="468"/>
      <c r="C2617" s="450"/>
      <c r="D2617" s="449" t="str">
        <f>IF(MAX(Criteria!I41:I45)&gt;1,"Directors' remuneration","Director's remuneration")</f>
        <v>Directors' remuneration</v>
      </c>
      <c r="J2617" s="451"/>
      <c r="K2617" s="451">
        <f>C$1105</f>
        <v>4.0999999999999996</v>
      </c>
      <c r="L2617" s="452"/>
      <c r="M2617" s="527"/>
      <c r="N2617" s="451"/>
      <c r="O2617" s="559">
        <f>SUM(TrialBalance!L111:L115)</f>
        <v>0</v>
      </c>
      <c r="P2617" s="459"/>
      <c r="Q2617" s="469"/>
      <c r="R2617" s="512" t="str">
        <f t="shared" si="199"/>
        <v>DELETE</v>
      </c>
    </row>
    <row r="2618" spans="2:18" ht="31.5" customHeight="1" x14ac:dyDescent="0.45">
      <c r="B2618" s="468"/>
      <c r="C2618" s="450"/>
      <c r="D2618" s="449" t="s">
        <v>315</v>
      </c>
      <c r="J2618" s="451"/>
      <c r="K2618" s="451"/>
      <c r="L2618" s="452"/>
      <c r="M2618" s="527"/>
      <c r="N2618" s="451"/>
      <c r="O2618" s="559">
        <f>TrialBalance!L116</f>
        <v>0</v>
      </c>
      <c r="P2618" s="459"/>
      <c r="Q2618" s="469"/>
      <c r="R2618" s="512" t="str">
        <f t="shared" si="199"/>
        <v>DELETE</v>
      </c>
    </row>
    <row r="2619" spans="2:18" ht="31.5" customHeight="1" x14ac:dyDescent="0.45">
      <c r="B2619" s="468"/>
      <c r="C2619" s="450"/>
      <c r="D2619" s="449" t="s">
        <v>443</v>
      </c>
      <c r="J2619" s="451"/>
      <c r="K2619" s="451"/>
      <c r="L2619" s="452"/>
      <c r="M2619" s="527"/>
      <c r="N2619" s="451"/>
      <c r="O2619" s="559">
        <f>TrialBalance!L117</f>
        <v>0</v>
      </c>
      <c r="P2619" s="459"/>
      <c r="Q2619" s="469"/>
      <c r="R2619" s="512" t="str">
        <f t="shared" si="199"/>
        <v>DELETE</v>
      </c>
    </row>
    <row r="2620" spans="2:18" ht="31.5" customHeight="1" x14ac:dyDescent="0.45">
      <c r="B2620" s="468"/>
      <c r="C2620" s="450"/>
      <c r="D2620" s="449" t="s">
        <v>392</v>
      </c>
      <c r="J2620" s="451"/>
      <c r="K2620" s="451"/>
      <c r="L2620" s="452"/>
      <c r="M2620" s="527"/>
      <c r="N2620" s="451"/>
      <c r="O2620" s="559">
        <f>TrialBalance!L118</f>
        <v>0</v>
      </c>
      <c r="P2620" s="459"/>
      <c r="Q2620" s="469"/>
      <c r="R2620" s="512" t="str">
        <f t="shared" si="199"/>
        <v>DELETE</v>
      </c>
    </row>
    <row r="2621" spans="2:18" ht="31.5" customHeight="1" x14ac:dyDescent="0.45">
      <c r="B2621" s="468"/>
      <c r="C2621" s="450"/>
      <c r="D2621" s="449" t="s">
        <v>445</v>
      </c>
      <c r="J2621" s="451"/>
      <c r="K2621" s="451"/>
      <c r="L2621" s="452"/>
      <c r="M2621" s="527"/>
      <c r="N2621" s="451"/>
      <c r="O2621" s="559">
        <f>TrialBalance!L119</f>
        <v>0</v>
      </c>
      <c r="P2621" s="459"/>
      <c r="Q2621" s="469"/>
      <c r="R2621" s="512" t="str">
        <f t="shared" si="199"/>
        <v>DELETE</v>
      </c>
    </row>
    <row r="2622" spans="2:18" ht="31.5" customHeight="1" x14ac:dyDescent="0.45">
      <c r="B2622" s="468"/>
      <c r="C2622" s="450"/>
      <c r="D2622" s="449" t="str">
        <f>TrialBalance!C154</f>
        <v>Impairment losses</v>
      </c>
      <c r="J2622" s="451"/>
      <c r="K2622" s="451"/>
      <c r="L2622" s="452"/>
      <c r="M2622" s="527"/>
      <c r="N2622" s="451"/>
      <c r="O2622" s="559">
        <f>TrialBalance!L154</f>
        <v>0</v>
      </c>
      <c r="P2622" s="459"/>
      <c r="Q2622" s="469"/>
      <c r="R2622" s="512" t="str">
        <f>IF(O2622=0,"DELETE"," ")</f>
        <v>DELETE</v>
      </c>
    </row>
    <row r="2623" spans="2:18" ht="31.5" customHeight="1" x14ac:dyDescent="0.45">
      <c r="B2623" s="468"/>
      <c r="C2623" s="450"/>
      <c r="D2623" s="449" t="s">
        <v>605</v>
      </c>
      <c r="J2623" s="451"/>
      <c r="K2623" s="451"/>
      <c r="L2623" s="452"/>
      <c r="M2623" s="527"/>
      <c r="N2623" s="451"/>
      <c r="O2623" s="559">
        <f>TrialBalance!L120+TrialBalance!L121</f>
        <v>0</v>
      </c>
      <c r="P2623" s="459"/>
      <c r="Q2623" s="469"/>
      <c r="R2623" s="512" t="str">
        <f t="shared" si="199"/>
        <v>DELETE</v>
      </c>
    </row>
    <row r="2624" spans="2:18" ht="31.5" customHeight="1" x14ac:dyDescent="0.45">
      <c r="B2624" s="468"/>
      <c r="C2624" s="450"/>
      <c r="D2624" s="449" t="s">
        <v>633</v>
      </c>
      <c r="J2624" s="451"/>
      <c r="K2624" s="451"/>
      <c r="L2624" s="452"/>
      <c r="M2624" s="527"/>
      <c r="N2624" s="451"/>
      <c r="O2624" s="559">
        <f>IF(TrialBalance!L93&gt;0,TrialBalance!L93,0)</f>
        <v>0</v>
      </c>
      <c r="P2624" s="459"/>
      <c r="Q2624" s="469"/>
      <c r="R2624" s="512" t="str">
        <f>IF(O2624=0,"DELETE"," ")</f>
        <v>DELETE</v>
      </c>
    </row>
    <row r="2625" spans="2:18" ht="31.5" customHeight="1" x14ac:dyDescent="0.45">
      <c r="B2625" s="468"/>
      <c r="C2625" s="450"/>
      <c r="D2625" s="449" t="s">
        <v>936</v>
      </c>
      <c r="J2625" s="451"/>
      <c r="K2625" s="451"/>
      <c r="L2625" s="452"/>
      <c r="M2625" s="527"/>
      <c r="N2625" s="451"/>
      <c r="O2625" s="559">
        <f>TrialBalance!L122</f>
        <v>0</v>
      </c>
      <c r="P2625" s="459"/>
      <c r="Q2625" s="469"/>
      <c r="R2625" s="512" t="str">
        <f t="shared" si="199"/>
        <v>DELETE</v>
      </c>
    </row>
    <row r="2626" spans="2:18" ht="31.5" customHeight="1" x14ac:dyDescent="0.45">
      <c r="B2626" s="468"/>
      <c r="C2626" s="450"/>
      <c r="D2626" s="449" t="s">
        <v>316</v>
      </c>
      <c r="J2626" s="451"/>
      <c r="K2626" s="451"/>
      <c r="L2626" s="452"/>
      <c r="M2626" s="527"/>
      <c r="N2626" s="451"/>
      <c r="O2626" s="559">
        <f>TrialBalance!L123</f>
        <v>0</v>
      </c>
      <c r="P2626" s="459"/>
      <c r="Q2626" s="469"/>
      <c r="R2626" s="512" t="str">
        <f t="shared" si="199"/>
        <v>DELETE</v>
      </c>
    </row>
    <row r="2627" spans="2:18" ht="31.5" customHeight="1" x14ac:dyDescent="0.45">
      <c r="B2627" s="468"/>
      <c r="C2627" s="450"/>
      <c r="D2627" s="449" t="s">
        <v>1554</v>
      </c>
      <c r="J2627" s="451"/>
      <c r="K2627" s="451"/>
      <c r="L2627" s="452"/>
      <c r="M2627" s="527"/>
      <c r="N2627" s="451"/>
      <c r="O2627" s="559">
        <f>TrialBalance!L155</f>
        <v>0</v>
      </c>
      <c r="P2627" s="459"/>
      <c r="Q2627" s="469"/>
      <c r="R2627" s="512" t="str">
        <f t="shared" si="199"/>
        <v>DELETE</v>
      </c>
    </row>
    <row r="2628" spans="2:18" ht="31.5" customHeight="1" x14ac:dyDescent="0.45">
      <c r="B2628" s="468"/>
      <c r="C2628" s="450"/>
      <c r="D2628" s="449" t="s">
        <v>309</v>
      </c>
      <c r="J2628" s="451"/>
      <c r="K2628" s="451"/>
      <c r="L2628" s="452"/>
      <c r="M2628" s="527"/>
      <c r="N2628" s="451"/>
      <c r="O2628" s="559">
        <f>SUM(TrialBalance!L124:L125)</f>
        <v>0</v>
      </c>
      <c r="P2628" s="459"/>
      <c r="Q2628" s="469"/>
      <c r="R2628" s="512" t="str">
        <f t="shared" si="199"/>
        <v>DELETE</v>
      </c>
    </row>
    <row r="2629" spans="2:18" ht="31.5" customHeight="1" x14ac:dyDescent="0.45">
      <c r="B2629" s="468"/>
      <c r="C2629" s="450"/>
      <c r="D2629" s="449" t="s">
        <v>317</v>
      </c>
      <c r="J2629" s="451"/>
      <c r="K2629" s="451"/>
      <c r="L2629" s="452"/>
      <c r="M2629" s="527"/>
      <c r="N2629" s="451"/>
      <c r="O2629" s="559">
        <f>TrialBalance!L126</f>
        <v>0</v>
      </c>
      <c r="P2629" s="459"/>
      <c r="Q2629" s="469"/>
      <c r="R2629" s="512" t="str">
        <f t="shared" si="199"/>
        <v>DELETE</v>
      </c>
    </row>
    <row r="2630" spans="2:18" ht="31.5" customHeight="1" x14ac:dyDescent="0.45">
      <c r="B2630" s="468"/>
      <c r="C2630" s="450"/>
      <c r="D2630" s="449" t="s">
        <v>937</v>
      </c>
      <c r="J2630" s="451"/>
      <c r="K2630" s="451"/>
      <c r="L2630" s="452"/>
      <c r="M2630" s="527"/>
      <c r="N2630" s="451"/>
      <c r="O2630" s="559">
        <f>TrialBalance!L127</f>
        <v>0</v>
      </c>
      <c r="P2630" s="459"/>
      <c r="Q2630" s="469"/>
      <c r="R2630" s="512" t="str">
        <f t="shared" si="199"/>
        <v>DELETE</v>
      </c>
    </row>
    <row r="2631" spans="2:18" ht="31.5" customHeight="1" x14ac:dyDescent="0.45">
      <c r="B2631" s="468"/>
      <c r="C2631" s="450"/>
      <c r="D2631" s="449" t="s">
        <v>99</v>
      </c>
      <c r="J2631" s="451"/>
      <c r="K2631" s="451"/>
      <c r="L2631" s="452"/>
      <c r="M2631" s="527"/>
      <c r="N2631" s="451"/>
      <c r="O2631" s="559">
        <f>TrialBalance!L128</f>
        <v>0</v>
      </c>
      <c r="P2631" s="459"/>
      <c r="Q2631" s="469"/>
      <c r="R2631" s="512" t="str">
        <f t="shared" si="199"/>
        <v>DELETE</v>
      </c>
    </row>
    <row r="2632" spans="2:18" ht="31.5" customHeight="1" x14ac:dyDescent="0.45">
      <c r="B2632" s="468"/>
      <c r="C2632" s="450"/>
      <c r="D2632" s="449">
        <f>TrialBalance!C129</f>
        <v>0</v>
      </c>
      <c r="J2632" s="451"/>
      <c r="K2632" s="451"/>
      <c r="L2632" s="452"/>
      <c r="M2632" s="527"/>
      <c r="N2632" s="451"/>
      <c r="O2632" s="559">
        <f>TrialBalance!L129</f>
        <v>0</v>
      </c>
      <c r="P2632" s="459"/>
      <c r="Q2632" s="469"/>
      <c r="R2632" s="512" t="str">
        <f t="shared" si="199"/>
        <v>DELETE</v>
      </c>
    </row>
    <row r="2633" spans="2:18" ht="31.5" customHeight="1" x14ac:dyDescent="0.45">
      <c r="B2633" s="468"/>
      <c r="C2633" s="450"/>
      <c r="D2633" s="449">
        <f>TrialBalance!C130</f>
        <v>0</v>
      </c>
      <c r="J2633" s="451"/>
      <c r="K2633" s="451"/>
      <c r="L2633" s="452"/>
      <c r="M2633" s="527"/>
      <c r="N2633" s="451"/>
      <c r="O2633" s="559">
        <f>TrialBalance!L130</f>
        <v>0</v>
      </c>
      <c r="P2633" s="459"/>
      <c r="Q2633" s="469"/>
      <c r="R2633" s="512" t="str">
        <f t="shared" si="199"/>
        <v>DELETE</v>
      </c>
    </row>
    <row r="2634" spans="2:18" ht="31.5" customHeight="1" x14ac:dyDescent="0.45">
      <c r="B2634" s="468"/>
      <c r="C2634" s="450"/>
      <c r="D2634" s="449">
        <f>TrialBalance!C131</f>
        <v>0</v>
      </c>
      <c r="J2634" s="451"/>
      <c r="K2634" s="451"/>
      <c r="L2634" s="452"/>
      <c r="M2634" s="527"/>
      <c r="N2634" s="451"/>
      <c r="O2634" s="559">
        <f>TrialBalance!L131</f>
        <v>0</v>
      </c>
      <c r="P2634" s="459"/>
      <c r="Q2634" s="469"/>
      <c r="R2634" s="512" t="str">
        <f t="shared" si="199"/>
        <v>DELETE</v>
      </c>
    </row>
    <row r="2635" spans="2:18" ht="31.5" customHeight="1" x14ac:dyDescent="0.45">
      <c r="B2635" s="468"/>
      <c r="C2635" s="450"/>
      <c r="D2635" s="449">
        <f>TrialBalance!C132</f>
        <v>0</v>
      </c>
      <c r="J2635" s="451"/>
      <c r="K2635" s="451"/>
      <c r="L2635" s="452"/>
      <c r="M2635" s="527"/>
      <c r="N2635" s="451"/>
      <c r="O2635" s="559">
        <f>TrialBalance!L132</f>
        <v>0</v>
      </c>
      <c r="P2635" s="459"/>
      <c r="Q2635" s="469"/>
      <c r="R2635" s="512" t="str">
        <f t="shared" si="199"/>
        <v>DELETE</v>
      </c>
    </row>
    <row r="2636" spans="2:18" ht="31.5" customHeight="1" x14ac:dyDescent="0.45">
      <c r="B2636" s="468"/>
      <c r="C2636" s="450"/>
      <c r="D2636" s="449">
        <f>TrialBalance!C133</f>
        <v>0</v>
      </c>
      <c r="J2636" s="451"/>
      <c r="K2636" s="451"/>
      <c r="L2636" s="452"/>
      <c r="M2636" s="527"/>
      <c r="N2636" s="451"/>
      <c r="O2636" s="559">
        <f>TrialBalance!L133</f>
        <v>0</v>
      </c>
      <c r="P2636" s="459"/>
      <c r="Q2636" s="469"/>
      <c r="R2636" s="512" t="str">
        <f t="shared" si="199"/>
        <v>DELETE</v>
      </c>
    </row>
    <row r="2637" spans="2:18" ht="31.5" customHeight="1" x14ac:dyDescent="0.45">
      <c r="B2637" s="468"/>
      <c r="C2637" s="450"/>
      <c r="D2637" s="449">
        <f>TrialBalance!C134</f>
        <v>0</v>
      </c>
      <c r="J2637" s="451"/>
      <c r="K2637" s="451"/>
      <c r="L2637" s="452"/>
      <c r="M2637" s="527"/>
      <c r="N2637" s="451"/>
      <c r="O2637" s="559">
        <f>TrialBalance!L134</f>
        <v>0</v>
      </c>
      <c r="P2637" s="459"/>
      <c r="Q2637" s="469"/>
      <c r="R2637" s="512" t="str">
        <f t="shared" si="199"/>
        <v>DELETE</v>
      </c>
    </row>
    <row r="2638" spans="2:18" ht="31.5" customHeight="1" x14ac:dyDescent="0.45">
      <c r="B2638" s="468"/>
      <c r="C2638" s="450"/>
      <c r="D2638" s="449">
        <f>TrialBalance!C135</f>
        <v>0</v>
      </c>
      <c r="J2638" s="451"/>
      <c r="K2638" s="451"/>
      <c r="L2638" s="452"/>
      <c r="M2638" s="527"/>
      <c r="N2638" s="451"/>
      <c r="O2638" s="559">
        <f>TrialBalance!L135</f>
        <v>0</v>
      </c>
      <c r="P2638" s="459"/>
      <c r="Q2638" s="469"/>
      <c r="R2638" s="512" t="str">
        <f t="shared" si="199"/>
        <v>DELETE</v>
      </c>
    </row>
    <row r="2639" spans="2:18" ht="31.5" customHeight="1" x14ac:dyDescent="0.45">
      <c r="B2639" s="468"/>
      <c r="C2639" s="450"/>
      <c r="D2639" s="449">
        <f>TrialBalance!C136</f>
        <v>0</v>
      </c>
      <c r="J2639" s="451"/>
      <c r="K2639" s="451"/>
      <c r="L2639" s="452"/>
      <c r="M2639" s="527"/>
      <c r="N2639" s="451"/>
      <c r="O2639" s="559">
        <f>TrialBalance!L136</f>
        <v>0</v>
      </c>
      <c r="P2639" s="459"/>
      <c r="Q2639" s="469"/>
      <c r="R2639" s="512" t="str">
        <f t="shared" si="199"/>
        <v>DELETE</v>
      </c>
    </row>
    <row r="2640" spans="2:18" ht="31.5" customHeight="1" x14ac:dyDescent="0.45">
      <c r="B2640" s="468"/>
      <c r="C2640" s="450"/>
      <c r="D2640" s="449">
        <f>TrialBalance!C137</f>
        <v>0</v>
      </c>
      <c r="J2640" s="451"/>
      <c r="K2640" s="451"/>
      <c r="L2640" s="452"/>
      <c r="M2640" s="527"/>
      <c r="N2640" s="451"/>
      <c r="O2640" s="559">
        <f>TrialBalance!L137</f>
        <v>0</v>
      </c>
      <c r="P2640" s="459"/>
      <c r="Q2640" s="469"/>
      <c r="R2640" s="512" t="str">
        <f t="shared" si="199"/>
        <v>DELETE</v>
      </c>
    </row>
    <row r="2641" spans="2:23" ht="31.5" customHeight="1" x14ac:dyDescent="0.45">
      <c r="B2641" s="468"/>
      <c r="C2641" s="450"/>
      <c r="D2641" s="449" t="str">
        <f>TrialBalance!C138</f>
        <v>Amortisation of prepaid lease agreement</v>
      </c>
      <c r="J2641" s="451"/>
      <c r="K2641" s="451"/>
      <c r="L2641" s="452"/>
      <c r="M2641" s="527"/>
      <c r="N2641" s="451"/>
      <c r="O2641" s="559">
        <f>TrialBalance!L138</f>
        <v>0</v>
      </c>
      <c r="P2641" s="459"/>
      <c r="Q2641" s="469"/>
      <c r="R2641" s="512" t="str">
        <f t="shared" si="199"/>
        <v>DELETE</v>
      </c>
    </row>
    <row r="2642" spans="2:23" ht="31.5" customHeight="1" x14ac:dyDescent="0.45">
      <c r="B2642" s="468"/>
      <c r="C2642" s="450"/>
      <c r="D2642" s="449" t="str">
        <f>TrialBalance!C139</f>
        <v>Amortisation of goodwill</v>
      </c>
      <c r="J2642" s="451"/>
      <c r="K2642" s="451"/>
      <c r="L2642" s="452"/>
      <c r="M2642" s="527"/>
      <c r="N2642" s="451"/>
      <c r="O2642" s="559">
        <f>TrialBalance!L139</f>
        <v>0</v>
      </c>
      <c r="P2642" s="459"/>
      <c r="Q2642" s="469"/>
      <c r="R2642" s="512" t="str">
        <f t="shared" ref="R2642" si="200">IF(O2642=0,"DELETE"," ")</f>
        <v>DELETE</v>
      </c>
    </row>
    <row r="2643" spans="2:23" ht="9" customHeight="1" x14ac:dyDescent="0.45">
      <c r="B2643" s="468"/>
      <c r="C2643" s="450"/>
      <c r="J2643" s="451"/>
      <c r="K2643" s="451"/>
      <c r="L2643" s="452"/>
      <c r="M2643" s="527"/>
      <c r="N2643" s="451"/>
      <c r="O2643" s="560"/>
      <c r="P2643" s="459"/>
      <c r="Q2643" s="469"/>
      <c r="R2643" s="512" t="str">
        <f>R2606</f>
        <v>DELETE</v>
      </c>
    </row>
    <row r="2644" spans="2:23" ht="9" customHeight="1" x14ac:dyDescent="0.45">
      <c r="B2644" s="468"/>
      <c r="C2644" s="450"/>
      <c r="J2644" s="451"/>
      <c r="K2644" s="451"/>
      <c r="L2644" s="452"/>
      <c r="M2644" s="527"/>
      <c r="N2644" s="451"/>
      <c r="O2644" s="535"/>
      <c r="P2644" s="459"/>
      <c r="Q2644" s="469"/>
    </row>
    <row r="2645" spans="2:23" ht="9" customHeight="1" x14ac:dyDescent="0.45">
      <c r="B2645" s="468"/>
      <c r="C2645" s="450"/>
      <c r="J2645" s="451"/>
      <c r="K2645" s="451"/>
      <c r="L2645" s="452"/>
      <c r="M2645" s="527"/>
      <c r="N2645" s="451"/>
      <c r="O2645" s="531"/>
      <c r="P2645" s="459"/>
      <c r="Q2645" s="469"/>
    </row>
    <row r="2646" spans="2:23" ht="31.5" customHeight="1" x14ac:dyDescent="0.45">
      <c r="B2646" s="468"/>
      <c r="C2646" s="492" t="str">
        <f>IF(W2646=2,"OPERATING PROFIT FOR THE YEAR","OPERATING LOSS FOR THE YEAR")</f>
        <v>OPERATING PROFIT FOR THE YEAR</v>
      </c>
      <c r="J2646" s="451"/>
      <c r="K2646" s="451">
        <f>B1102</f>
        <v>4</v>
      </c>
      <c r="L2646" s="452"/>
      <c r="M2646" s="527"/>
      <c r="N2646" s="451"/>
      <c r="O2646" s="531">
        <f>SUM(S2520:S2643)</f>
        <v>0</v>
      </c>
      <c r="P2646" s="459"/>
      <c r="Q2646" s="469"/>
      <c r="W2646" s="513">
        <f>IF(O2646&lt;0,1,2)</f>
        <v>2</v>
      </c>
    </row>
    <row r="2647" spans="2:23" ht="31.5" customHeight="1" x14ac:dyDescent="0.45">
      <c r="B2647" s="468"/>
      <c r="C2647" s="450"/>
      <c r="J2647" s="451"/>
      <c r="K2647" s="451"/>
      <c r="L2647" s="452"/>
      <c r="M2647" s="527"/>
      <c r="N2647" s="451"/>
      <c r="O2647" s="531"/>
      <c r="P2647" s="459"/>
      <c r="Q2647" s="469"/>
    </row>
    <row r="2648" spans="2:23" ht="31.5" customHeight="1" x14ac:dyDescent="0.45">
      <c r="B2648" s="468"/>
      <c r="C2648" s="450" t="s">
        <v>139</v>
      </c>
      <c r="J2648" s="451"/>
      <c r="K2648" s="451">
        <f>B1189</f>
        <v>5</v>
      </c>
      <c r="L2648" s="452"/>
      <c r="M2648" s="527"/>
      <c r="N2648" s="451"/>
      <c r="O2648" s="531">
        <f>SUM(O2651:O2658)</f>
        <v>0</v>
      </c>
      <c r="P2648" s="459"/>
      <c r="Q2648" s="469"/>
      <c r="R2648" s="512" t="str">
        <f t="shared" ref="R2648" si="201">IF(O2648=0,"DELETE"," ")</f>
        <v>DELETE</v>
      </c>
      <c r="S2648" s="517">
        <f>O2648</f>
        <v>0</v>
      </c>
      <c r="T2648" s="517"/>
      <c r="U2648" s="517"/>
      <c r="V2648" s="517"/>
    </row>
    <row r="2649" spans="2:23" ht="9" customHeight="1" x14ac:dyDescent="0.45">
      <c r="B2649" s="468"/>
      <c r="C2649" s="450"/>
      <c r="J2649" s="451"/>
      <c r="K2649" s="451"/>
      <c r="L2649" s="452"/>
      <c r="M2649" s="527"/>
      <c r="N2649" s="451"/>
      <c r="O2649" s="531"/>
      <c r="P2649" s="459"/>
      <c r="Q2649" s="469"/>
      <c r="R2649" s="512" t="str">
        <f>R2648</f>
        <v>DELETE</v>
      </c>
    </row>
    <row r="2650" spans="2:23" ht="9" customHeight="1" x14ac:dyDescent="0.45">
      <c r="B2650" s="468"/>
      <c r="C2650" s="450"/>
      <c r="J2650" s="451"/>
      <c r="K2650" s="451"/>
      <c r="L2650" s="452"/>
      <c r="M2650" s="527"/>
      <c r="N2650" s="451"/>
      <c r="O2650" s="558"/>
      <c r="P2650" s="459"/>
      <c r="Q2650" s="469"/>
      <c r="R2650" s="512" t="str">
        <f>R2649</f>
        <v>DELETE</v>
      </c>
    </row>
    <row r="2651" spans="2:23" ht="31.5" customHeight="1" x14ac:dyDescent="0.45">
      <c r="B2651" s="468"/>
      <c r="C2651" s="450"/>
      <c r="D2651" s="449" t="s">
        <v>243</v>
      </c>
      <c r="J2651" s="451"/>
      <c r="K2651" s="451"/>
      <c r="L2651" s="452"/>
      <c r="M2651" s="527"/>
      <c r="N2651" s="451"/>
      <c r="O2651" s="559">
        <f>-TrialBalance!L94</f>
        <v>0</v>
      </c>
      <c r="P2651" s="459"/>
      <c r="Q2651" s="469"/>
      <c r="R2651" s="512" t="str">
        <f t="shared" ref="R2651:R2656" si="202">IF(O2651=0,"DELETE"," ")</f>
        <v>DELETE</v>
      </c>
    </row>
    <row r="2652" spans="2:23" ht="31.5" customHeight="1" x14ac:dyDescent="0.45">
      <c r="B2652" s="468"/>
      <c r="C2652" s="450"/>
      <c r="D2652" s="449" t="s">
        <v>612</v>
      </c>
      <c r="J2652" s="451"/>
      <c r="K2652" s="451"/>
      <c r="L2652" s="452"/>
      <c r="M2652" s="527"/>
      <c r="N2652" s="451"/>
      <c r="O2652" s="559">
        <f>-SUM(TrialBalance!L90:L92)</f>
        <v>0</v>
      </c>
      <c r="P2652" s="459"/>
      <c r="Q2652" s="469"/>
      <c r="R2652" s="512" t="str">
        <f t="shared" si="202"/>
        <v>DELETE</v>
      </c>
    </row>
    <row r="2653" spans="2:23" ht="31.5" customHeight="1" x14ac:dyDescent="0.45">
      <c r="B2653" s="468"/>
      <c r="C2653" s="450"/>
      <c r="D2653" s="449" t="s">
        <v>613</v>
      </c>
      <c r="J2653" s="451"/>
      <c r="K2653" s="451"/>
      <c r="L2653" s="452"/>
      <c r="M2653" s="527"/>
      <c r="N2653" s="451"/>
      <c r="O2653" s="561">
        <f>-SUM(TrialBalance!L85:L88)</f>
        <v>0</v>
      </c>
      <c r="P2653" s="459"/>
      <c r="Q2653" s="469"/>
      <c r="R2653" s="512" t="str">
        <f t="shared" si="202"/>
        <v>DELETE</v>
      </c>
    </row>
    <row r="2654" spans="2:23" ht="31.5" customHeight="1" x14ac:dyDescent="0.45">
      <c r="B2654" s="468"/>
      <c r="C2654" s="450"/>
      <c r="D2654" s="449" t="s">
        <v>245</v>
      </c>
      <c r="J2654" s="451"/>
      <c r="K2654" s="451"/>
      <c r="L2654" s="452"/>
      <c r="M2654" s="527"/>
      <c r="N2654" s="451"/>
      <c r="O2654" s="561">
        <f>-SUM(TrialBalance!L95)</f>
        <v>0</v>
      </c>
      <c r="P2654" s="459"/>
      <c r="Q2654" s="469"/>
      <c r="R2654" s="512" t="str">
        <f t="shared" si="202"/>
        <v>DELETE</v>
      </c>
    </row>
    <row r="2655" spans="2:23" ht="31.5" customHeight="1" x14ac:dyDescent="0.45">
      <c r="B2655" s="468"/>
      <c r="C2655" s="450"/>
      <c r="D2655" s="449" t="s">
        <v>634</v>
      </c>
      <c r="J2655" s="451"/>
      <c r="K2655" s="451"/>
      <c r="L2655" s="452"/>
      <c r="M2655" s="527"/>
      <c r="N2655" s="451"/>
      <c r="O2655" s="559">
        <f>IF(TrialBalance!L93&lt;0,-TrialBalance!L93,0)</f>
        <v>0</v>
      </c>
      <c r="P2655" s="459"/>
      <c r="Q2655" s="469"/>
      <c r="R2655" s="512" t="str">
        <f t="shared" si="202"/>
        <v>DELETE</v>
      </c>
    </row>
    <row r="2656" spans="2:23" ht="31.5" customHeight="1" x14ac:dyDescent="0.45">
      <c r="B2656" s="468"/>
      <c r="C2656" s="450"/>
      <c r="D2656" s="449" t="s">
        <v>433</v>
      </c>
      <c r="J2656" s="451"/>
      <c r="K2656" s="451"/>
      <c r="L2656" s="452"/>
      <c r="M2656" s="527"/>
      <c r="N2656" s="451"/>
      <c r="O2656" s="559">
        <f>-TrialBalance!L83</f>
        <v>0</v>
      </c>
      <c r="P2656" s="459"/>
      <c r="Q2656" s="469"/>
      <c r="R2656" s="512" t="str">
        <f t="shared" si="202"/>
        <v>DELETE</v>
      </c>
    </row>
    <row r="2657" spans="2:23" ht="31.5" customHeight="1" x14ac:dyDescent="0.45">
      <c r="B2657" s="468"/>
      <c r="C2657" s="450"/>
      <c r="D2657" s="449" t="str">
        <f>TrialBalance!C96</f>
        <v>Revaluation of investment property</v>
      </c>
      <c r="J2657" s="451"/>
      <c r="K2657" s="451"/>
      <c r="L2657" s="452"/>
      <c r="M2657" s="527"/>
      <c r="N2657" s="451"/>
      <c r="O2657" s="559">
        <f>-TrialBalance!L96</f>
        <v>0</v>
      </c>
      <c r="P2657" s="459"/>
      <c r="Q2657" s="469"/>
      <c r="R2657" s="512" t="str">
        <f>IF(O2657=0,"DELETE"," ")</f>
        <v>DELETE</v>
      </c>
    </row>
    <row r="2658" spans="2:23" ht="9" customHeight="1" x14ac:dyDescent="0.45">
      <c r="B2658" s="468"/>
      <c r="C2658" s="450"/>
      <c r="J2658" s="451"/>
      <c r="K2658" s="451"/>
      <c r="L2658" s="452"/>
      <c r="M2658" s="527"/>
      <c r="N2658" s="451"/>
      <c r="O2658" s="560"/>
      <c r="P2658" s="459"/>
      <c r="Q2658" s="469"/>
      <c r="R2658" s="512" t="str">
        <f>R2648</f>
        <v>DELETE</v>
      </c>
    </row>
    <row r="2659" spans="2:23" ht="9" customHeight="1" x14ac:dyDescent="0.45">
      <c r="B2659" s="468"/>
      <c r="C2659" s="450"/>
      <c r="J2659" s="451"/>
      <c r="K2659" s="451"/>
      <c r="L2659" s="452"/>
      <c r="M2659" s="527"/>
      <c r="N2659" s="451"/>
      <c r="O2659" s="535"/>
      <c r="P2659" s="459"/>
      <c r="Q2659" s="469"/>
      <c r="R2659" s="512" t="str">
        <f>R2658</f>
        <v>DELETE</v>
      </c>
    </row>
    <row r="2660" spans="2:23" ht="9" customHeight="1" x14ac:dyDescent="0.45">
      <c r="B2660" s="468"/>
      <c r="C2660" s="450"/>
      <c r="J2660" s="451"/>
      <c r="K2660" s="451"/>
      <c r="L2660" s="452"/>
      <c r="M2660" s="527"/>
      <c r="N2660" s="451"/>
      <c r="O2660" s="531"/>
      <c r="P2660" s="459"/>
      <c r="Q2660" s="469"/>
      <c r="R2660" s="512" t="str">
        <f>R2659</f>
        <v>DELETE</v>
      </c>
    </row>
    <row r="2661" spans="2:23" ht="31.5" customHeight="1" x14ac:dyDescent="0.45">
      <c r="B2661" s="468"/>
      <c r="C2661" s="450"/>
      <c r="J2661" s="451"/>
      <c r="K2661" s="451"/>
      <c r="L2661" s="452"/>
      <c r="M2661" s="527"/>
      <c r="N2661" s="451"/>
      <c r="O2661" s="531">
        <f>SUM(S2520:S2658)</f>
        <v>0</v>
      </c>
      <c r="P2661" s="459"/>
      <c r="Q2661" s="469"/>
      <c r="R2661" s="512" t="str">
        <f t="shared" ref="R2661:R2662" si="203">R2660</f>
        <v>DELETE</v>
      </c>
    </row>
    <row r="2662" spans="2:23" ht="31.5" customHeight="1" x14ac:dyDescent="0.45">
      <c r="B2662" s="468"/>
      <c r="C2662" s="450"/>
      <c r="J2662" s="451"/>
      <c r="K2662" s="451"/>
      <c r="L2662" s="452"/>
      <c r="M2662" s="527"/>
      <c r="N2662" s="451"/>
      <c r="O2662" s="531"/>
      <c r="P2662" s="459"/>
      <c r="Q2662" s="469"/>
      <c r="R2662" s="512" t="str">
        <f t="shared" si="203"/>
        <v>DELETE</v>
      </c>
    </row>
    <row r="2663" spans="2:23" ht="31.5" customHeight="1" x14ac:dyDescent="0.45">
      <c r="B2663" s="468"/>
      <c r="C2663" s="450" t="s">
        <v>318</v>
      </c>
      <c r="J2663" s="451"/>
      <c r="K2663" s="451">
        <f>B1248</f>
        <v>6</v>
      </c>
      <c r="L2663" s="452"/>
      <c r="M2663" s="527"/>
      <c r="N2663" s="451"/>
      <c r="O2663" s="531">
        <f>SUM(TrialBalance!L142:L152)</f>
        <v>0</v>
      </c>
      <c r="P2663" s="459"/>
      <c r="Q2663" s="469"/>
      <c r="R2663" s="512" t="str">
        <f t="shared" ref="R2663" si="204">IF(O2663=0,"DELETE"," ")</f>
        <v>DELETE</v>
      </c>
      <c r="S2663" s="517">
        <f>-O2663</f>
        <v>0</v>
      </c>
      <c r="T2663" s="517"/>
      <c r="U2663" s="517"/>
      <c r="V2663" s="517"/>
    </row>
    <row r="2664" spans="2:23" ht="9" customHeight="1" x14ac:dyDescent="0.45">
      <c r="B2664" s="468"/>
      <c r="C2664" s="450"/>
      <c r="J2664" s="451"/>
      <c r="K2664" s="451"/>
      <c r="L2664" s="452"/>
      <c r="M2664" s="527"/>
      <c r="N2664" s="451"/>
      <c r="O2664" s="535"/>
      <c r="P2664" s="459"/>
      <c r="Q2664" s="469"/>
    </row>
    <row r="2665" spans="2:23" ht="9" customHeight="1" x14ac:dyDescent="0.45">
      <c r="B2665" s="468"/>
      <c r="C2665" s="450"/>
      <c r="J2665" s="451"/>
      <c r="K2665" s="451"/>
      <c r="L2665" s="452"/>
      <c r="M2665" s="527"/>
      <c r="N2665" s="451"/>
      <c r="O2665" s="531"/>
      <c r="P2665" s="459"/>
      <c r="Q2665" s="469"/>
    </row>
    <row r="2666" spans="2:23" ht="31.5" customHeight="1" x14ac:dyDescent="0.45">
      <c r="B2666" s="468"/>
      <c r="C2666" s="492" t="str">
        <f>IF(W2666=2,"PROFIT BEFORE TAXATION","LOSS BEFORE TAXATION")</f>
        <v>PROFIT BEFORE TAXATION</v>
      </c>
      <c r="J2666" s="451"/>
      <c r="K2666" s="451"/>
      <c r="L2666" s="452"/>
      <c r="M2666" s="527"/>
      <c r="N2666" s="451"/>
      <c r="O2666" s="531">
        <f>SUM(S2520:S2665)</f>
        <v>0</v>
      </c>
      <c r="P2666" s="459"/>
      <c r="Q2666" s="469"/>
      <c r="W2666" s="513">
        <f>IF(O2666&lt;0,1,2)</f>
        <v>2</v>
      </c>
    </row>
    <row r="2667" spans="2:23" ht="31.5" customHeight="1" x14ac:dyDescent="0.45">
      <c r="B2667" s="468"/>
      <c r="C2667" s="492"/>
      <c r="J2667" s="451"/>
      <c r="K2667" s="451"/>
      <c r="L2667" s="452"/>
      <c r="M2667" s="527"/>
      <c r="N2667" s="451"/>
      <c r="O2667" s="531"/>
      <c r="P2667" s="459"/>
      <c r="Q2667" s="469"/>
    </row>
    <row r="2668" spans="2:23" ht="31.5" customHeight="1" x14ac:dyDescent="0.45">
      <c r="B2668" s="468"/>
      <c r="C2668" s="492" t="s">
        <v>750</v>
      </c>
      <c r="J2668" s="451"/>
      <c r="K2668" s="451"/>
      <c r="L2668" s="452"/>
      <c r="M2668" s="527"/>
      <c r="N2668" s="451"/>
      <c r="O2668" s="531"/>
      <c r="P2668" s="459"/>
      <c r="Q2668" s="469"/>
      <c r="R2668" s="512" t="str">
        <f>IF(COUNTIF(O2669:O2671,"=0")=3,"DELETE"," ")</f>
        <v>DELETE</v>
      </c>
    </row>
    <row r="2669" spans="2:23" ht="31.5" customHeight="1" x14ac:dyDescent="0.45">
      <c r="B2669" s="468"/>
      <c r="C2669" s="492"/>
      <c r="D2669" s="463" t="str">
        <f>IF(W2669=2,CONCATENATE("Net profit - ",Criteria!H14),CONCATENATE("Net loss - ",Criteria!H14))</f>
        <v>Net profit - Seafront Restaurant</v>
      </c>
      <c r="K2669" s="449" t="s">
        <v>753</v>
      </c>
      <c r="L2669" s="452"/>
      <c r="M2669" s="527"/>
      <c r="N2669" s="449"/>
      <c r="O2669" s="531">
        <f>-TrialBalance!L35</f>
        <v>0</v>
      </c>
      <c r="Q2669" s="469"/>
      <c r="R2669" s="512" t="str">
        <f t="shared" ref="R2669:R2671" si="205">IF(O2669=0,"DELETE"," ")</f>
        <v>DELETE</v>
      </c>
      <c r="S2669" s="517">
        <f>O2669</f>
        <v>0</v>
      </c>
      <c r="W2669" s="513">
        <f>IF(O2669&lt;0,1,2)</f>
        <v>2</v>
      </c>
    </row>
    <row r="2670" spans="2:23" ht="31.5" customHeight="1" x14ac:dyDescent="0.45">
      <c r="B2670" s="468"/>
      <c r="C2670" s="492"/>
      <c r="D2670" s="463" t="str">
        <f>IF(W2670=2,CONCATENATE("Net profit - ",Criteria!H15),CONCATENATE("Net loss - ",Criteria!H15))</f>
        <v>Net profit - Rental Properties</v>
      </c>
      <c r="K2670" s="449" t="s">
        <v>754</v>
      </c>
      <c r="L2670" s="452"/>
      <c r="M2670" s="527"/>
      <c r="N2670" s="449"/>
      <c r="O2670" s="531">
        <f>-TrialBalance!L36</f>
        <v>0</v>
      </c>
      <c r="Q2670" s="469"/>
      <c r="R2670" s="512" t="str">
        <f t="shared" si="205"/>
        <v>DELETE</v>
      </c>
      <c r="S2670" s="517">
        <f>O2670</f>
        <v>0</v>
      </c>
      <c r="W2670" s="513">
        <f>IF(O2670&lt;0,1,2)</f>
        <v>2</v>
      </c>
    </row>
    <row r="2671" spans="2:23" ht="31.5" customHeight="1" x14ac:dyDescent="0.45">
      <c r="B2671" s="468"/>
      <c r="C2671" s="492"/>
      <c r="D2671" s="463" t="str">
        <f>IF(W2671=2,CONCATENATE("Net profit - ",Criteria!H16),CONCATENATE("Net loss - ",Criteria!H16))</f>
        <v xml:space="preserve">Net profit - </v>
      </c>
      <c r="K2671" s="449" t="s">
        <v>755</v>
      </c>
      <c r="L2671" s="452"/>
      <c r="M2671" s="527"/>
      <c r="N2671" s="449"/>
      <c r="O2671" s="531">
        <f>-TrialBalance!L37</f>
        <v>0</v>
      </c>
      <c r="Q2671" s="469"/>
      <c r="R2671" s="512" t="str">
        <f t="shared" si="205"/>
        <v>DELETE</v>
      </c>
      <c r="S2671" s="517">
        <f>O2671</f>
        <v>0</v>
      </c>
      <c r="W2671" s="513">
        <f>IF(O2671&lt;0,1,2)</f>
        <v>2</v>
      </c>
    </row>
    <row r="2672" spans="2:23" ht="9" customHeight="1" x14ac:dyDescent="0.45">
      <c r="B2672" s="468"/>
      <c r="C2672" s="492"/>
      <c r="J2672" s="451"/>
      <c r="K2672" s="451"/>
      <c r="L2672" s="452"/>
      <c r="M2672" s="527"/>
      <c r="N2672" s="451"/>
      <c r="O2672" s="535"/>
      <c r="P2672" s="459"/>
      <c r="Q2672" s="469"/>
      <c r="R2672" s="512" t="str">
        <f>R2674</f>
        <v>DELETE</v>
      </c>
    </row>
    <row r="2673" spans="2:23" ht="9" customHeight="1" x14ac:dyDescent="0.45">
      <c r="B2673" s="468"/>
      <c r="C2673" s="492"/>
      <c r="J2673" s="451"/>
      <c r="K2673" s="451"/>
      <c r="L2673" s="452"/>
      <c r="M2673" s="527"/>
      <c r="N2673" s="451"/>
      <c r="O2673" s="531"/>
      <c r="P2673" s="459"/>
      <c r="Q2673" s="469"/>
      <c r="R2673" s="512" t="str">
        <f>R2674</f>
        <v>DELETE</v>
      </c>
    </row>
    <row r="2674" spans="2:23" ht="31.5" customHeight="1" x14ac:dyDescent="0.45">
      <c r="B2674" s="468"/>
      <c r="C2674" s="492"/>
      <c r="J2674" s="451"/>
      <c r="K2674" s="451"/>
      <c r="L2674" s="452"/>
      <c r="M2674" s="527"/>
      <c r="N2674" s="451"/>
      <c r="O2674" s="531">
        <f>SUM(S2520:S2672)</f>
        <v>0</v>
      </c>
      <c r="P2674" s="459"/>
      <c r="Q2674" s="469"/>
      <c r="R2674" s="512" t="str">
        <f>R2668</f>
        <v>DELETE</v>
      </c>
    </row>
    <row r="2675" spans="2:23" ht="31.5" customHeight="1" x14ac:dyDescent="0.45">
      <c r="B2675" s="468"/>
      <c r="C2675" s="450"/>
      <c r="J2675" s="451"/>
      <c r="K2675" s="451"/>
      <c r="L2675" s="452"/>
      <c r="M2675" s="527"/>
      <c r="N2675" s="451"/>
      <c r="O2675" s="531"/>
      <c r="P2675" s="459"/>
      <c r="Q2675" s="469"/>
      <c r="R2675" s="512" t="str">
        <f>R2674</f>
        <v>DELETE</v>
      </c>
      <c r="U2675" s="521"/>
      <c r="V2675" s="521"/>
    </row>
    <row r="2676" spans="2:23" ht="31.5" customHeight="1" x14ac:dyDescent="0.45">
      <c r="B2676" s="468"/>
      <c r="C2676" s="450" t="s">
        <v>319</v>
      </c>
      <c r="J2676" s="451"/>
      <c r="K2676" s="451">
        <f>B1312</f>
        <v>7</v>
      </c>
      <c r="L2676" s="452"/>
      <c r="M2676" s="527"/>
      <c r="N2676" s="451"/>
      <c r="O2676" s="531">
        <f>SUM(TrialBalance!L157:L162)</f>
        <v>0</v>
      </c>
      <c r="P2676" s="459"/>
      <c r="Q2676" s="469"/>
      <c r="S2676" s="517">
        <f>-O2676</f>
        <v>0</v>
      </c>
      <c r="T2676" s="517"/>
      <c r="U2676" s="513" t="b">
        <f>O2676=O1331</f>
        <v>1</v>
      </c>
    </row>
    <row r="2677" spans="2:23" ht="9" customHeight="1" x14ac:dyDescent="0.45">
      <c r="B2677" s="468"/>
      <c r="C2677" s="450"/>
      <c r="J2677" s="451"/>
      <c r="K2677" s="451"/>
      <c r="L2677" s="452"/>
      <c r="M2677" s="527"/>
      <c r="N2677" s="451"/>
      <c r="O2677" s="535"/>
      <c r="P2677" s="459"/>
      <c r="Q2677" s="469"/>
    </row>
    <row r="2678" spans="2:23" ht="9" customHeight="1" x14ac:dyDescent="0.45">
      <c r="B2678" s="468"/>
      <c r="C2678" s="450"/>
      <c r="J2678" s="451"/>
      <c r="K2678" s="451"/>
      <c r="L2678" s="452"/>
      <c r="M2678" s="527"/>
      <c r="N2678" s="451"/>
      <c r="O2678" s="531"/>
      <c r="P2678" s="459"/>
      <c r="Q2678" s="469"/>
    </row>
    <row r="2679" spans="2:23" ht="31.5" customHeight="1" x14ac:dyDescent="0.45">
      <c r="B2679" s="468"/>
      <c r="C2679" s="492" t="str">
        <f>IF(W2679=2,"NET PROFIT FOR THE YEAR AFTER TAXATION","NET LOSS FOR THE YEAR AFTER TAXATION")</f>
        <v>NET PROFIT FOR THE YEAR AFTER TAXATION</v>
      </c>
      <c r="J2679" s="451"/>
      <c r="K2679" s="451"/>
      <c r="L2679" s="452"/>
      <c r="M2679" s="527"/>
      <c r="N2679" s="451"/>
      <c r="O2679" s="531">
        <f>SUM(S2520:S2677)</f>
        <v>0</v>
      </c>
      <c r="P2679" s="459"/>
      <c r="Q2679" s="469"/>
      <c r="U2679" s="513" t="b">
        <f>-SUM(TrialBalance!L5:L162)='FS2'!O2679</f>
        <v>1</v>
      </c>
      <c r="W2679" s="513">
        <f>IF(O2679&lt;0,1,2)</f>
        <v>2</v>
      </c>
    </row>
    <row r="2680" spans="2:23" ht="9" customHeight="1" thickBot="1" x14ac:dyDescent="0.5">
      <c r="B2680" s="468"/>
      <c r="C2680" s="450"/>
      <c r="J2680" s="451"/>
      <c r="K2680" s="451"/>
      <c r="L2680" s="452"/>
      <c r="M2680" s="527"/>
      <c r="N2680" s="451"/>
      <c r="O2680" s="536"/>
      <c r="P2680" s="459"/>
      <c r="Q2680" s="469"/>
    </row>
    <row r="2681" spans="2:23" ht="9" customHeight="1" thickTop="1" x14ac:dyDescent="0.45">
      <c r="B2681" s="468"/>
      <c r="C2681" s="450"/>
      <c r="J2681" s="451"/>
      <c r="K2681" s="451"/>
      <c r="L2681" s="452"/>
      <c r="M2681" s="527"/>
      <c r="N2681" s="451"/>
      <c r="O2681" s="531"/>
      <c r="P2681" s="459"/>
      <c r="Q2681" s="469"/>
    </row>
    <row r="2682" spans="2:23" ht="31.5" customHeight="1" x14ac:dyDescent="0.45">
      <c r="B2682" s="468"/>
      <c r="C2682" s="450"/>
      <c r="J2682" s="451"/>
      <c r="K2682" s="451"/>
      <c r="L2682" s="451"/>
      <c r="M2682" s="531"/>
      <c r="N2682" s="470"/>
      <c r="O2682" s="531"/>
      <c r="P2682" s="459"/>
      <c r="Q2682" s="469"/>
    </row>
    <row r="2683" spans="2:23" ht="31.5" customHeight="1" x14ac:dyDescent="0.45">
      <c r="B2683" s="477"/>
      <c r="C2683" s="461"/>
      <c r="D2683" s="461"/>
      <c r="E2683" s="461"/>
      <c r="F2683" s="461"/>
      <c r="G2683" s="461"/>
      <c r="H2683" s="461"/>
      <c r="I2683" s="461"/>
      <c r="J2683" s="461"/>
      <c r="K2683" s="461"/>
      <c r="L2683" s="461"/>
      <c r="M2683" s="640"/>
      <c r="N2683" s="646"/>
      <c r="O2683" s="640"/>
      <c r="P2683" s="631"/>
      <c r="Q2683" s="479"/>
    </row>
    <row r="2684" spans="2:23" ht="31.5" customHeight="1" x14ac:dyDescent="0.45">
      <c r="M2684" s="635"/>
      <c r="N2684" s="621"/>
      <c r="O2684" s="635"/>
    </row>
    <row r="2685" spans="2:23" ht="31.5" customHeight="1" x14ac:dyDescent="0.45">
      <c r="M2685" s="635"/>
      <c r="N2685" s="621"/>
      <c r="O2685" s="635"/>
    </row>
    <row r="2686" spans="2:23" ht="31.5" customHeight="1" x14ac:dyDescent="0.45">
      <c r="D2686" s="450" t="str">
        <f>Criteria!E9</f>
        <v>ABC COMPANY (PROPRIETARY) LIMITED</v>
      </c>
      <c r="M2686" s="635"/>
      <c r="N2686" s="621"/>
      <c r="O2686" s="531" t="s">
        <v>121</v>
      </c>
      <c r="Q2686" s="451">
        <f>MAX($Q$114:Q2685)+1</f>
        <v>65</v>
      </c>
    </row>
    <row r="2687" spans="2:23" ht="31.5" customHeight="1" x14ac:dyDescent="0.45">
      <c r="D2687" s="450" t="str">
        <f>Criteria!E10</f>
        <v>T/A SEAFRONT HOTEL, SEAFRONT RESTAURANT AND RENTAL PROPERTIES</v>
      </c>
      <c r="M2687" s="635"/>
      <c r="N2687" s="621"/>
      <c r="O2687" s="635"/>
      <c r="R2687" s="512" t="str">
        <f>IF(D2687=0,"DELETE"," ")</f>
        <v xml:space="preserve"> </v>
      </c>
    </row>
    <row r="2688" spans="2:23" ht="31.5" customHeight="1" x14ac:dyDescent="0.45">
      <c r="M2688" s="635"/>
      <c r="N2688" s="621"/>
      <c r="O2688" s="635"/>
    </row>
    <row r="2689" spans="2:20" ht="31.5" customHeight="1" x14ac:dyDescent="0.45">
      <c r="D2689" s="450" t="s">
        <v>320</v>
      </c>
      <c r="M2689" s="635"/>
      <c r="N2689" s="621"/>
      <c r="O2689" s="635"/>
    </row>
    <row r="2690" spans="2:20" ht="31.5" customHeight="1" x14ac:dyDescent="0.45">
      <c r="D2690" s="450" t="str">
        <f>Criteria!E20</f>
        <v>29 FEBRUARY 2024</v>
      </c>
      <c r="M2690" s="635"/>
      <c r="N2690" s="621"/>
      <c r="O2690" s="635"/>
    </row>
    <row r="2691" spans="2:20" ht="31.5" customHeight="1" x14ac:dyDescent="0.45">
      <c r="M2691" s="635"/>
      <c r="N2691" s="621"/>
      <c r="O2691" s="635"/>
    </row>
    <row r="2692" spans="2:20" ht="31.5" customHeight="1" x14ac:dyDescent="0.45">
      <c r="B2692" s="465"/>
      <c r="C2692" s="466"/>
      <c r="D2692" s="466"/>
      <c r="E2692" s="466"/>
      <c r="F2692" s="466"/>
      <c r="G2692" s="466"/>
      <c r="H2692" s="466"/>
      <c r="I2692" s="466"/>
      <c r="J2692" s="466"/>
      <c r="K2692" s="466"/>
      <c r="L2692" s="466"/>
      <c r="M2692" s="648"/>
      <c r="N2692" s="649"/>
      <c r="O2692" s="648"/>
      <c r="P2692" s="643"/>
      <c r="Q2692" s="467"/>
    </row>
    <row r="2693" spans="2:20" ht="31.5" customHeight="1" x14ac:dyDescent="0.45">
      <c r="B2693" s="468"/>
      <c r="M2693" s="635"/>
      <c r="N2693" s="621"/>
      <c r="O2693" s="635"/>
      <c r="Q2693" s="469"/>
    </row>
    <row r="2694" spans="2:20" ht="31.5" customHeight="1" x14ac:dyDescent="0.45">
      <c r="B2694" s="468"/>
      <c r="D2694" s="449" t="str">
        <f>IF(O2694&lt;0,"NET LOSS FOR THE YEAR","NET PROFIT FOR THE YEAR")</f>
        <v>NET PROFIT FOR THE YEAR</v>
      </c>
      <c r="M2694" s="635"/>
      <c r="N2694" s="621"/>
      <c r="O2694" s="635">
        <f>O549</f>
        <v>0</v>
      </c>
      <c r="Q2694" s="469"/>
      <c r="S2694" s="518">
        <f>O2694</f>
        <v>0</v>
      </c>
      <c r="T2694" s="518"/>
    </row>
    <row r="2695" spans="2:20" ht="31.5" customHeight="1" x14ac:dyDescent="0.45">
      <c r="B2695" s="468"/>
      <c r="M2695" s="635"/>
      <c r="N2695" s="621"/>
      <c r="O2695" s="635"/>
      <c r="Q2695" s="469"/>
    </row>
    <row r="2696" spans="2:20" ht="31.5" customHeight="1" x14ac:dyDescent="0.45">
      <c r="B2696" s="468"/>
      <c r="D2696" s="449" t="s">
        <v>321</v>
      </c>
      <c r="M2696" s="635"/>
      <c r="N2696" s="621"/>
      <c r="O2696" s="635">
        <f>SUM(M2696:M2713)</f>
        <v>0</v>
      </c>
      <c r="Q2696" s="469"/>
      <c r="R2696" s="512" t="str">
        <f>IF(O2696=0,"DELETE"," ")</f>
        <v>DELETE</v>
      </c>
      <c r="S2696" s="518">
        <f>O2696</f>
        <v>0</v>
      </c>
      <c r="T2696" s="518"/>
    </row>
    <row r="2697" spans="2:20" ht="31.5" customHeight="1" x14ac:dyDescent="0.45">
      <c r="B2697" s="468"/>
      <c r="D2697" s="449" t="s">
        <v>1488</v>
      </c>
      <c r="M2697" s="635">
        <f>TrialBalance!L139+TrialBalanceA!I139+TrialBalanceB!I139+TrialBalanceC!I139</f>
        <v>0</v>
      </c>
      <c r="N2697" s="621"/>
      <c r="O2697" s="635"/>
      <c r="Q2697" s="469"/>
      <c r="R2697" s="512" t="str">
        <f>IF(M2697=0,"DELETE"," ")</f>
        <v>DELETE</v>
      </c>
      <c r="S2697" s="518"/>
      <c r="T2697" s="518"/>
    </row>
    <row r="2698" spans="2:20" ht="31.5" customHeight="1" x14ac:dyDescent="0.45">
      <c r="B2698" s="468"/>
      <c r="D2698" s="449" t="s">
        <v>1484</v>
      </c>
      <c r="M2698" s="635">
        <f>TrialBalance!L138+TrialBalanceA!I138+TrialBalanceB!I138+TrialBalanceC!I138</f>
        <v>0</v>
      </c>
      <c r="N2698" s="621"/>
      <c r="O2698" s="635"/>
      <c r="Q2698" s="469"/>
      <c r="R2698" s="512" t="str">
        <f t="shared" ref="R2698:R2712" si="206">IF(M2698=0,"DELETE"," ")</f>
        <v>DELETE</v>
      </c>
      <c r="S2698" s="518"/>
      <c r="T2698" s="518"/>
    </row>
    <row r="2699" spans="2:20" ht="31.5" customHeight="1" x14ac:dyDescent="0.45">
      <c r="B2699" s="468"/>
      <c r="D2699" s="449" t="s">
        <v>635</v>
      </c>
      <c r="M2699" s="635">
        <f>O2784</f>
        <v>0</v>
      </c>
      <c r="N2699" s="621"/>
      <c r="O2699" s="635"/>
      <c r="Q2699" s="469"/>
      <c r="R2699" s="512" t="str">
        <f t="shared" si="206"/>
        <v>DELETE</v>
      </c>
    </row>
    <row r="2700" spans="2:20" ht="31.5" customHeight="1" x14ac:dyDescent="0.45">
      <c r="B2700" s="468"/>
      <c r="D2700" s="449" t="s">
        <v>337</v>
      </c>
      <c r="M2700" s="635">
        <f>O1172</f>
        <v>0</v>
      </c>
      <c r="N2700" s="621"/>
      <c r="O2700" s="635"/>
      <c r="Q2700" s="469"/>
      <c r="R2700" s="512" t="str">
        <f t="shared" si="206"/>
        <v>DELETE</v>
      </c>
    </row>
    <row r="2701" spans="2:20" ht="31.5" customHeight="1" x14ac:dyDescent="0.45">
      <c r="B2701" s="468"/>
      <c r="D2701" s="449" t="s">
        <v>315</v>
      </c>
      <c r="M2701" s="635">
        <f>TrialBalance!L116+TrialBalanceA!I116+TrialBalanceB!I116+TrialBalanceC!I116</f>
        <v>0</v>
      </c>
      <c r="N2701" s="621"/>
      <c r="O2701" s="635"/>
      <c r="Q2701" s="469"/>
      <c r="R2701" s="512" t="str">
        <f t="shared" si="206"/>
        <v>DELETE</v>
      </c>
    </row>
    <row r="2702" spans="2:20" ht="31.5" customHeight="1" x14ac:dyDescent="0.45">
      <c r="B2702" s="468"/>
      <c r="D2702" s="449" t="s">
        <v>392</v>
      </c>
      <c r="M2702" s="635">
        <f>TrialBalance!L118+TrialBalanceA!I118+TrialBalanceB!I118+TrialBalanceC!I118</f>
        <v>0</v>
      </c>
      <c r="N2702" s="621"/>
      <c r="O2702" s="635"/>
      <c r="Q2702" s="469"/>
      <c r="R2702" s="512" t="str">
        <f t="shared" si="206"/>
        <v>DELETE</v>
      </c>
    </row>
    <row r="2703" spans="2:20" ht="31.5" customHeight="1" x14ac:dyDescent="0.45">
      <c r="B2703" s="468"/>
      <c r="D2703" s="449" t="s">
        <v>1486</v>
      </c>
      <c r="M2703" s="635">
        <f>TrialBalance!L154+TrialBalanceA!I154+TrialBalanceB!I154+TrialBalanceC!I154</f>
        <v>0</v>
      </c>
      <c r="N2703" s="621"/>
      <c r="O2703" s="635"/>
      <c r="Q2703" s="469"/>
      <c r="R2703" s="512" t="str">
        <f>IF(M2703=0,"DELETE"," ")</f>
        <v>DELETE</v>
      </c>
    </row>
    <row r="2704" spans="2:20" ht="31.5" customHeight="1" x14ac:dyDescent="0.45">
      <c r="B2704" s="468"/>
      <c r="D2704" s="449" t="s">
        <v>605</v>
      </c>
      <c r="M2704" s="635">
        <f>TrialBalance!L121+TrialBalanceA!I121+TrialBalanceB!I121+TrialBalanceC!I121</f>
        <v>0</v>
      </c>
      <c r="N2704" s="621"/>
      <c r="O2704" s="635"/>
      <c r="Q2704" s="469"/>
      <c r="R2704" s="512" t="str">
        <f t="shared" si="206"/>
        <v>DELETE</v>
      </c>
    </row>
    <row r="2705" spans="2:20" ht="31.5" customHeight="1" x14ac:dyDescent="0.45">
      <c r="B2705" s="468"/>
      <c r="D2705" s="449" t="s">
        <v>633</v>
      </c>
      <c r="M2705" s="635">
        <f>IF(TrialBalance!L93&gt;0,TrialBalance!L93,0)+IF(TrialBalanceA!I93&gt;0,TrialBalanceA!I93,0)+IF(TrialBalanceB!I93&gt;0,TrialBalanceB!I93,0)+IF(TrialBalanceC!I93&gt;0,TrialBalanceC!I93,0)</f>
        <v>0</v>
      </c>
      <c r="N2705" s="621"/>
      <c r="O2705" s="635"/>
      <c r="Q2705" s="469"/>
      <c r="R2705" s="512" t="str">
        <f t="shared" si="206"/>
        <v>DELETE</v>
      </c>
    </row>
    <row r="2706" spans="2:20" ht="31.5" customHeight="1" x14ac:dyDescent="0.45">
      <c r="B2706" s="468"/>
      <c r="D2706" s="449" t="s">
        <v>1554</v>
      </c>
      <c r="M2706" s="635">
        <f>TrialBalance!L155+TrialBalanceA!I155+TrialBalanceB!I155+TrialBalanceC!I155</f>
        <v>0</v>
      </c>
      <c r="N2706" s="621"/>
      <c r="O2706" s="635"/>
      <c r="Q2706" s="469"/>
      <c r="R2706" s="512" t="str">
        <f>IF(M2706=0,"DELETE"," ")</f>
        <v>DELETE</v>
      </c>
    </row>
    <row r="2707" spans="2:20" ht="31.5" customHeight="1" x14ac:dyDescent="0.45">
      <c r="B2707" s="468"/>
      <c r="D2707" s="449" t="str">
        <f>Criteria!C490</f>
        <v>section 8(4)(a) Recoupment of allowances</v>
      </c>
      <c r="M2707" s="635">
        <f>Criteria!G490</f>
        <v>0</v>
      </c>
      <c r="N2707" s="621"/>
      <c r="O2707" s="635"/>
      <c r="Q2707" s="469"/>
      <c r="R2707" s="512" t="str">
        <f t="shared" si="206"/>
        <v>DELETE</v>
      </c>
    </row>
    <row r="2708" spans="2:20" ht="31.5" customHeight="1" x14ac:dyDescent="0.45">
      <c r="B2708" s="468"/>
      <c r="D2708" s="449" t="s">
        <v>99</v>
      </c>
      <c r="M2708" s="635">
        <f>TrialBalance!L128+TrialBalanceA!I128+TrialBalanceB!I128+TrialBalanceC!I128</f>
        <v>0</v>
      </c>
      <c r="N2708" s="621"/>
      <c r="O2708" s="635"/>
      <c r="Q2708" s="469"/>
      <c r="R2708" s="512" t="str">
        <f t="shared" si="206"/>
        <v>DELETE</v>
      </c>
    </row>
    <row r="2709" spans="2:20" ht="31.5" customHeight="1" x14ac:dyDescent="0.45">
      <c r="B2709" s="468"/>
      <c r="D2709" s="449">
        <f>Criteria!C491</f>
        <v>0</v>
      </c>
      <c r="M2709" s="635">
        <f>Criteria!G491</f>
        <v>0</v>
      </c>
      <c r="N2709" s="621"/>
      <c r="O2709" s="635"/>
      <c r="Q2709" s="469"/>
      <c r="R2709" s="512" t="str">
        <f t="shared" si="206"/>
        <v>DELETE</v>
      </c>
    </row>
    <row r="2710" spans="2:20" ht="31.5" customHeight="1" x14ac:dyDescent="0.45">
      <c r="B2710" s="468"/>
      <c r="D2710" s="449">
        <f>Criteria!C492</f>
        <v>0</v>
      </c>
      <c r="M2710" s="635">
        <f>Criteria!G492</f>
        <v>0</v>
      </c>
      <c r="N2710" s="621"/>
      <c r="O2710" s="635"/>
      <c r="Q2710" s="469"/>
      <c r="R2710" s="512" t="str">
        <f t="shared" si="206"/>
        <v>DELETE</v>
      </c>
    </row>
    <row r="2711" spans="2:20" ht="31.5" customHeight="1" x14ac:dyDescent="0.45">
      <c r="B2711" s="468"/>
      <c r="D2711" s="449">
        <f>Criteria!C493</f>
        <v>0</v>
      </c>
      <c r="M2711" s="635">
        <f>Criteria!G493</f>
        <v>0</v>
      </c>
      <c r="N2711" s="621"/>
      <c r="O2711" s="635"/>
      <c r="Q2711" s="469"/>
      <c r="R2711" s="512" t="str">
        <f t="shared" si="206"/>
        <v>DELETE</v>
      </c>
    </row>
    <row r="2712" spans="2:20" ht="31.5" customHeight="1" x14ac:dyDescent="0.45">
      <c r="B2712" s="468"/>
      <c r="D2712" s="449">
        <f>Criteria!C494</f>
        <v>0</v>
      </c>
      <c r="M2712" s="635">
        <f>Criteria!G494</f>
        <v>0</v>
      </c>
      <c r="N2712" s="621"/>
      <c r="O2712" s="635"/>
      <c r="Q2712" s="469"/>
      <c r="R2712" s="512" t="str">
        <f t="shared" si="206"/>
        <v>DELETE</v>
      </c>
    </row>
    <row r="2713" spans="2:20" ht="9" customHeight="1" x14ac:dyDescent="0.45">
      <c r="B2713" s="468"/>
      <c r="M2713" s="640"/>
      <c r="N2713" s="646"/>
      <c r="O2713" s="640"/>
      <c r="Q2713" s="469"/>
      <c r="R2713" s="512" t="str">
        <f>R2696</f>
        <v>DELETE</v>
      </c>
    </row>
    <row r="2714" spans="2:20" ht="9" customHeight="1" x14ac:dyDescent="0.45">
      <c r="B2714" s="468"/>
      <c r="M2714" s="635"/>
      <c r="N2714" s="621"/>
      <c r="O2714" s="635"/>
      <c r="Q2714" s="469"/>
      <c r="R2714" s="512" t="str">
        <f>R2713</f>
        <v>DELETE</v>
      </c>
    </row>
    <row r="2715" spans="2:20" ht="31.5" customHeight="1" x14ac:dyDescent="0.45">
      <c r="B2715" s="468"/>
      <c r="M2715" s="635"/>
      <c r="N2715" s="621"/>
      <c r="O2715" s="635">
        <f>SUM(O2694:O2704)</f>
        <v>0</v>
      </c>
      <c r="Q2715" s="469"/>
      <c r="R2715" s="512" t="str">
        <f>R2713</f>
        <v>DELETE</v>
      </c>
    </row>
    <row r="2716" spans="2:20" ht="31.5" customHeight="1" x14ac:dyDescent="0.45">
      <c r="B2716" s="468"/>
      <c r="M2716" s="635"/>
      <c r="N2716" s="621"/>
      <c r="O2716" s="635"/>
      <c r="Q2716" s="469"/>
      <c r="R2716" s="512" t="str">
        <f>R2715</f>
        <v>DELETE</v>
      </c>
    </row>
    <row r="2717" spans="2:20" ht="31.5" customHeight="1" x14ac:dyDescent="0.45">
      <c r="B2717" s="468"/>
      <c r="D2717" s="449" t="s">
        <v>191</v>
      </c>
      <c r="M2717" s="635"/>
      <c r="N2717" s="621"/>
      <c r="O2717" s="635">
        <f>SUM(M2718:M2729)</f>
        <v>0</v>
      </c>
      <c r="Q2717" s="469"/>
      <c r="R2717" s="512" t="str">
        <f>IF(O2717=0,"DELETE"," ")</f>
        <v>DELETE</v>
      </c>
      <c r="S2717" s="518">
        <f>-O2717</f>
        <v>0</v>
      </c>
      <c r="T2717" s="518"/>
    </row>
    <row r="2718" spans="2:20" ht="31.5" customHeight="1" x14ac:dyDescent="0.45">
      <c r="B2718" s="468"/>
      <c r="D2718" s="449" t="str">
        <f>Criteria!C496</f>
        <v>section 11 (e) Wear-and-tear allowance</v>
      </c>
      <c r="K2718" s="464"/>
      <c r="M2718" s="635">
        <f>Criteria!G496</f>
        <v>0</v>
      </c>
      <c r="N2718" s="621"/>
      <c r="O2718" s="635"/>
      <c r="Q2718" s="469"/>
      <c r="R2718" s="512" t="str">
        <f t="shared" ref="R2718:R2724" si="207">IF(M2718=0,"DELETE"," ")</f>
        <v>DELETE</v>
      </c>
    </row>
    <row r="2719" spans="2:20" ht="31.5" customHeight="1" x14ac:dyDescent="0.45">
      <c r="B2719" s="468"/>
      <c r="D2719" s="449" t="str">
        <f>Criteria!C497</f>
        <v>a13 quin Commercial buildings allowance</v>
      </c>
      <c r="K2719" s="464"/>
      <c r="M2719" s="635">
        <f>Criteria!G497</f>
        <v>0</v>
      </c>
      <c r="N2719" s="621"/>
      <c r="O2719" s="635"/>
      <c r="Q2719" s="469"/>
      <c r="R2719" s="512" t="str">
        <f t="shared" si="207"/>
        <v>DELETE</v>
      </c>
    </row>
    <row r="2720" spans="2:20" ht="31.5" customHeight="1" x14ac:dyDescent="0.45">
      <c r="B2720" s="468"/>
      <c r="D2720" s="449" t="str">
        <f>Criteria!C498</f>
        <v>section 11(o) Scrapping allowance</v>
      </c>
      <c r="K2720" s="464"/>
      <c r="M2720" s="635">
        <f>Criteria!G498</f>
        <v>0</v>
      </c>
      <c r="N2720" s="621"/>
      <c r="O2720" s="635"/>
      <c r="Q2720" s="469"/>
      <c r="R2720" s="512" t="str">
        <f t="shared" si="207"/>
        <v>DELETE</v>
      </c>
    </row>
    <row r="2721" spans="2:20" ht="31.5" customHeight="1" x14ac:dyDescent="0.45">
      <c r="B2721" s="468"/>
      <c r="D2721" s="449" t="s">
        <v>636</v>
      </c>
      <c r="K2721" s="464"/>
      <c r="M2721" s="635">
        <f>-TrialBalance!L90-TrialBalanceA!I90-TrialBalanceB!I90-TrialBalanceC!I90</f>
        <v>0</v>
      </c>
      <c r="N2721" s="621"/>
      <c r="O2721" s="635"/>
      <c r="Q2721" s="469"/>
      <c r="R2721" s="512" t="str">
        <f t="shared" si="207"/>
        <v>DELETE</v>
      </c>
    </row>
    <row r="2722" spans="2:20" ht="31.5" customHeight="1" x14ac:dyDescent="0.45">
      <c r="B2722" s="468"/>
      <c r="D2722" s="449" t="s">
        <v>1531</v>
      </c>
      <c r="K2722" s="464"/>
      <c r="M2722" s="635">
        <f>-TrialBalance!L91-TrialBalanceA!I91-TrialBalanceB!I91-TrialBalanceC!I91</f>
        <v>0</v>
      </c>
      <c r="N2722" s="621"/>
      <c r="O2722" s="635"/>
      <c r="Q2722" s="469"/>
      <c r="R2722" s="512" t="str">
        <f>IF(M2722=0,"DELETE"," ")</f>
        <v>DELETE</v>
      </c>
    </row>
    <row r="2723" spans="2:20" ht="31.5" customHeight="1" x14ac:dyDescent="0.45">
      <c r="B2723" s="468"/>
      <c r="D2723" s="449" t="s">
        <v>634</v>
      </c>
      <c r="M2723" s="635">
        <f>IF(TrialBalance!L93&lt;0,-TrialBalance!L93,0)+IF(TrialBalanceA!I93&lt;0,-TrialBalanceA!I93,0)+IF(TrialBalanceB!I93&lt;0,-TrialBalanceB!I93,0)+IF(TrialBalanceC!I93&lt;0,-TrialBalanceC!I93,0)</f>
        <v>0</v>
      </c>
      <c r="N2723" s="621"/>
      <c r="O2723" s="635"/>
      <c r="Q2723" s="469"/>
      <c r="R2723" s="512" t="str">
        <f t="shared" si="207"/>
        <v>DELETE</v>
      </c>
    </row>
    <row r="2724" spans="2:20" ht="31.5" customHeight="1" x14ac:dyDescent="0.45">
      <c r="B2724" s="468"/>
      <c r="D2724" s="449" t="s">
        <v>1079</v>
      </c>
      <c r="M2724" s="635">
        <f>-TrialBalance!L29-TrialBalanceA!I29-TrialBalanceB!I29-TrialBalanceC!I29</f>
        <v>0</v>
      </c>
      <c r="N2724" s="621"/>
      <c r="O2724" s="635"/>
      <c r="Q2724" s="469"/>
      <c r="R2724" s="512" t="str">
        <f t="shared" si="207"/>
        <v>DELETE</v>
      </c>
    </row>
    <row r="2725" spans="2:20" ht="31.5" customHeight="1" x14ac:dyDescent="0.45">
      <c r="B2725" s="468"/>
      <c r="D2725" s="449" t="s">
        <v>1545</v>
      </c>
      <c r="M2725" s="635">
        <f>-TrialBalance!L33-TrialBalanceA!I33-TrialBalanceB!I33-TrialBalanceC!I33</f>
        <v>0</v>
      </c>
      <c r="N2725" s="621"/>
      <c r="O2725" s="635"/>
      <c r="Q2725" s="469"/>
      <c r="R2725" s="512" t="str">
        <f t="shared" ref="R2725" si="208">IF(M2725=0,"DELETE"," ")</f>
        <v>DELETE</v>
      </c>
    </row>
    <row r="2726" spans="2:20" ht="31.5" customHeight="1" x14ac:dyDescent="0.45">
      <c r="B2726" s="468"/>
      <c r="D2726" s="449" t="s">
        <v>1547</v>
      </c>
      <c r="M2726" s="635">
        <f>-TrialBalance!L96-TrialBalanceA!I96-TrialBalanceB!I96-TrialBalanceC!I96</f>
        <v>0</v>
      </c>
      <c r="N2726" s="621"/>
      <c r="O2726" s="635"/>
      <c r="Q2726" s="469"/>
      <c r="R2726" s="512" t="str">
        <f>IF(M2726=0,"DELETE"," ")</f>
        <v>DELETE</v>
      </c>
    </row>
    <row r="2727" spans="2:20" ht="31.5" customHeight="1" x14ac:dyDescent="0.45">
      <c r="B2727" s="468"/>
      <c r="D2727" s="510">
        <f>Criteria!C499</f>
        <v>0</v>
      </c>
      <c r="M2727" s="635">
        <f>Criteria!G499</f>
        <v>0</v>
      </c>
      <c r="N2727" s="621"/>
      <c r="O2727" s="635"/>
      <c r="Q2727" s="469"/>
      <c r="R2727" s="512" t="str">
        <f t="shared" ref="R2727:R2728" si="209">IF(M2727=0,"DELETE"," ")</f>
        <v>DELETE</v>
      </c>
    </row>
    <row r="2728" spans="2:20" ht="31.5" customHeight="1" x14ac:dyDescent="0.45">
      <c r="B2728" s="468"/>
      <c r="D2728" s="510">
        <f>Criteria!C500</f>
        <v>0</v>
      </c>
      <c r="M2728" s="635">
        <f>Criteria!G500</f>
        <v>0</v>
      </c>
      <c r="N2728" s="621"/>
      <c r="O2728" s="635"/>
      <c r="Q2728" s="469"/>
      <c r="R2728" s="512" t="str">
        <f t="shared" si="209"/>
        <v>DELETE</v>
      </c>
    </row>
    <row r="2729" spans="2:20" ht="9" customHeight="1" x14ac:dyDescent="0.45">
      <c r="B2729" s="468"/>
      <c r="M2729" s="640"/>
      <c r="N2729" s="646"/>
      <c r="O2729" s="640"/>
      <c r="Q2729" s="469"/>
      <c r="R2729" s="512" t="str">
        <f>R2730</f>
        <v>DELETE</v>
      </c>
    </row>
    <row r="2730" spans="2:20" ht="9" customHeight="1" x14ac:dyDescent="0.45">
      <c r="B2730" s="468"/>
      <c r="M2730" s="635"/>
      <c r="N2730" s="621"/>
      <c r="O2730" s="635"/>
      <c r="Q2730" s="469"/>
      <c r="R2730" s="512" t="str">
        <f>R2731</f>
        <v>DELETE</v>
      </c>
    </row>
    <row r="2731" spans="2:20" ht="31.5" customHeight="1" x14ac:dyDescent="0.45">
      <c r="B2731" s="468"/>
      <c r="M2731" s="635"/>
      <c r="N2731" s="621"/>
      <c r="O2731" s="635">
        <f>SUM(S2694:S2728)</f>
        <v>0</v>
      </c>
      <c r="Q2731" s="469"/>
      <c r="R2731" s="512" t="str">
        <f>R2732</f>
        <v>DELETE</v>
      </c>
    </row>
    <row r="2732" spans="2:20" ht="31.5" customHeight="1" x14ac:dyDescent="0.45">
      <c r="B2732" s="468"/>
      <c r="D2732" s="449" t="s">
        <v>192</v>
      </c>
      <c r="M2732" s="635"/>
      <c r="N2732" s="621"/>
      <c r="O2732" s="635">
        <f>-Criteria!G486</f>
        <v>0</v>
      </c>
      <c r="Q2732" s="469"/>
      <c r="R2732" s="512" t="str">
        <f>IF(O2732=0,"DELETE"," ")</f>
        <v>DELETE</v>
      </c>
      <c r="S2732" s="517">
        <f>O2732</f>
        <v>0</v>
      </c>
      <c r="T2732" s="517"/>
    </row>
    <row r="2733" spans="2:20" ht="9" customHeight="1" x14ac:dyDescent="0.45">
      <c r="B2733" s="468"/>
      <c r="M2733" s="640"/>
      <c r="N2733" s="646"/>
      <c r="O2733" s="640"/>
      <c r="Q2733" s="469"/>
    </row>
    <row r="2734" spans="2:20" ht="9" customHeight="1" x14ac:dyDescent="0.45">
      <c r="B2734" s="468"/>
      <c r="M2734" s="635"/>
      <c r="N2734" s="621"/>
      <c r="O2734" s="635"/>
      <c r="Q2734" s="469"/>
    </row>
    <row r="2735" spans="2:20" ht="31.5" customHeight="1" x14ac:dyDescent="0.45">
      <c r="B2735" s="468"/>
      <c r="D2735" s="449" t="str">
        <f>IF(O2735&lt;0,"ESTIMATED TAX LOSS CARRIED FORWARD","TAXABLE INCOME FOR THE YEAR")</f>
        <v>TAXABLE INCOME FOR THE YEAR</v>
      </c>
      <c r="M2735" s="635"/>
      <c r="N2735" s="621"/>
      <c r="O2735" s="635">
        <f>SUM(S2694:S2733)</f>
        <v>0</v>
      </c>
      <c r="Q2735" s="469"/>
    </row>
    <row r="2736" spans="2:20" ht="9" customHeight="1" thickBot="1" x14ac:dyDescent="0.5">
      <c r="B2736" s="468"/>
      <c r="M2736" s="635"/>
      <c r="N2736" s="621"/>
      <c r="O2736" s="638"/>
      <c r="Q2736" s="469"/>
    </row>
    <row r="2737" spans="2:20" ht="9" customHeight="1" thickTop="1" x14ac:dyDescent="0.45">
      <c r="B2737" s="468"/>
      <c r="M2737" s="635"/>
      <c r="N2737" s="621"/>
      <c r="O2737" s="635"/>
      <c r="Q2737" s="469"/>
    </row>
    <row r="2738" spans="2:20" ht="31.5" customHeight="1" x14ac:dyDescent="0.45">
      <c r="B2738" s="468"/>
      <c r="K2738" s="510"/>
      <c r="Q2738" s="469"/>
    </row>
    <row r="2739" spans="2:20" ht="31.5" customHeight="1" x14ac:dyDescent="0.45">
      <c r="B2739" s="468"/>
      <c r="D2739" s="449" t="s">
        <v>263</v>
      </c>
      <c r="H2739" s="449" t="str">
        <f>IF(Criteria!F473="Yes","Small Business Corporation tax","Normal tax")</f>
        <v>Normal tax</v>
      </c>
      <c r="M2739" s="658"/>
      <c r="Q2739" s="469"/>
    </row>
    <row r="2740" spans="2:20" ht="31.5" customHeight="1" x14ac:dyDescent="0.45">
      <c r="B2740" s="468"/>
      <c r="I2740" s="449" t="str">
        <f>IF(Criteria!F473="Yes","Tax at reduced rates","Tax rate")</f>
        <v>Tax rate</v>
      </c>
      <c r="M2740" s="551">
        <f>IF(Criteria!F473="Yes"," ",Criteria!F471)</f>
        <v>0.27</v>
      </c>
      <c r="N2740" s="641"/>
      <c r="O2740" s="659">
        <f>ROUND(IF(O2735&lt;0,0,IF(Criteria!F473="No",O2735*Criteria!F471,IF(Criteria!I474="Yes",Criteria!K483,IF(Criteria!N474="Yes",Criteria!P483,IF(Criteria!S474="Yes",Criteria!U483))))),2)</f>
        <v>0</v>
      </c>
      <c r="Q2740" s="469"/>
    </row>
    <row r="2741" spans="2:20" ht="9" customHeight="1" x14ac:dyDescent="0.45">
      <c r="B2741" s="468"/>
      <c r="O2741" s="660"/>
      <c r="Q2741" s="469"/>
    </row>
    <row r="2742" spans="2:20" ht="9" customHeight="1" x14ac:dyDescent="0.45">
      <c r="B2742" s="468"/>
      <c r="O2742" s="659"/>
      <c r="Q2742" s="469"/>
    </row>
    <row r="2743" spans="2:20" ht="31.5" customHeight="1" x14ac:dyDescent="0.45">
      <c r="B2743" s="468"/>
      <c r="D2743" s="449" t="s">
        <v>77</v>
      </c>
      <c r="O2743" s="659">
        <f>SUM(O2740:O2742)</f>
        <v>0</v>
      </c>
      <c r="Q2743" s="469"/>
      <c r="S2743" s="518">
        <f>O2743</f>
        <v>0</v>
      </c>
      <c r="T2743" s="518"/>
    </row>
    <row r="2744" spans="2:20" ht="31.5" customHeight="1" x14ac:dyDescent="0.45">
      <c r="B2744" s="468"/>
      <c r="O2744" s="659"/>
      <c r="Q2744" s="469"/>
    </row>
    <row r="2745" spans="2:20" ht="31.5" customHeight="1" x14ac:dyDescent="0.45">
      <c r="B2745" s="468"/>
      <c r="D2745" s="449" t="s">
        <v>105</v>
      </c>
      <c r="O2745" s="659">
        <f>SUM(M2747:M2750)</f>
        <v>0</v>
      </c>
      <c r="Q2745" s="469"/>
      <c r="S2745" s="518">
        <f>-O2745</f>
        <v>0</v>
      </c>
      <c r="T2745" s="518"/>
    </row>
    <row r="2746" spans="2:20" ht="31.5" customHeight="1" x14ac:dyDescent="0.45">
      <c r="B2746" s="468"/>
      <c r="D2746" s="449" t="s">
        <v>78</v>
      </c>
      <c r="O2746" s="659"/>
      <c r="Q2746" s="469"/>
    </row>
    <row r="2747" spans="2:20" ht="31.5" customHeight="1" x14ac:dyDescent="0.45">
      <c r="B2747" s="468"/>
      <c r="E2747" s="449" t="s">
        <v>79</v>
      </c>
      <c r="M2747" s="659">
        <f>TrialBalance!L389</f>
        <v>0</v>
      </c>
      <c r="O2747" s="659"/>
      <c r="Q2747" s="469"/>
    </row>
    <row r="2748" spans="2:20" ht="31.5" customHeight="1" x14ac:dyDescent="0.45">
      <c r="B2748" s="468"/>
      <c r="E2748" s="449" t="s">
        <v>80</v>
      </c>
      <c r="M2748" s="659">
        <f>TrialBalance!L390</f>
        <v>0</v>
      </c>
      <c r="O2748" s="659"/>
      <c r="Q2748" s="469"/>
    </row>
    <row r="2749" spans="2:20" ht="31.5" customHeight="1" x14ac:dyDescent="0.45">
      <c r="B2749" s="468"/>
      <c r="E2749" s="449" t="s">
        <v>81</v>
      </c>
      <c r="M2749" s="659">
        <f>TrialBalance!L391</f>
        <v>0</v>
      </c>
      <c r="O2749" s="659"/>
      <c r="Q2749" s="469"/>
      <c r="R2749" s="512" t="str">
        <f>IF(M2749=0,"DELETE"," ")</f>
        <v>DELETE</v>
      </c>
    </row>
    <row r="2750" spans="2:20" ht="9" customHeight="1" x14ac:dyDescent="0.45">
      <c r="B2750" s="468"/>
      <c r="M2750" s="660"/>
      <c r="N2750" s="631"/>
      <c r="O2750" s="660"/>
      <c r="Q2750" s="469"/>
    </row>
    <row r="2751" spans="2:20" ht="9" customHeight="1" x14ac:dyDescent="0.45">
      <c r="B2751" s="468"/>
      <c r="O2751" s="659"/>
      <c r="Q2751" s="469"/>
    </row>
    <row r="2752" spans="2:20" ht="31.5" customHeight="1" x14ac:dyDescent="0.45">
      <c r="B2752" s="468"/>
      <c r="D2752" s="449" t="str">
        <f>IF(O2752&lt;0,"Income tax refundable","Net income tax payable")</f>
        <v>Net income tax payable</v>
      </c>
      <c r="O2752" s="659">
        <f>SUM(S2738:S2750)</f>
        <v>0</v>
      </c>
      <c r="Q2752" s="469"/>
    </row>
    <row r="2753" spans="2:18" ht="9" customHeight="1" thickBot="1" x14ac:dyDescent="0.5">
      <c r="B2753" s="468"/>
      <c r="O2753" s="661"/>
      <c r="Q2753" s="469"/>
    </row>
    <row r="2754" spans="2:18" ht="9" customHeight="1" thickTop="1" x14ac:dyDescent="0.45">
      <c r="B2754" s="468"/>
      <c r="O2754" s="633"/>
      <c r="Q2754" s="469"/>
    </row>
    <row r="2755" spans="2:18" ht="31.5" customHeight="1" x14ac:dyDescent="0.45">
      <c r="B2755" s="468"/>
      <c r="Q2755" s="469"/>
    </row>
    <row r="2756" spans="2:18" ht="31.5" customHeight="1" x14ac:dyDescent="0.45">
      <c r="B2756" s="468"/>
      <c r="Q2756" s="469"/>
    </row>
    <row r="2757" spans="2:18" ht="31.5" customHeight="1" x14ac:dyDescent="0.45">
      <c r="B2757" s="468"/>
      <c r="Q2757" s="469"/>
    </row>
    <row r="2758" spans="2:18" ht="31.5" customHeight="1" x14ac:dyDescent="0.45">
      <c r="B2758" s="468"/>
      <c r="Q2758" s="469"/>
    </row>
    <row r="2759" spans="2:18" ht="31.5" customHeight="1" x14ac:dyDescent="0.45">
      <c r="B2759" s="477"/>
      <c r="C2759" s="461"/>
      <c r="D2759" s="461"/>
      <c r="E2759" s="461"/>
      <c r="F2759" s="461"/>
      <c r="G2759" s="461"/>
      <c r="H2759" s="461"/>
      <c r="I2759" s="461"/>
      <c r="J2759" s="461"/>
      <c r="K2759" s="461"/>
      <c r="L2759" s="461"/>
      <c r="M2759" s="630"/>
      <c r="N2759" s="631"/>
      <c r="O2759" s="630"/>
      <c r="P2759" s="631"/>
      <c r="Q2759" s="479"/>
    </row>
    <row r="2760" spans="2:18" ht="31.5" customHeight="1" x14ac:dyDescent="0.45"/>
    <row r="2761" spans="2:18" ht="31.5" customHeight="1" x14ac:dyDescent="0.45">
      <c r="R2761" s="512" t="str">
        <f>R$2780</f>
        <v>DELETE</v>
      </c>
    </row>
    <row r="2762" spans="2:18" ht="31.5" customHeight="1" x14ac:dyDescent="0.45">
      <c r="D2762" s="450" t="str">
        <f>Criteria!E9</f>
        <v>ABC COMPANY (PROPRIETARY) LIMITED</v>
      </c>
      <c r="O2762" s="529" t="s">
        <v>121</v>
      </c>
      <c r="Q2762" s="451">
        <f>MAX($Q$114:Q2761)+1</f>
        <v>66</v>
      </c>
      <c r="R2762" s="512" t="str">
        <f>R$2780</f>
        <v>DELETE</v>
      </c>
    </row>
    <row r="2763" spans="2:18" ht="31.5" customHeight="1" x14ac:dyDescent="0.45">
      <c r="D2763" s="450" t="str">
        <f>Criteria!E10</f>
        <v>T/A SEAFRONT HOTEL, SEAFRONT RESTAURANT AND RENTAL PROPERTIES</v>
      </c>
      <c r="R2763" s="512" t="str">
        <f>IF(R$2780="DELETE","DELETE",IF(D2763=0,"DELETE"," "))</f>
        <v>DELETE</v>
      </c>
    </row>
    <row r="2764" spans="2:18" ht="31.5" customHeight="1" x14ac:dyDescent="0.45">
      <c r="R2764" s="512" t="str">
        <f t="shared" ref="R2764:R2779" si="210">R$2780</f>
        <v>DELETE</v>
      </c>
    </row>
    <row r="2765" spans="2:18" ht="31.5" customHeight="1" x14ac:dyDescent="0.45">
      <c r="D2765" s="450" t="s">
        <v>193</v>
      </c>
      <c r="R2765" s="512" t="str">
        <f t="shared" si="210"/>
        <v>DELETE</v>
      </c>
    </row>
    <row r="2766" spans="2:18" ht="31.5" customHeight="1" x14ac:dyDescent="0.45">
      <c r="D2766" s="450" t="str">
        <f>Criteria!E20</f>
        <v>29 FEBRUARY 2024</v>
      </c>
      <c r="R2766" s="512" t="str">
        <f t="shared" si="210"/>
        <v>DELETE</v>
      </c>
    </row>
    <row r="2767" spans="2:18" ht="31.5" customHeight="1" x14ac:dyDescent="0.45">
      <c r="R2767" s="512" t="str">
        <f t="shared" si="210"/>
        <v>DELETE</v>
      </c>
    </row>
    <row r="2768" spans="2:18" ht="31.5" customHeight="1" x14ac:dyDescent="0.45">
      <c r="B2768" s="465"/>
      <c r="C2768" s="466"/>
      <c r="D2768" s="466"/>
      <c r="E2768" s="466"/>
      <c r="F2768" s="466"/>
      <c r="G2768" s="466"/>
      <c r="H2768" s="466"/>
      <c r="I2768" s="466"/>
      <c r="J2768" s="466"/>
      <c r="K2768" s="466"/>
      <c r="L2768" s="466"/>
      <c r="M2768" s="642"/>
      <c r="N2768" s="643"/>
      <c r="O2768" s="642"/>
      <c r="P2768" s="643"/>
      <c r="Q2768" s="467"/>
      <c r="R2768" s="512" t="str">
        <f t="shared" si="210"/>
        <v>DELETE</v>
      </c>
    </row>
    <row r="2769" spans="2:23" ht="31.5" customHeight="1" x14ac:dyDescent="0.45">
      <c r="B2769" s="468"/>
      <c r="Q2769" s="469"/>
      <c r="R2769" s="512" t="str">
        <f t="shared" si="210"/>
        <v>DELETE</v>
      </c>
    </row>
    <row r="2770" spans="2:23" ht="31.5" customHeight="1" x14ac:dyDescent="0.45">
      <c r="B2770" s="468"/>
      <c r="Q2770" s="469"/>
      <c r="R2770" s="512" t="str">
        <f t="shared" si="210"/>
        <v>DELETE</v>
      </c>
    </row>
    <row r="2771" spans="2:23" ht="31.5" customHeight="1" x14ac:dyDescent="0.45">
      <c r="B2771" s="468"/>
      <c r="C2771" s="449">
        <v>1</v>
      </c>
      <c r="D2771" s="449" t="s">
        <v>908</v>
      </c>
      <c r="Q2771" s="469"/>
      <c r="R2771" s="512" t="str">
        <f t="shared" si="210"/>
        <v>DELETE</v>
      </c>
    </row>
    <row r="2772" spans="2:23" ht="31.5" customHeight="1" x14ac:dyDescent="0.45">
      <c r="B2772" s="468"/>
      <c r="Q2772" s="469"/>
      <c r="R2772" s="512" t="str">
        <f t="shared" si="210"/>
        <v>DELETE</v>
      </c>
    </row>
    <row r="2773" spans="2:23" ht="31.5" customHeight="1" x14ac:dyDescent="0.45">
      <c r="B2773" s="468"/>
      <c r="D2773" s="463" t="s">
        <v>912</v>
      </c>
      <c r="O2773" s="635">
        <f>Criteria!G503</f>
        <v>0</v>
      </c>
      <c r="Q2773" s="469"/>
      <c r="R2773" s="512" t="str">
        <f t="shared" si="210"/>
        <v>DELETE</v>
      </c>
      <c r="W2773" s="513">
        <f>IF(M2773&lt;0,1,IF(M2773=0,IF(O2773&lt;0,1,2),2))</f>
        <v>2</v>
      </c>
    </row>
    <row r="2774" spans="2:23" ht="31.5" customHeight="1" x14ac:dyDescent="0.45">
      <c r="B2774" s="468"/>
      <c r="D2774" s="463"/>
      <c r="O2774" s="635"/>
      <c r="Q2774" s="469"/>
      <c r="R2774" s="512" t="str">
        <f t="shared" si="210"/>
        <v>DELETE</v>
      </c>
    </row>
    <row r="2775" spans="2:23" ht="31.5" customHeight="1" x14ac:dyDescent="0.45">
      <c r="B2775" s="468"/>
      <c r="D2775" s="463" t="s">
        <v>938</v>
      </c>
      <c r="O2775" s="635">
        <f>-Criteria!H503</f>
        <v>0</v>
      </c>
      <c r="Q2775" s="469"/>
      <c r="R2775" s="512" t="str">
        <f t="shared" si="210"/>
        <v>DELETE</v>
      </c>
    </row>
    <row r="2776" spans="2:23" ht="31.5" customHeight="1" x14ac:dyDescent="0.45">
      <c r="B2776" s="468"/>
      <c r="O2776" s="635"/>
      <c r="Q2776" s="469"/>
      <c r="R2776" s="512" t="str">
        <f t="shared" si="210"/>
        <v>DELETE</v>
      </c>
    </row>
    <row r="2777" spans="2:23" ht="31.5" customHeight="1" x14ac:dyDescent="0.45">
      <c r="B2777" s="468"/>
      <c r="D2777" s="449" t="s">
        <v>907</v>
      </c>
      <c r="O2777" s="635">
        <f>-Criteria!G487</f>
        <v>0</v>
      </c>
      <c r="Q2777" s="469"/>
      <c r="R2777" s="512" t="str">
        <f t="shared" si="210"/>
        <v>DELETE</v>
      </c>
    </row>
    <row r="2778" spans="2:23" ht="9" customHeight="1" x14ac:dyDescent="0.45">
      <c r="B2778" s="468"/>
      <c r="O2778" s="640"/>
      <c r="Q2778" s="469"/>
      <c r="R2778" s="512" t="str">
        <f t="shared" si="210"/>
        <v>DELETE</v>
      </c>
    </row>
    <row r="2779" spans="2:23" ht="9" customHeight="1" x14ac:dyDescent="0.45">
      <c r="B2779" s="468"/>
      <c r="O2779" s="635"/>
      <c r="Q2779" s="469"/>
      <c r="R2779" s="512" t="str">
        <f t="shared" si="210"/>
        <v>DELETE</v>
      </c>
    </row>
    <row r="2780" spans="2:23" ht="31.5" customHeight="1" x14ac:dyDescent="0.45">
      <c r="B2780" s="468"/>
      <c r="D2780" s="449" t="str">
        <f>IF(O2780&lt;0,"Loss carried forward","Profit subject to CGT")</f>
        <v>Profit subject to CGT</v>
      </c>
      <c r="O2780" s="635">
        <f>SUM(O2773:O2778)</f>
        <v>0</v>
      </c>
      <c r="Q2780" s="469"/>
      <c r="R2780" s="512" t="str">
        <f>IF(O2773-O2775-O2777=0,"DELETE"," ")</f>
        <v>DELETE</v>
      </c>
    </row>
    <row r="2781" spans="2:23" ht="9" customHeight="1" thickBot="1" x14ac:dyDescent="0.5">
      <c r="B2781" s="468"/>
      <c r="O2781" s="638"/>
      <c r="Q2781" s="469"/>
      <c r="R2781" s="512" t="str">
        <f t="shared" ref="R2781:R2787" si="211">R$2780</f>
        <v>DELETE</v>
      </c>
    </row>
    <row r="2782" spans="2:23" ht="9" customHeight="1" thickTop="1" x14ac:dyDescent="0.45">
      <c r="B2782" s="468"/>
      <c r="O2782" s="662"/>
      <c r="Q2782" s="469"/>
      <c r="R2782" s="512" t="str">
        <f t="shared" si="211"/>
        <v>DELETE</v>
      </c>
    </row>
    <row r="2783" spans="2:23" ht="9" customHeight="1" x14ac:dyDescent="0.45">
      <c r="B2783" s="468"/>
      <c r="Q2783" s="469"/>
      <c r="R2783" s="512" t="str">
        <f t="shared" si="211"/>
        <v>DELETE</v>
      </c>
    </row>
    <row r="2784" spans="2:23" ht="31.5" customHeight="1" x14ac:dyDescent="0.45">
      <c r="B2784" s="468"/>
      <c r="D2784" s="449" t="s">
        <v>631</v>
      </c>
      <c r="O2784" s="635">
        <f>ROUND(IF(O2780&gt;0,O2780*0.8,0),0)</f>
        <v>0</v>
      </c>
      <c r="Q2784" s="469"/>
      <c r="R2784" s="512" t="str">
        <f t="shared" si="211"/>
        <v>DELETE</v>
      </c>
    </row>
    <row r="2785" spans="2:18" ht="9" customHeight="1" thickBot="1" x14ac:dyDescent="0.5">
      <c r="B2785" s="468"/>
      <c r="O2785" s="663"/>
      <c r="Q2785" s="469"/>
      <c r="R2785" s="512" t="str">
        <f t="shared" si="211"/>
        <v>DELETE</v>
      </c>
    </row>
    <row r="2786" spans="2:18" ht="9" customHeight="1" thickTop="1" x14ac:dyDescent="0.45">
      <c r="B2786" s="468"/>
      <c r="Q2786" s="469"/>
      <c r="R2786" s="512" t="str">
        <f t="shared" si="211"/>
        <v>DELETE</v>
      </c>
    </row>
    <row r="2787" spans="2:18" ht="31.5" customHeight="1" x14ac:dyDescent="0.45">
      <c r="B2787" s="468"/>
      <c r="Q2787" s="469"/>
      <c r="R2787" s="512" t="str">
        <f t="shared" si="211"/>
        <v>DELETE</v>
      </c>
    </row>
    <row r="2788" spans="2:18" ht="31.5" customHeight="1" x14ac:dyDescent="0.45">
      <c r="B2788" s="468"/>
      <c r="M2788" s="664"/>
      <c r="Q2788" s="469"/>
      <c r="R2788" s="512" t="str">
        <f t="shared" ref="R2788:R2824" si="212">R$2780</f>
        <v>DELETE</v>
      </c>
    </row>
    <row r="2789" spans="2:18" ht="31.5" customHeight="1" x14ac:dyDescent="0.45">
      <c r="B2789" s="468"/>
      <c r="Q2789" s="469"/>
      <c r="R2789" s="512" t="str">
        <f t="shared" si="212"/>
        <v>DELETE</v>
      </c>
    </row>
    <row r="2790" spans="2:18" ht="31.5" customHeight="1" x14ac:dyDescent="0.45">
      <c r="B2790" s="468"/>
      <c r="Q2790" s="469"/>
      <c r="R2790" s="512" t="str">
        <f t="shared" si="212"/>
        <v>DELETE</v>
      </c>
    </row>
    <row r="2791" spans="2:18" ht="31.5" customHeight="1" x14ac:dyDescent="0.45">
      <c r="B2791" s="468"/>
      <c r="Q2791" s="469"/>
      <c r="R2791" s="512" t="str">
        <f t="shared" si="212"/>
        <v>DELETE</v>
      </c>
    </row>
    <row r="2792" spans="2:18" ht="31.5" customHeight="1" x14ac:dyDescent="0.45">
      <c r="B2792" s="468"/>
      <c r="Q2792" s="469"/>
      <c r="R2792" s="512" t="str">
        <f t="shared" si="212"/>
        <v>DELETE</v>
      </c>
    </row>
    <row r="2793" spans="2:18" ht="31.5" customHeight="1" x14ac:dyDescent="0.45">
      <c r="B2793" s="468"/>
      <c r="Q2793" s="469"/>
      <c r="R2793" s="512" t="str">
        <f t="shared" si="212"/>
        <v>DELETE</v>
      </c>
    </row>
    <row r="2794" spans="2:18" ht="31.5" customHeight="1" x14ac:dyDescent="0.45">
      <c r="B2794" s="468"/>
      <c r="Q2794" s="469"/>
      <c r="R2794" s="512" t="str">
        <f t="shared" si="212"/>
        <v>DELETE</v>
      </c>
    </row>
    <row r="2795" spans="2:18" ht="31.5" customHeight="1" x14ac:dyDescent="0.45">
      <c r="B2795" s="468"/>
      <c r="Q2795" s="469"/>
      <c r="R2795" s="512" t="str">
        <f t="shared" si="212"/>
        <v>DELETE</v>
      </c>
    </row>
    <row r="2796" spans="2:18" ht="31.5" customHeight="1" x14ac:dyDescent="0.45">
      <c r="B2796" s="468"/>
      <c r="Q2796" s="469"/>
      <c r="R2796" s="512" t="str">
        <f t="shared" si="212"/>
        <v>DELETE</v>
      </c>
    </row>
    <row r="2797" spans="2:18" ht="31.5" customHeight="1" x14ac:dyDescent="0.45">
      <c r="B2797" s="468"/>
      <c r="Q2797" s="469"/>
      <c r="R2797" s="512" t="str">
        <f t="shared" si="212"/>
        <v>DELETE</v>
      </c>
    </row>
    <row r="2798" spans="2:18" ht="31.5" customHeight="1" x14ac:dyDescent="0.45">
      <c r="B2798" s="468"/>
      <c r="Q2798" s="469"/>
      <c r="R2798" s="512" t="str">
        <f t="shared" si="212"/>
        <v>DELETE</v>
      </c>
    </row>
    <row r="2799" spans="2:18" ht="31.5" customHeight="1" x14ac:dyDescent="0.45">
      <c r="B2799" s="468"/>
      <c r="Q2799" s="469"/>
      <c r="R2799" s="512" t="str">
        <f t="shared" si="212"/>
        <v>DELETE</v>
      </c>
    </row>
    <row r="2800" spans="2:18" ht="31.5" customHeight="1" x14ac:dyDescent="0.45">
      <c r="B2800" s="468"/>
      <c r="Q2800" s="469"/>
      <c r="R2800" s="512" t="str">
        <f t="shared" si="212"/>
        <v>DELETE</v>
      </c>
    </row>
    <row r="2801" spans="2:18" ht="31.5" customHeight="1" x14ac:dyDescent="0.45">
      <c r="B2801" s="468"/>
      <c r="Q2801" s="469"/>
      <c r="R2801" s="512" t="str">
        <f t="shared" si="212"/>
        <v>DELETE</v>
      </c>
    </row>
    <row r="2802" spans="2:18" ht="31.5" customHeight="1" x14ac:dyDescent="0.45">
      <c r="B2802" s="468"/>
      <c r="Q2802" s="469"/>
      <c r="R2802" s="512" t="str">
        <f t="shared" si="212"/>
        <v>DELETE</v>
      </c>
    </row>
    <row r="2803" spans="2:18" ht="31.5" customHeight="1" x14ac:dyDescent="0.45">
      <c r="B2803" s="468"/>
      <c r="Q2803" s="469"/>
      <c r="R2803" s="512" t="str">
        <f t="shared" si="212"/>
        <v>DELETE</v>
      </c>
    </row>
    <row r="2804" spans="2:18" ht="31.5" customHeight="1" x14ac:dyDescent="0.45">
      <c r="B2804" s="468"/>
      <c r="Q2804" s="469"/>
      <c r="R2804" s="512" t="str">
        <f t="shared" si="212"/>
        <v>DELETE</v>
      </c>
    </row>
    <row r="2805" spans="2:18" ht="31.5" customHeight="1" x14ac:dyDescent="0.45">
      <c r="B2805" s="468"/>
      <c r="Q2805" s="469"/>
      <c r="R2805" s="512" t="str">
        <f t="shared" si="212"/>
        <v>DELETE</v>
      </c>
    </row>
    <row r="2806" spans="2:18" ht="31.5" customHeight="1" x14ac:dyDescent="0.45">
      <c r="B2806" s="468"/>
      <c r="Q2806" s="469"/>
      <c r="R2806" s="512" t="str">
        <f t="shared" si="212"/>
        <v>DELETE</v>
      </c>
    </row>
    <row r="2807" spans="2:18" ht="31.5" customHeight="1" x14ac:dyDescent="0.45">
      <c r="B2807" s="468"/>
      <c r="Q2807" s="469"/>
      <c r="R2807" s="512" t="str">
        <f t="shared" si="212"/>
        <v>DELETE</v>
      </c>
    </row>
    <row r="2808" spans="2:18" ht="31.5" customHeight="1" x14ac:dyDescent="0.45">
      <c r="B2808" s="468"/>
      <c r="Q2808" s="469"/>
      <c r="R2808" s="512" t="str">
        <f t="shared" si="212"/>
        <v>DELETE</v>
      </c>
    </row>
    <row r="2809" spans="2:18" ht="31.5" customHeight="1" x14ac:dyDescent="0.45">
      <c r="B2809" s="468"/>
      <c r="Q2809" s="469"/>
      <c r="R2809" s="512" t="str">
        <f t="shared" si="212"/>
        <v>DELETE</v>
      </c>
    </row>
    <row r="2810" spans="2:18" ht="31.5" customHeight="1" x14ac:dyDescent="0.45">
      <c r="B2810" s="468"/>
      <c r="Q2810" s="469"/>
      <c r="R2810" s="512" t="str">
        <f t="shared" si="212"/>
        <v>DELETE</v>
      </c>
    </row>
    <row r="2811" spans="2:18" ht="31.5" customHeight="1" x14ac:dyDescent="0.45">
      <c r="B2811" s="468"/>
      <c r="Q2811" s="469"/>
      <c r="R2811" s="512" t="str">
        <f t="shared" si="212"/>
        <v>DELETE</v>
      </c>
    </row>
    <row r="2812" spans="2:18" ht="31.5" customHeight="1" x14ac:dyDescent="0.45">
      <c r="B2812" s="468"/>
      <c r="Q2812" s="469"/>
      <c r="R2812" s="512" t="str">
        <f t="shared" si="212"/>
        <v>DELETE</v>
      </c>
    </row>
    <row r="2813" spans="2:18" ht="31.5" customHeight="1" x14ac:dyDescent="0.45">
      <c r="B2813" s="468"/>
      <c r="Q2813" s="469"/>
      <c r="R2813" s="512" t="str">
        <f t="shared" si="212"/>
        <v>DELETE</v>
      </c>
    </row>
    <row r="2814" spans="2:18" ht="31.5" customHeight="1" x14ac:dyDescent="0.45">
      <c r="B2814" s="468"/>
      <c r="Q2814" s="469"/>
      <c r="R2814" s="512" t="str">
        <f t="shared" si="212"/>
        <v>DELETE</v>
      </c>
    </row>
    <row r="2815" spans="2:18" ht="31.5" customHeight="1" x14ac:dyDescent="0.45">
      <c r="B2815" s="468"/>
      <c r="Q2815" s="469"/>
      <c r="R2815" s="512" t="str">
        <f t="shared" si="212"/>
        <v>DELETE</v>
      </c>
    </row>
    <row r="2816" spans="2:18" ht="31.5" customHeight="1" x14ac:dyDescent="0.45">
      <c r="B2816" s="468"/>
      <c r="Q2816" s="469"/>
      <c r="R2816" s="512" t="str">
        <f t="shared" si="212"/>
        <v>DELETE</v>
      </c>
    </row>
    <row r="2817" spans="2:23" ht="31.5" customHeight="1" x14ac:dyDescent="0.45">
      <c r="B2817" s="468"/>
      <c r="Q2817" s="469"/>
      <c r="R2817" s="512" t="str">
        <f t="shared" si="212"/>
        <v>DELETE</v>
      </c>
    </row>
    <row r="2818" spans="2:23" ht="31.5" customHeight="1" x14ac:dyDescent="0.45">
      <c r="B2818" s="468"/>
      <c r="Q2818" s="469"/>
      <c r="R2818" s="512" t="str">
        <f t="shared" si="212"/>
        <v>DELETE</v>
      </c>
    </row>
    <row r="2819" spans="2:23" ht="31.5" customHeight="1" x14ac:dyDescent="0.45">
      <c r="B2819" s="468"/>
      <c r="Q2819" s="469"/>
      <c r="R2819" s="512" t="str">
        <f t="shared" si="212"/>
        <v>DELETE</v>
      </c>
    </row>
    <row r="2820" spans="2:23" ht="31.5" customHeight="1" x14ac:dyDescent="0.45">
      <c r="B2820" s="468"/>
      <c r="Q2820" s="469"/>
      <c r="R2820" s="512" t="str">
        <f t="shared" si="212"/>
        <v>DELETE</v>
      </c>
    </row>
    <row r="2821" spans="2:23" ht="31.5" customHeight="1" x14ac:dyDescent="0.45">
      <c r="B2821" s="468"/>
      <c r="Q2821" s="469"/>
      <c r="R2821" s="512" t="str">
        <f t="shared" si="212"/>
        <v>DELETE</v>
      </c>
    </row>
    <row r="2822" spans="2:23" ht="31.5" customHeight="1" x14ac:dyDescent="0.45">
      <c r="B2822" s="468"/>
      <c r="Q2822" s="469"/>
      <c r="R2822" s="512" t="str">
        <f t="shared" si="212"/>
        <v>DELETE</v>
      </c>
    </row>
    <row r="2823" spans="2:23" ht="31.5" customHeight="1" x14ac:dyDescent="0.45">
      <c r="B2823" s="477"/>
      <c r="C2823" s="461"/>
      <c r="D2823" s="461"/>
      <c r="E2823" s="461"/>
      <c r="F2823" s="461"/>
      <c r="G2823" s="461"/>
      <c r="H2823" s="461"/>
      <c r="I2823" s="461"/>
      <c r="J2823" s="461"/>
      <c r="K2823" s="461"/>
      <c r="L2823" s="461"/>
      <c r="M2823" s="630"/>
      <c r="N2823" s="631"/>
      <c r="O2823" s="630"/>
      <c r="P2823" s="631"/>
      <c r="Q2823" s="479"/>
      <c r="R2823" s="512" t="str">
        <f t="shared" si="212"/>
        <v>DELETE</v>
      </c>
    </row>
    <row r="2824" spans="2:23" ht="31.5" customHeight="1" x14ac:dyDescent="0.45">
      <c r="M2824" s="633"/>
      <c r="N2824" s="634"/>
      <c r="O2824" s="633"/>
      <c r="P2824" s="634"/>
      <c r="R2824" s="512" t="str">
        <f t="shared" si="212"/>
        <v>DELETE</v>
      </c>
    </row>
    <row r="2825" spans="2:23" ht="31.5" customHeight="1" x14ac:dyDescent="0.45">
      <c r="M2825" s="635"/>
      <c r="N2825" s="621"/>
      <c r="O2825" s="635"/>
      <c r="R2825" s="512" t="str">
        <f>IF(SUM(S2837:S2839)+SUM(S2857:S2864)+SUM(S2964:S2974)+O2982=0,"DELETE"," ")</f>
        <v>DELETE</v>
      </c>
      <c r="T2825" s="521"/>
      <c r="U2825" s="516"/>
      <c r="V2825" s="516"/>
      <c r="W2825" s="521"/>
    </row>
    <row r="2826" spans="2:23" ht="31.5" customHeight="1" x14ac:dyDescent="0.45">
      <c r="D2826" s="450" t="s">
        <v>607</v>
      </c>
      <c r="M2826" s="635"/>
      <c r="N2826" s="621"/>
      <c r="O2826" s="635"/>
      <c r="R2826" s="512" t="str">
        <f t="shared" ref="R2826:R2836" si="213">R$2825</f>
        <v>DELETE</v>
      </c>
      <c r="T2826" s="521"/>
      <c r="U2826" s="515"/>
    </row>
    <row r="2827" spans="2:23" ht="31.5" customHeight="1" x14ac:dyDescent="0.45">
      <c r="M2827" s="635"/>
      <c r="N2827" s="621"/>
      <c r="O2827" s="635"/>
      <c r="R2827" s="512" t="str">
        <f t="shared" si="213"/>
        <v>DELETE</v>
      </c>
      <c r="T2827" s="521"/>
    </row>
    <row r="2828" spans="2:23" ht="31.5" customHeight="1" x14ac:dyDescent="0.45">
      <c r="D2828" s="450" t="str">
        <f>Criteria!E9</f>
        <v>ABC COMPANY (PROPRIETARY) LIMITED</v>
      </c>
      <c r="M2828" s="635"/>
      <c r="N2828" s="621"/>
      <c r="O2828" s="531" t="s">
        <v>121</v>
      </c>
      <c r="Q2828" s="451">
        <v>1</v>
      </c>
      <c r="R2828" s="512" t="str">
        <f t="shared" si="213"/>
        <v>DELETE</v>
      </c>
      <c r="T2828" s="521"/>
    </row>
    <row r="2829" spans="2:23" ht="31.5" customHeight="1" x14ac:dyDescent="0.45">
      <c r="D2829" s="450" t="str">
        <f>CONCATENATE("T/A ",Criteria!E14)</f>
        <v>T/A SEAFRONT RESTAURANT</v>
      </c>
      <c r="M2829" s="635"/>
      <c r="N2829" s="621"/>
      <c r="O2829" s="635"/>
      <c r="R2829" s="512" t="str">
        <f t="shared" si="213"/>
        <v>DELETE</v>
      </c>
      <c r="T2829" s="521"/>
    </row>
    <row r="2830" spans="2:23" ht="31.5" customHeight="1" x14ac:dyDescent="0.45">
      <c r="M2830" s="635"/>
      <c r="N2830" s="621"/>
      <c r="O2830" s="635"/>
      <c r="R2830" s="512" t="str">
        <f t="shared" si="213"/>
        <v>DELETE</v>
      </c>
      <c r="T2830" s="521"/>
    </row>
    <row r="2831" spans="2:23" ht="31.5" customHeight="1" x14ac:dyDescent="0.45">
      <c r="D2831" s="450" t="s">
        <v>115</v>
      </c>
      <c r="M2831" s="635"/>
      <c r="N2831" s="621"/>
      <c r="O2831" s="635"/>
      <c r="R2831" s="512" t="str">
        <f t="shared" si="213"/>
        <v>DELETE</v>
      </c>
      <c r="T2831" s="521"/>
    </row>
    <row r="2832" spans="2:23" ht="31.5" customHeight="1" x14ac:dyDescent="0.45">
      <c r="D2832" s="450" t="str">
        <f>Criteria!E20</f>
        <v>29 FEBRUARY 2024</v>
      </c>
      <c r="M2832" s="635"/>
      <c r="N2832" s="621"/>
      <c r="O2832" s="635"/>
      <c r="R2832" s="512" t="str">
        <f t="shared" si="213"/>
        <v>DELETE</v>
      </c>
      <c r="T2832" s="521"/>
    </row>
    <row r="2833" spans="2:22" ht="31.5" customHeight="1" x14ac:dyDescent="0.45">
      <c r="M2833" s="635"/>
      <c r="N2833" s="621"/>
      <c r="O2833" s="635"/>
      <c r="R2833" s="512" t="str">
        <f t="shared" si="213"/>
        <v>DELETE</v>
      </c>
      <c r="T2833" s="521"/>
    </row>
    <row r="2834" spans="2:22" ht="31.5" customHeight="1" x14ac:dyDescent="0.45">
      <c r="B2834" s="465"/>
      <c r="C2834" s="466"/>
      <c r="D2834" s="466"/>
      <c r="E2834" s="466"/>
      <c r="F2834" s="466"/>
      <c r="G2834" s="466"/>
      <c r="H2834" s="466"/>
      <c r="I2834" s="466"/>
      <c r="J2834" s="466"/>
      <c r="K2834" s="466"/>
      <c r="L2834" s="466"/>
      <c r="M2834" s="648"/>
      <c r="N2834" s="649"/>
      <c r="O2834" s="648"/>
      <c r="P2834" s="643"/>
      <c r="Q2834" s="467"/>
      <c r="R2834" s="512" t="str">
        <f t="shared" si="213"/>
        <v>DELETE</v>
      </c>
      <c r="T2834" s="521"/>
    </row>
    <row r="2835" spans="2:22" ht="31.5" customHeight="1" x14ac:dyDescent="0.45">
      <c r="B2835" s="468"/>
      <c r="J2835" s="451"/>
      <c r="K2835" s="451" t="s">
        <v>129</v>
      </c>
      <c r="L2835" s="452"/>
      <c r="M2835" s="527"/>
      <c r="N2835" s="451"/>
      <c r="O2835" s="525">
        <f>Criteria!E22</f>
        <v>2024</v>
      </c>
      <c r="P2835" s="459"/>
      <c r="Q2835" s="469"/>
      <c r="R2835" s="512" t="str">
        <f t="shared" si="213"/>
        <v>DELETE</v>
      </c>
      <c r="T2835" s="521"/>
    </row>
    <row r="2836" spans="2:22" ht="31.5" customHeight="1" x14ac:dyDescent="0.45">
      <c r="B2836" s="468"/>
      <c r="J2836" s="451"/>
      <c r="K2836" s="451"/>
      <c r="L2836" s="452"/>
      <c r="M2836" s="527"/>
      <c r="N2836" s="451"/>
      <c r="O2836" s="531"/>
      <c r="P2836" s="459"/>
      <c r="Q2836" s="469"/>
      <c r="R2836" s="512" t="str">
        <f t="shared" si="213"/>
        <v>DELETE</v>
      </c>
      <c r="T2836" s="521"/>
    </row>
    <row r="2837" spans="2:22" ht="31.5" customHeight="1" x14ac:dyDescent="0.45">
      <c r="B2837" s="468"/>
      <c r="C2837" s="450" t="s">
        <v>137</v>
      </c>
      <c r="J2837" s="451"/>
      <c r="K2837" s="451"/>
      <c r="L2837" s="452"/>
      <c r="M2837" s="527"/>
      <c r="N2837" s="451"/>
      <c r="O2837" s="531">
        <f>-SUM(TrialBalanceA!I5:I10)</f>
        <v>0</v>
      </c>
      <c r="P2837" s="459"/>
      <c r="Q2837" s="469"/>
      <c r="R2837" s="512" t="str">
        <f>IF(R2825="DELETE","DELETE",IF(O2837=0,IF(O2839=0," ","DELETE")," "))</f>
        <v>DELETE</v>
      </c>
      <c r="S2837" s="517">
        <f>O2837</f>
        <v>0</v>
      </c>
      <c r="T2837" s="521"/>
      <c r="U2837" s="517"/>
      <c r="V2837" s="517"/>
    </row>
    <row r="2838" spans="2:22" ht="31.5" customHeight="1" x14ac:dyDescent="0.45">
      <c r="B2838" s="468"/>
      <c r="C2838" s="450"/>
      <c r="J2838" s="451"/>
      <c r="K2838" s="451"/>
      <c r="L2838" s="452"/>
      <c r="M2838" s="527"/>
      <c r="N2838" s="451"/>
      <c r="O2838" s="531"/>
      <c r="P2838" s="459"/>
      <c r="Q2838" s="469"/>
      <c r="R2838" s="512" t="str">
        <f>R2837</f>
        <v>DELETE</v>
      </c>
      <c r="S2838" s="517"/>
      <c r="T2838" s="521"/>
      <c r="U2838" s="517"/>
      <c r="V2838" s="517"/>
    </row>
    <row r="2839" spans="2:22" ht="31.5" customHeight="1" x14ac:dyDescent="0.45">
      <c r="B2839" s="468"/>
      <c r="C2839" s="450" t="s">
        <v>606</v>
      </c>
      <c r="J2839" s="451"/>
      <c r="K2839" s="451"/>
      <c r="L2839" s="452"/>
      <c r="M2839" s="527"/>
      <c r="N2839" s="451"/>
      <c r="O2839" s="531">
        <f>-TrialBalanceA!I11</f>
        <v>0</v>
      </c>
      <c r="P2839" s="459"/>
      <c r="Q2839" s="469"/>
      <c r="R2839" s="512" t="str">
        <f>IF(R$2825="DELETE","DELETE",IF(O2839=0,"DELETE"," "))</f>
        <v>DELETE</v>
      </c>
      <c r="S2839" s="517">
        <f>O2839</f>
        <v>0</v>
      </c>
      <c r="T2839" s="521"/>
      <c r="U2839" s="517"/>
      <c r="V2839" s="517"/>
    </row>
    <row r="2840" spans="2:22" ht="31.5" customHeight="1" x14ac:dyDescent="0.45">
      <c r="B2840" s="468"/>
      <c r="C2840" s="450"/>
      <c r="J2840" s="451"/>
      <c r="K2840" s="451"/>
      <c r="L2840" s="452"/>
      <c r="M2840" s="527"/>
      <c r="N2840" s="451"/>
      <c r="O2840" s="531"/>
      <c r="P2840" s="459"/>
      <c r="Q2840" s="469"/>
      <c r="R2840" s="512" t="str">
        <f>R2839</f>
        <v>DELETE</v>
      </c>
      <c r="T2840" s="521"/>
    </row>
    <row r="2841" spans="2:22" ht="31.5" customHeight="1" x14ac:dyDescent="0.45">
      <c r="B2841" s="468"/>
      <c r="C2841" s="450" t="s">
        <v>333</v>
      </c>
      <c r="J2841" s="451"/>
      <c r="K2841" s="451"/>
      <c r="L2841" s="452"/>
      <c r="M2841" s="527"/>
      <c r="N2841" s="451"/>
      <c r="O2841" s="531">
        <f>SUM(O2844:O2851)</f>
        <v>0</v>
      </c>
      <c r="P2841" s="459"/>
      <c r="Q2841" s="469"/>
      <c r="R2841" s="512" t="str">
        <f>IF(R$2825="DELETE","DELETE",IF(O2841=0,"DELETE"," "))</f>
        <v>DELETE</v>
      </c>
      <c r="S2841" s="517">
        <f>-O2841</f>
        <v>0</v>
      </c>
      <c r="T2841" s="521"/>
      <c r="U2841" s="517"/>
      <c r="V2841" s="517"/>
    </row>
    <row r="2842" spans="2:22" ht="9" customHeight="1" x14ac:dyDescent="0.45">
      <c r="B2842" s="468"/>
      <c r="C2842" s="450"/>
      <c r="J2842" s="451"/>
      <c r="K2842" s="451"/>
      <c r="L2842" s="452"/>
      <c r="M2842" s="527"/>
      <c r="N2842" s="451"/>
      <c r="O2842" s="531"/>
      <c r="P2842" s="459"/>
      <c r="Q2842" s="469"/>
      <c r="R2842" s="512" t="str">
        <f>R2841</f>
        <v>DELETE</v>
      </c>
      <c r="T2842" s="521"/>
    </row>
    <row r="2843" spans="2:22" ht="9" customHeight="1" x14ac:dyDescent="0.45">
      <c r="B2843" s="468"/>
      <c r="C2843" s="450"/>
      <c r="J2843" s="451"/>
      <c r="K2843" s="451"/>
      <c r="L2843" s="452"/>
      <c r="M2843" s="527"/>
      <c r="N2843" s="451"/>
      <c r="O2843" s="558"/>
      <c r="P2843" s="459"/>
      <c r="Q2843" s="469"/>
      <c r="R2843" s="512" t="str">
        <f>R2842</f>
        <v>DELETE</v>
      </c>
      <c r="T2843" s="521"/>
    </row>
    <row r="2844" spans="2:22" ht="31.5" customHeight="1" x14ac:dyDescent="0.45">
      <c r="B2844" s="468"/>
      <c r="C2844" s="450"/>
      <c r="D2844" s="449" t="s">
        <v>608</v>
      </c>
      <c r="J2844" s="451"/>
      <c r="K2844" s="451"/>
      <c r="L2844" s="452"/>
      <c r="M2844" s="527"/>
      <c r="N2844" s="451"/>
      <c r="O2844" s="559">
        <f>SUM(TrialBalanceA!I13:I16)</f>
        <v>0</v>
      </c>
      <c r="P2844" s="459"/>
      <c r="Q2844" s="469"/>
      <c r="R2844" s="512" t="str">
        <f t="shared" ref="R2844:R2851" si="214">IF(R$2825="DELETE","DELETE",IF(O2844=0,"DELETE"," "))</f>
        <v>DELETE</v>
      </c>
      <c r="T2844" s="521"/>
    </row>
    <row r="2845" spans="2:22" ht="31.5" customHeight="1" x14ac:dyDescent="0.45">
      <c r="B2845" s="468"/>
      <c r="C2845" s="450"/>
      <c r="D2845" s="449" t="s">
        <v>334</v>
      </c>
      <c r="J2845" s="451"/>
      <c r="K2845" s="451"/>
      <c r="L2845" s="452"/>
      <c r="M2845" s="527"/>
      <c r="N2845" s="451"/>
      <c r="O2845" s="559">
        <f>TrialBalanceA!I17</f>
        <v>0</v>
      </c>
      <c r="P2845" s="459"/>
      <c r="Q2845" s="469"/>
      <c r="R2845" s="512" t="str">
        <f t="shared" si="214"/>
        <v>DELETE</v>
      </c>
      <c r="T2845" s="521"/>
    </row>
    <row r="2846" spans="2:22" ht="31.5" customHeight="1" x14ac:dyDescent="0.45">
      <c r="B2846" s="468"/>
      <c r="C2846" s="450"/>
      <c r="D2846" s="449">
        <f>TrialBalanceA!C18</f>
        <v>0</v>
      </c>
      <c r="J2846" s="451"/>
      <c r="K2846" s="451"/>
      <c r="L2846" s="452"/>
      <c r="M2846" s="527"/>
      <c r="N2846" s="451"/>
      <c r="O2846" s="559">
        <f>TrialBalanceA!I18</f>
        <v>0</v>
      </c>
      <c r="P2846" s="459"/>
      <c r="Q2846" s="469"/>
      <c r="R2846" s="512" t="str">
        <f t="shared" si="214"/>
        <v>DELETE</v>
      </c>
      <c r="T2846" s="521"/>
    </row>
    <row r="2847" spans="2:22" ht="31.5" customHeight="1" x14ac:dyDescent="0.45">
      <c r="B2847" s="468"/>
      <c r="C2847" s="450"/>
      <c r="D2847" s="449">
        <f>TrialBalanceA!C19</f>
        <v>0</v>
      </c>
      <c r="J2847" s="451"/>
      <c r="K2847" s="451"/>
      <c r="L2847" s="452"/>
      <c r="M2847" s="527"/>
      <c r="N2847" s="451"/>
      <c r="O2847" s="559">
        <f>TrialBalanceA!I19</f>
        <v>0</v>
      </c>
      <c r="P2847" s="459"/>
      <c r="Q2847" s="469"/>
      <c r="R2847" s="512" t="str">
        <f t="shared" si="214"/>
        <v>DELETE</v>
      </c>
      <c r="T2847" s="521"/>
    </row>
    <row r="2848" spans="2:22" ht="31.5" customHeight="1" x14ac:dyDescent="0.45">
      <c r="B2848" s="468"/>
      <c r="C2848" s="450"/>
      <c r="D2848" s="449">
        <f>TrialBalanceA!C20</f>
        <v>0</v>
      </c>
      <c r="J2848" s="451"/>
      <c r="K2848" s="451"/>
      <c r="L2848" s="452"/>
      <c r="M2848" s="527"/>
      <c r="N2848" s="451"/>
      <c r="O2848" s="559">
        <f>TrialBalanceA!I20</f>
        <v>0</v>
      </c>
      <c r="P2848" s="459"/>
      <c r="Q2848" s="469"/>
      <c r="R2848" s="512" t="str">
        <f t="shared" si="214"/>
        <v>DELETE</v>
      </c>
      <c r="T2848" s="521"/>
    </row>
    <row r="2849" spans="2:22" ht="31.5" customHeight="1" x14ac:dyDescent="0.45">
      <c r="B2849" s="468"/>
      <c r="C2849" s="450"/>
      <c r="D2849" s="449">
        <f>TrialBalanceA!C21</f>
        <v>0</v>
      </c>
      <c r="J2849" s="451"/>
      <c r="K2849" s="451"/>
      <c r="L2849" s="452"/>
      <c r="M2849" s="527"/>
      <c r="N2849" s="451"/>
      <c r="O2849" s="559">
        <f>TrialBalanceA!I21</f>
        <v>0</v>
      </c>
      <c r="P2849" s="459"/>
      <c r="Q2849" s="469"/>
      <c r="R2849" s="512" t="str">
        <f t="shared" si="214"/>
        <v>DELETE</v>
      </c>
      <c r="T2849" s="521"/>
    </row>
    <row r="2850" spans="2:22" ht="31.5" customHeight="1" x14ac:dyDescent="0.45">
      <c r="B2850" s="468"/>
      <c r="C2850" s="450"/>
      <c r="D2850" s="449">
        <f>TrialBalanceA!C22</f>
        <v>0</v>
      </c>
      <c r="J2850" s="451"/>
      <c r="K2850" s="451"/>
      <c r="L2850" s="452"/>
      <c r="M2850" s="527"/>
      <c r="N2850" s="451"/>
      <c r="O2850" s="559">
        <f>TrialBalanceA!I22</f>
        <v>0</v>
      </c>
      <c r="P2850" s="459"/>
      <c r="Q2850" s="469"/>
      <c r="R2850" s="512" t="str">
        <f t="shared" si="214"/>
        <v>DELETE</v>
      </c>
      <c r="T2850" s="521"/>
    </row>
    <row r="2851" spans="2:22" ht="31.5" customHeight="1" x14ac:dyDescent="0.45">
      <c r="B2851" s="468"/>
      <c r="C2851" s="450"/>
      <c r="D2851" s="449" t="s">
        <v>609</v>
      </c>
      <c r="J2851" s="451"/>
      <c r="K2851" s="451"/>
      <c r="L2851" s="452"/>
      <c r="M2851" s="527"/>
      <c r="N2851" s="451"/>
      <c r="O2851" s="559">
        <f>SUM(TrialBalanceA!I23:I26)</f>
        <v>0</v>
      </c>
      <c r="P2851" s="459"/>
      <c r="Q2851" s="469"/>
      <c r="R2851" s="512" t="str">
        <f t="shared" si="214"/>
        <v>DELETE</v>
      </c>
      <c r="T2851" s="521"/>
    </row>
    <row r="2852" spans="2:22" ht="9" customHeight="1" x14ac:dyDescent="0.45">
      <c r="B2852" s="468"/>
      <c r="C2852" s="450"/>
      <c r="J2852" s="451"/>
      <c r="K2852" s="451"/>
      <c r="L2852" s="452"/>
      <c r="M2852" s="527"/>
      <c r="N2852" s="451"/>
      <c r="O2852" s="560"/>
      <c r="P2852" s="459"/>
      <c r="Q2852" s="469"/>
      <c r="R2852" s="512" t="str">
        <f>R2841</f>
        <v>DELETE</v>
      </c>
      <c r="T2852" s="521"/>
    </row>
    <row r="2853" spans="2:22" ht="9" customHeight="1" x14ac:dyDescent="0.45">
      <c r="B2853" s="468"/>
      <c r="C2853" s="450"/>
      <c r="J2853" s="451"/>
      <c r="K2853" s="451"/>
      <c r="L2853" s="452"/>
      <c r="M2853" s="527"/>
      <c r="N2853" s="451"/>
      <c r="O2853" s="535"/>
      <c r="P2853" s="459"/>
      <c r="Q2853" s="469"/>
      <c r="R2853" s="512" t="str">
        <f>R2841</f>
        <v>DELETE</v>
      </c>
      <c r="T2853" s="521"/>
    </row>
    <row r="2854" spans="2:22" ht="9" customHeight="1" x14ac:dyDescent="0.45">
      <c r="B2854" s="468"/>
      <c r="C2854" s="450"/>
      <c r="J2854" s="451"/>
      <c r="K2854" s="451"/>
      <c r="L2854" s="452"/>
      <c r="M2854" s="527"/>
      <c r="N2854" s="451"/>
      <c r="O2854" s="531"/>
      <c r="P2854" s="459"/>
      <c r="Q2854" s="469"/>
      <c r="R2854" s="512" t="str">
        <f>R2853</f>
        <v>DELETE</v>
      </c>
      <c r="T2854" s="521"/>
    </row>
    <row r="2855" spans="2:22" ht="31.5" customHeight="1" x14ac:dyDescent="0.45">
      <c r="B2855" s="468"/>
      <c r="C2855" s="492" t="str">
        <f>IF(O2855&lt;0,"GROSS LOSS","GROSS PROFIT")</f>
        <v>GROSS PROFIT</v>
      </c>
      <c r="J2855" s="451"/>
      <c r="K2855" s="451"/>
      <c r="L2855" s="452"/>
      <c r="M2855" s="527"/>
      <c r="N2855" s="451"/>
      <c r="O2855" s="531">
        <f>SUM(S2837:S2852)</f>
        <v>0</v>
      </c>
      <c r="P2855" s="459"/>
      <c r="Q2855" s="469"/>
      <c r="R2855" s="512" t="str">
        <f>R2854</f>
        <v>DELETE</v>
      </c>
      <c r="T2855" s="521"/>
    </row>
    <row r="2856" spans="2:22" ht="31.5" customHeight="1" x14ac:dyDescent="0.45">
      <c r="B2856" s="468"/>
      <c r="C2856" s="450"/>
      <c r="J2856" s="451"/>
      <c r="K2856" s="451"/>
      <c r="L2856" s="452"/>
      <c r="M2856" s="527"/>
      <c r="N2856" s="451"/>
      <c r="O2856" s="531"/>
      <c r="P2856" s="459"/>
      <c r="Q2856" s="469"/>
      <c r="R2856" s="512" t="str">
        <f>R2855</f>
        <v>DELETE</v>
      </c>
      <c r="T2856" s="521"/>
    </row>
    <row r="2857" spans="2:22" ht="31.5" customHeight="1" x14ac:dyDescent="0.45">
      <c r="B2857" s="468"/>
      <c r="C2857" s="450" t="s">
        <v>385</v>
      </c>
      <c r="J2857" s="451"/>
      <c r="K2857" s="451"/>
      <c r="L2857" s="452"/>
      <c r="M2857" s="527"/>
      <c r="N2857" s="451"/>
      <c r="O2857" s="531">
        <f>SUM(O2859:O2866)</f>
        <v>0</v>
      </c>
      <c r="P2857" s="459"/>
      <c r="Q2857" s="469"/>
      <c r="R2857" s="512" t="str">
        <f t="shared" ref="R2857" si="215">IF(R$2825="DELETE","DELETE",IF(O2857=0,"DELETE"," "))</f>
        <v>DELETE</v>
      </c>
      <c r="S2857" s="517">
        <f>O2857</f>
        <v>0</v>
      </c>
      <c r="T2857" s="521"/>
      <c r="U2857" s="517"/>
      <c r="V2857" s="517"/>
    </row>
    <row r="2858" spans="2:22" ht="9" customHeight="1" x14ac:dyDescent="0.45">
      <c r="B2858" s="468"/>
      <c r="C2858" s="450"/>
      <c r="J2858" s="451"/>
      <c r="K2858" s="451"/>
      <c r="L2858" s="452"/>
      <c r="M2858" s="527"/>
      <c r="N2858" s="451"/>
      <c r="O2858" s="531"/>
      <c r="P2858" s="459"/>
      <c r="Q2858" s="469"/>
      <c r="R2858" s="512" t="str">
        <f>R2857</f>
        <v>DELETE</v>
      </c>
      <c r="T2858" s="521"/>
    </row>
    <row r="2859" spans="2:22" ht="9" customHeight="1" x14ac:dyDescent="0.45">
      <c r="B2859" s="468"/>
      <c r="C2859" s="450"/>
      <c r="J2859" s="451"/>
      <c r="K2859" s="451"/>
      <c r="L2859" s="452"/>
      <c r="M2859" s="527"/>
      <c r="N2859" s="451"/>
      <c r="O2859" s="558"/>
      <c r="P2859" s="459"/>
      <c r="Q2859" s="469"/>
      <c r="R2859" s="512" t="str">
        <f>R2857</f>
        <v>DELETE</v>
      </c>
      <c r="T2859" s="521"/>
    </row>
    <row r="2860" spans="2:22" ht="31.5" customHeight="1" x14ac:dyDescent="0.45">
      <c r="B2860" s="468"/>
      <c r="C2860" s="450"/>
      <c r="D2860" s="449" t="str">
        <f>TrialBalanceA!C28</f>
        <v>Insurance claims - Seafront Restaurant</v>
      </c>
      <c r="J2860" s="451"/>
      <c r="K2860" s="451"/>
      <c r="L2860" s="452"/>
      <c r="M2860" s="527"/>
      <c r="N2860" s="451"/>
      <c r="O2860" s="559">
        <f>-TrialBalanceA!I28</f>
        <v>0</v>
      </c>
      <c r="P2860" s="459"/>
      <c r="Q2860" s="469"/>
      <c r="R2860" s="512" t="str">
        <f t="shared" ref="R2860:R2864" si="216">IF(R$2825="DELETE","DELETE",IF(O2860=0,"DELETE"," "))</f>
        <v>DELETE</v>
      </c>
      <c r="T2860" s="521"/>
    </row>
    <row r="2861" spans="2:22" ht="31.5" customHeight="1" x14ac:dyDescent="0.45">
      <c r="B2861" s="468"/>
      <c r="C2861" s="450"/>
      <c r="D2861" s="449" t="str">
        <f>TrialBalanceA!C29</f>
        <v>Government grants received</v>
      </c>
      <c r="J2861" s="451"/>
      <c r="K2861" s="451"/>
      <c r="L2861" s="452"/>
      <c r="M2861" s="527"/>
      <c r="N2861" s="451"/>
      <c r="O2861" s="559">
        <f>-TrialBalanceA!I29</f>
        <v>0</v>
      </c>
      <c r="P2861" s="459"/>
      <c r="Q2861" s="469"/>
      <c r="R2861" s="512" t="str">
        <f t="shared" si="216"/>
        <v>DELETE</v>
      </c>
      <c r="T2861" s="521"/>
    </row>
    <row r="2862" spans="2:22" ht="31.5" customHeight="1" x14ac:dyDescent="0.45">
      <c r="B2862" s="468"/>
      <c r="C2862" s="450"/>
      <c r="D2862" s="449">
        <f>TrialBalanceA!C30</f>
        <v>0</v>
      </c>
      <c r="J2862" s="451"/>
      <c r="K2862" s="451"/>
      <c r="L2862" s="452"/>
      <c r="M2862" s="527"/>
      <c r="N2862" s="451"/>
      <c r="O2862" s="559">
        <f>-TrialBalanceA!I30</f>
        <v>0</v>
      </c>
      <c r="P2862" s="459"/>
      <c r="Q2862" s="469"/>
      <c r="R2862" s="512" t="str">
        <f t="shared" si="216"/>
        <v>DELETE</v>
      </c>
      <c r="T2862" s="521"/>
    </row>
    <row r="2863" spans="2:22" ht="31.5" customHeight="1" x14ac:dyDescent="0.45">
      <c r="B2863" s="468"/>
      <c r="C2863" s="450"/>
      <c r="D2863" s="449">
        <f>TrialBalanceA!C31</f>
        <v>0</v>
      </c>
      <c r="J2863" s="451"/>
      <c r="K2863" s="451"/>
      <c r="L2863" s="452"/>
      <c r="M2863" s="527"/>
      <c r="N2863" s="451"/>
      <c r="O2863" s="559">
        <f>-TrialBalanceA!I31</f>
        <v>0</v>
      </c>
      <c r="P2863" s="459"/>
      <c r="Q2863" s="469"/>
      <c r="R2863" s="512" t="str">
        <f t="shared" si="216"/>
        <v>DELETE</v>
      </c>
      <c r="T2863" s="521"/>
    </row>
    <row r="2864" spans="2:22" ht="31.5" customHeight="1" x14ac:dyDescent="0.45">
      <c r="B2864" s="468"/>
      <c r="C2864" s="450"/>
      <c r="D2864" s="449">
        <f>TrialBalanceA!C32</f>
        <v>0</v>
      </c>
      <c r="J2864" s="451"/>
      <c r="K2864" s="451"/>
      <c r="L2864" s="452"/>
      <c r="M2864" s="527"/>
      <c r="N2864" s="451"/>
      <c r="O2864" s="559">
        <f>-TrialBalanceA!I32</f>
        <v>0</v>
      </c>
      <c r="P2864" s="459"/>
      <c r="Q2864" s="469"/>
      <c r="R2864" s="512" t="str">
        <f t="shared" si="216"/>
        <v>DELETE</v>
      </c>
      <c r="T2864" s="521"/>
    </row>
    <row r="2865" spans="2:22" ht="31.5" customHeight="1" x14ac:dyDescent="0.45">
      <c r="B2865" s="468"/>
      <c r="C2865" s="450"/>
      <c r="D2865" s="449" t="str">
        <f>TrialBalanceA!C33</f>
        <v>Recoupment of depreciation</v>
      </c>
      <c r="J2865" s="451"/>
      <c r="K2865" s="451"/>
      <c r="L2865" s="452"/>
      <c r="M2865" s="527"/>
      <c r="N2865" s="451"/>
      <c r="O2865" s="559">
        <f>-TrialBalanceA!I33</f>
        <v>0</v>
      </c>
      <c r="P2865" s="459"/>
      <c r="Q2865" s="469"/>
      <c r="R2865" s="512" t="str">
        <f t="shared" ref="R2865" si="217">IF(R$2825="DELETE","DELETE",IF(O2865=0,"DELETE"," "))</f>
        <v>DELETE</v>
      </c>
      <c r="T2865" s="521"/>
    </row>
    <row r="2866" spans="2:22" ht="9" customHeight="1" x14ac:dyDescent="0.45">
      <c r="B2866" s="468"/>
      <c r="C2866" s="450"/>
      <c r="J2866" s="451"/>
      <c r="K2866" s="451"/>
      <c r="L2866" s="452"/>
      <c r="M2866" s="527"/>
      <c r="N2866" s="451"/>
      <c r="O2866" s="560"/>
      <c r="P2866" s="459"/>
      <c r="Q2866" s="469"/>
      <c r="R2866" s="512" t="str">
        <f>R2857</f>
        <v>DELETE</v>
      </c>
      <c r="T2866" s="521"/>
    </row>
    <row r="2867" spans="2:22" ht="9" customHeight="1" x14ac:dyDescent="0.45">
      <c r="B2867" s="468"/>
      <c r="C2867" s="450"/>
      <c r="J2867" s="451"/>
      <c r="K2867" s="451"/>
      <c r="L2867" s="452"/>
      <c r="M2867" s="527"/>
      <c r="N2867" s="451"/>
      <c r="O2867" s="547"/>
      <c r="P2867" s="459"/>
      <c r="Q2867" s="469"/>
      <c r="R2867" s="512" t="str">
        <f>R2866</f>
        <v>DELETE</v>
      </c>
      <c r="T2867" s="521"/>
    </row>
    <row r="2868" spans="2:22" ht="9" customHeight="1" x14ac:dyDescent="0.45">
      <c r="B2868" s="468"/>
      <c r="C2868" s="450"/>
      <c r="J2868" s="451"/>
      <c r="K2868" s="451"/>
      <c r="L2868" s="452"/>
      <c r="M2868" s="527"/>
      <c r="N2868" s="451"/>
      <c r="O2868" s="531"/>
      <c r="P2868" s="459"/>
      <c r="Q2868" s="469"/>
      <c r="R2868" s="512" t="str">
        <f>R2867</f>
        <v>DELETE</v>
      </c>
      <c r="T2868" s="521"/>
    </row>
    <row r="2869" spans="2:22" ht="31.5" customHeight="1" x14ac:dyDescent="0.45">
      <c r="B2869" s="468"/>
      <c r="C2869" s="450"/>
      <c r="J2869" s="451"/>
      <c r="K2869" s="451"/>
      <c r="L2869" s="452"/>
      <c r="M2869" s="527"/>
      <c r="N2869" s="451"/>
      <c r="O2869" s="531">
        <f>SUM(S2837:S2857)</f>
        <v>0</v>
      </c>
      <c r="P2869" s="459"/>
      <c r="Q2869" s="469"/>
      <c r="R2869" s="512" t="str">
        <f>R2857</f>
        <v>DELETE</v>
      </c>
      <c r="T2869" s="521"/>
    </row>
    <row r="2870" spans="2:22" ht="31.5" customHeight="1" x14ac:dyDescent="0.45">
      <c r="B2870" s="468"/>
      <c r="C2870" s="450"/>
      <c r="J2870" s="451"/>
      <c r="K2870" s="451"/>
      <c r="L2870" s="452"/>
      <c r="M2870" s="527"/>
      <c r="N2870" s="451"/>
      <c r="O2870" s="531"/>
      <c r="P2870" s="459"/>
      <c r="Q2870" s="469"/>
      <c r="R2870" s="512" t="str">
        <f>R2869</f>
        <v>DELETE</v>
      </c>
      <c r="T2870" s="521"/>
    </row>
    <row r="2871" spans="2:22" ht="31.5" customHeight="1" x14ac:dyDescent="0.45">
      <c r="B2871" s="468"/>
      <c r="C2871" s="450" t="s">
        <v>1416</v>
      </c>
      <c r="J2871" s="451"/>
      <c r="K2871" s="451"/>
      <c r="L2871" s="452"/>
      <c r="M2871" s="527"/>
      <c r="N2871" s="451"/>
      <c r="O2871" s="531">
        <f>SUM(O2873:O2901)</f>
        <v>0</v>
      </c>
      <c r="P2871" s="459"/>
      <c r="Q2871" s="469"/>
      <c r="R2871" s="512" t="str">
        <f t="shared" ref="R2871" si="218">IF(R$2825="DELETE","DELETE",IF(O2871=0,"DELETE"," "))</f>
        <v>DELETE</v>
      </c>
      <c r="S2871" s="517">
        <f>-O2871</f>
        <v>0</v>
      </c>
      <c r="T2871" s="521"/>
      <c r="U2871" s="517"/>
      <c r="V2871" s="517"/>
    </row>
    <row r="2872" spans="2:22" ht="9" customHeight="1" x14ac:dyDescent="0.45">
      <c r="B2872" s="468"/>
      <c r="C2872" s="450"/>
      <c r="J2872" s="451"/>
      <c r="K2872" s="451"/>
      <c r="L2872" s="452"/>
      <c r="M2872" s="527"/>
      <c r="N2872" s="451"/>
      <c r="O2872" s="531"/>
      <c r="P2872" s="459"/>
      <c r="Q2872" s="469"/>
      <c r="R2872" s="512" t="str">
        <f>R2871</f>
        <v>DELETE</v>
      </c>
      <c r="T2872" s="521"/>
    </row>
    <row r="2873" spans="2:22" ht="9" customHeight="1" x14ac:dyDescent="0.45">
      <c r="B2873" s="468"/>
      <c r="C2873" s="450"/>
      <c r="J2873" s="451"/>
      <c r="K2873" s="451"/>
      <c r="L2873" s="452"/>
      <c r="M2873" s="527"/>
      <c r="N2873" s="451"/>
      <c r="O2873" s="558"/>
      <c r="P2873" s="459"/>
      <c r="Q2873" s="469"/>
      <c r="R2873" s="512" t="str">
        <f>R2872</f>
        <v>DELETE</v>
      </c>
      <c r="T2873" s="521"/>
    </row>
    <row r="2874" spans="2:22" ht="31.5" customHeight="1" x14ac:dyDescent="0.45">
      <c r="B2874" s="468"/>
      <c r="C2874" s="450"/>
      <c r="D2874" s="449" t="s">
        <v>335</v>
      </c>
      <c r="J2874" s="451"/>
      <c r="K2874" s="451"/>
      <c r="L2874" s="452"/>
      <c r="M2874" s="527"/>
      <c r="N2874" s="451"/>
      <c r="O2874" s="559">
        <f>TrialBalanceA!I40</f>
        <v>0</v>
      </c>
      <c r="P2874" s="459"/>
      <c r="Q2874" s="469"/>
      <c r="R2874" s="512" t="str">
        <f t="shared" ref="R2874:R2900" si="219">IF(R$2825="DELETE","DELETE",IF(O2874=0,"DELETE"," "))</f>
        <v>DELETE</v>
      </c>
      <c r="T2874" s="521"/>
    </row>
    <row r="2875" spans="2:22" ht="31.5" customHeight="1" x14ac:dyDescent="0.45">
      <c r="B2875" s="468"/>
      <c r="C2875" s="450"/>
      <c r="D2875" s="449" t="s">
        <v>888</v>
      </c>
      <c r="J2875" s="451"/>
      <c r="K2875" s="451"/>
      <c r="L2875" s="452"/>
      <c r="M2875" s="527"/>
      <c r="N2875" s="451"/>
      <c r="O2875" s="559">
        <f>TrialBalanceA!I41</f>
        <v>0</v>
      </c>
      <c r="P2875" s="459"/>
      <c r="Q2875" s="469"/>
      <c r="R2875" s="512" t="str">
        <f t="shared" si="219"/>
        <v>DELETE</v>
      </c>
      <c r="T2875" s="521"/>
    </row>
    <row r="2876" spans="2:22" ht="31.5" customHeight="1" x14ac:dyDescent="0.45">
      <c r="B2876" s="468"/>
      <c r="C2876" s="450"/>
      <c r="D2876" s="449" t="s">
        <v>336</v>
      </c>
      <c r="J2876" s="451"/>
      <c r="K2876" s="451"/>
      <c r="L2876" s="452"/>
      <c r="M2876" s="527"/>
      <c r="N2876" s="451"/>
      <c r="O2876" s="559">
        <f>TrialBalanceA!I42</f>
        <v>0</v>
      </c>
      <c r="P2876" s="459"/>
      <c r="Q2876" s="469"/>
      <c r="R2876" s="512" t="str">
        <f t="shared" si="219"/>
        <v>DELETE</v>
      </c>
      <c r="T2876" s="521"/>
    </row>
    <row r="2877" spans="2:22" ht="31.5" customHeight="1" x14ac:dyDescent="0.45">
      <c r="B2877" s="468"/>
      <c r="C2877" s="450"/>
      <c r="D2877" s="449" t="s">
        <v>337</v>
      </c>
      <c r="J2877" s="451"/>
      <c r="K2877" s="451">
        <f>C$1164</f>
        <v>4.2999999999999989</v>
      </c>
      <c r="L2877" s="452"/>
      <c r="M2877" s="527"/>
      <c r="N2877" s="451"/>
      <c r="O2877" s="559">
        <f>SUM(TrialBalanceA!I44:I46)</f>
        <v>0</v>
      </c>
      <c r="P2877" s="459"/>
      <c r="Q2877" s="469"/>
      <c r="R2877" s="512" t="str">
        <f t="shared" si="219"/>
        <v>DELETE</v>
      </c>
      <c r="T2877" s="521"/>
    </row>
    <row r="2878" spans="2:22" ht="31.5" customHeight="1" x14ac:dyDescent="0.45">
      <c r="B2878" s="468"/>
      <c r="C2878" s="450"/>
      <c r="D2878" s="449" t="s">
        <v>610</v>
      </c>
      <c r="J2878" s="451"/>
      <c r="K2878" s="451"/>
      <c r="L2878" s="452"/>
      <c r="M2878" s="527"/>
      <c r="N2878" s="451"/>
      <c r="O2878" s="559">
        <f>TrialBalanceA!I47</f>
        <v>0</v>
      </c>
      <c r="P2878" s="459"/>
      <c r="Q2878" s="469"/>
      <c r="R2878" s="512" t="str">
        <f t="shared" si="219"/>
        <v>DELETE</v>
      </c>
      <c r="S2878" s="518"/>
      <c r="T2878" s="521"/>
      <c r="U2878" s="518"/>
      <c r="V2878" s="518"/>
    </row>
    <row r="2879" spans="2:22" ht="31.5" customHeight="1" x14ac:dyDescent="0.45">
      <c r="B2879" s="468"/>
      <c r="C2879" s="450"/>
      <c r="D2879" s="449" t="s">
        <v>933</v>
      </c>
      <c r="J2879" s="451"/>
      <c r="K2879" s="451"/>
      <c r="L2879" s="452"/>
      <c r="M2879" s="527"/>
      <c r="N2879" s="451"/>
      <c r="O2879" s="559">
        <f>TrialBalanceA!I48</f>
        <v>0</v>
      </c>
      <c r="P2879" s="459"/>
      <c r="Q2879" s="469"/>
      <c r="R2879" s="512" t="str">
        <f t="shared" si="219"/>
        <v>DELETE</v>
      </c>
      <c r="T2879" s="521"/>
    </row>
    <row r="2880" spans="2:22" ht="31.5" customHeight="1" x14ac:dyDescent="0.45">
      <c r="B2880" s="468"/>
      <c r="C2880" s="450"/>
      <c r="D2880" s="449" t="s">
        <v>74</v>
      </c>
      <c r="J2880" s="451"/>
      <c r="K2880" s="451"/>
      <c r="L2880" s="452"/>
      <c r="M2880" s="527"/>
      <c r="N2880" s="451"/>
      <c r="O2880" s="559">
        <f>TrialBalanceA!I49</f>
        <v>0</v>
      </c>
      <c r="P2880" s="459"/>
      <c r="Q2880" s="469"/>
      <c r="R2880" s="512" t="str">
        <f t="shared" si="219"/>
        <v>DELETE</v>
      </c>
      <c r="T2880" s="521"/>
    </row>
    <row r="2881" spans="2:20" ht="31.5" customHeight="1" x14ac:dyDescent="0.45">
      <c r="B2881" s="468"/>
      <c r="C2881" s="450"/>
      <c r="D2881" s="449" t="s">
        <v>338</v>
      </c>
      <c r="J2881" s="451"/>
      <c r="K2881" s="451"/>
      <c r="L2881" s="452"/>
      <c r="M2881" s="527"/>
      <c r="N2881" s="451"/>
      <c r="O2881" s="559">
        <f>TrialBalanceA!I50</f>
        <v>0</v>
      </c>
      <c r="P2881" s="459"/>
      <c r="Q2881" s="469"/>
      <c r="R2881" s="512" t="str">
        <f t="shared" si="219"/>
        <v>DELETE</v>
      </c>
      <c r="T2881" s="521"/>
    </row>
    <row r="2882" spans="2:20" ht="31.5" customHeight="1" x14ac:dyDescent="0.45">
      <c r="B2882" s="468"/>
      <c r="C2882" s="450"/>
      <c r="D2882" s="449" t="s">
        <v>632</v>
      </c>
      <c r="J2882" s="451"/>
      <c r="K2882" s="451"/>
      <c r="L2882" s="452"/>
      <c r="M2882" s="527"/>
      <c r="N2882" s="451"/>
      <c r="O2882" s="559">
        <f>SUM(TrialBalanceA!I51:I52)</f>
        <v>0</v>
      </c>
      <c r="P2882" s="459"/>
      <c r="Q2882" s="469"/>
      <c r="R2882" s="512" t="str">
        <f t="shared" si="219"/>
        <v>DELETE</v>
      </c>
      <c r="T2882" s="521"/>
    </row>
    <row r="2883" spans="2:20" ht="31.5" customHeight="1" x14ac:dyDescent="0.45">
      <c r="B2883" s="468"/>
      <c r="C2883" s="450"/>
      <c r="D2883" s="449" t="s">
        <v>630</v>
      </c>
      <c r="J2883" s="451"/>
      <c r="K2883" s="451"/>
      <c r="L2883" s="452"/>
      <c r="M2883" s="527"/>
      <c r="N2883" s="451"/>
      <c r="O2883" s="559">
        <f>TrialBalanceA!I53</f>
        <v>0</v>
      </c>
      <c r="P2883" s="459"/>
      <c r="Q2883" s="469"/>
      <c r="R2883" s="512" t="str">
        <f t="shared" si="219"/>
        <v>DELETE</v>
      </c>
      <c r="T2883" s="521"/>
    </row>
    <row r="2884" spans="2:20" ht="31.5" customHeight="1" x14ac:dyDescent="0.45">
      <c r="B2884" s="468"/>
      <c r="C2884" s="450"/>
      <c r="D2884" s="449" t="s">
        <v>611</v>
      </c>
      <c r="J2884" s="451"/>
      <c r="K2884" s="451"/>
      <c r="L2884" s="452"/>
      <c r="M2884" s="527"/>
      <c r="N2884" s="451"/>
      <c r="O2884" s="559">
        <f>SUM(TrialBalanceA!I55:I59)</f>
        <v>0</v>
      </c>
      <c r="P2884" s="459"/>
      <c r="Q2884" s="469"/>
      <c r="R2884" s="512" t="str">
        <f t="shared" si="219"/>
        <v>DELETE</v>
      </c>
      <c r="T2884" s="521"/>
    </row>
    <row r="2885" spans="2:20" ht="31.5" customHeight="1" x14ac:dyDescent="0.45">
      <c r="B2885" s="468"/>
      <c r="C2885" s="450"/>
      <c r="D2885" s="449" t="s">
        <v>590</v>
      </c>
      <c r="J2885" s="451"/>
      <c r="K2885" s="451">
        <f>'FS2'!C$1132</f>
        <v>4.1999999999999993</v>
      </c>
      <c r="L2885" s="452"/>
      <c r="M2885" s="527"/>
      <c r="N2885" s="451"/>
      <c r="O2885" s="559">
        <f>SUM(TrialBalanceA!I61:I63)</f>
        <v>0</v>
      </c>
      <c r="P2885" s="459"/>
      <c r="Q2885" s="469"/>
      <c r="R2885" s="512" t="str">
        <f t="shared" si="219"/>
        <v>DELETE</v>
      </c>
      <c r="T2885" s="521"/>
    </row>
    <row r="2886" spans="2:20" ht="31.5" customHeight="1" x14ac:dyDescent="0.45">
      <c r="B2886" s="468"/>
      <c r="C2886" s="450"/>
      <c r="D2886" s="449" t="s">
        <v>82</v>
      </c>
      <c r="J2886" s="451"/>
      <c r="K2886" s="451"/>
      <c r="L2886" s="452"/>
      <c r="M2886" s="527"/>
      <c r="N2886" s="451"/>
      <c r="O2886" s="559">
        <f>TrialBalanceA!I64</f>
        <v>0</v>
      </c>
      <c r="P2886" s="459"/>
      <c r="Q2886" s="469"/>
      <c r="R2886" s="512" t="str">
        <f t="shared" si="219"/>
        <v>DELETE</v>
      </c>
      <c r="T2886" s="521"/>
    </row>
    <row r="2887" spans="2:20" ht="31.5" customHeight="1" x14ac:dyDescent="0.45">
      <c r="B2887" s="468"/>
      <c r="C2887" s="450"/>
      <c r="D2887" s="449" t="s">
        <v>309</v>
      </c>
      <c r="J2887" s="451"/>
      <c r="K2887" s="451"/>
      <c r="L2887" s="452"/>
      <c r="M2887" s="527"/>
      <c r="N2887" s="451"/>
      <c r="O2887" s="559">
        <f>SUM(TrialBalanceA!I65:I67)</f>
        <v>0</v>
      </c>
      <c r="P2887" s="459"/>
      <c r="Q2887" s="469"/>
      <c r="R2887" s="512" t="str">
        <f t="shared" si="219"/>
        <v>DELETE</v>
      </c>
      <c r="T2887" s="521"/>
    </row>
    <row r="2888" spans="2:20" ht="31.5" customHeight="1" x14ac:dyDescent="0.45">
      <c r="B2888" s="468"/>
      <c r="C2888" s="450"/>
      <c r="D2888" s="449" t="s">
        <v>934</v>
      </c>
      <c r="J2888" s="451"/>
      <c r="K2888" s="451"/>
      <c r="L2888" s="452"/>
      <c r="M2888" s="527"/>
      <c r="N2888" s="451"/>
      <c r="O2888" s="559">
        <f>SUM(TrialBalanceA!I68:I69)</f>
        <v>0</v>
      </c>
      <c r="P2888" s="459"/>
      <c r="Q2888" s="469"/>
      <c r="R2888" s="512" t="str">
        <f t="shared" si="219"/>
        <v>DELETE</v>
      </c>
      <c r="T2888" s="521"/>
    </row>
    <row r="2889" spans="2:20" ht="31.5" customHeight="1" x14ac:dyDescent="0.45">
      <c r="B2889" s="468"/>
      <c r="C2889" s="450"/>
      <c r="D2889" s="449" t="s">
        <v>310</v>
      </c>
      <c r="J2889" s="451"/>
      <c r="K2889" s="451"/>
      <c r="L2889" s="452"/>
      <c r="M2889" s="527"/>
      <c r="N2889" s="451"/>
      <c r="O2889" s="559">
        <f>TrialBalanceA!I70</f>
        <v>0</v>
      </c>
      <c r="P2889" s="459"/>
      <c r="Q2889" s="469"/>
      <c r="R2889" s="512" t="str">
        <f t="shared" si="219"/>
        <v>DELETE</v>
      </c>
      <c r="T2889" s="521"/>
    </row>
    <row r="2890" spans="2:20" ht="31.5" customHeight="1" x14ac:dyDescent="0.45">
      <c r="B2890" s="468"/>
      <c r="C2890" s="450"/>
      <c r="D2890" s="449" t="s">
        <v>461</v>
      </c>
      <c r="J2890" s="451"/>
      <c r="K2890" s="451"/>
      <c r="L2890" s="452"/>
      <c r="M2890" s="527"/>
      <c r="N2890" s="451"/>
      <c r="O2890" s="559">
        <f>TrialBalanceA!I71</f>
        <v>0</v>
      </c>
      <c r="P2890" s="459"/>
      <c r="Q2890" s="469"/>
      <c r="R2890" s="512" t="str">
        <f t="shared" si="219"/>
        <v>DELETE</v>
      </c>
      <c r="T2890" s="521"/>
    </row>
    <row r="2891" spans="2:20" ht="31.5" customHeight="1" x14ac:dyDescent="0.45">
      <c r="B2891" s="468"/>
      <c r="C2891" s="450"/>
      <c r="D2891" s="449">
        <f>TrialBalanceA!C72</f>
        <v>0</v>
      </c>
      <c r="J2891" s="451"/>
      <c r="K2891" s="451"/>
      <c r="L2891" s="452"/>
      <c r="M2891" s="527"/>
      <c r="N2891" s="451"/>
      <c r="O2891" s="559">
        <f>TrialBalanceA!I72</f>
        <v>0</v>
      </c>
      <c r="P2891" s="459"/>
      <c r="Q2891" s="469"/>
      <c r="R2891" s="512" t="str">
        <f t="shared" si="219"/>
        <v>DELETE</v>
      </c>
      <c r="T2891" s="521"/>
    </row>
    <row r="2892" spans="2:20" ht="31.5" customHeight="1" x14ac:dyDescent="0.45">
      <c r="B2892" s="468"/>
      <c r="C2892" s="450"/>
      <c r="D2892" s="449">
        <f>TrialBalanceA!C73</f>
        <v>0</v>
      </c>
      <c r="J2892" s="451"/>
      <c r="K2892" s="451"/>
      <c r="L2892" s="452"/>
      <c r="M2892" s="527"/>
      <c r="N2892" s="451"/>
      <c r="O2892" s="559">
        <f>TrialBalanceA!I73</f>
        <v>0</v>
      </c>
      <c r="P2892" s="459"/>
      <c r="Q2892" s="469"/>
      <c r="R2892" s="512" t="str">
        <f t="shared" si="219"/>
        <v>DELETE</v>
      </c>
      <c r="T2892" s="521"/>
    </row>
    <row r="2893" spans="2:20" ht="31.5" customHeight="1" x14ac:dyDescent="0.45">
      <c r="B2893" s="468"/>
      <c r="C2893" s="450"/>
      <c r="D2893" s="449">
        <f>TrialBalanceA!C74</f>
        <v>0</v>
      </c>
      <c r="J2893" s="451"/>
      <c r="K2893" s="451"/>
      <c r="L2893" s="452"/>
      <c r="M2893" s="527"/>
      <c r="N2893" s="451"/>
      <c r="O2893" s="559">
        <f>TrialBalanceA!I74</f>
        <v>0</v>
      </c>
      <c r="P2893" s="459"/>
      <c r="Q2893" s="469"/>
      <c r="R2893" s="512" t="str">
        <f t="shared" si="219"/>
        <v>DELETE</v>
      </c>
      <c r="T2893" s="521"/>
    </row>
    <row r="2894" spans="2:20" ht="31.5" customHeight="1" x14ac:dyDescent="0.45">
      <c r="B2894" s="468"/>
      <c r="C2894" s="450"/>
      <c r="D2894" s="449">
        <f>TrialBalanceA!C75</f>
        <v>0</v>
      </c>
      <c r="J2894" s="451"/>
      <c r="K2894" s="451"/>
      <c r="L2894" s="452"/>
      <c r="M2894" s="527"/>
      <c r="N2894" s="451"/>
      <c r="O2894" s="559">
        <f>TrialBalanceA!I75</f>
        <v>0</v>
      </c>
      <c r="P2894" s="459"/>
      <c r="Q2894" s="469"/>
      <c r="R2894" s="512" t="str">
        <f t="shared" si="219"/>
        <v>DELETE</v>
      </c>
      <c r="T2894" s="521"/>
    </row>
    <row r="2895" spans="2:20" ht="31.5" customHeight="1" x14ac:dyDescent="0.45">
      <c r="B2895" s="468"/>
      <c r="C2895" s="450"/>
      <c r="D2895" s="449">
        <f>TrialBalanceA!C76</f>
        <v>0</v>
      </c>
      <c r="J2895" s="451"/>
      <c r="K2895" s="451"/>
      <c r="L2895" s="452"/>
      <c r="M2895" s="527"/>
      <c r="N2895" s="451"/>
      <c r="O2895" s="559">
        <f>TrialBalanceA!I76</f>
        <v>0</v>
      </c>
      <c r="P2895" s="459"/>
      <c r="Q2895" s="469"/>
      <c r="R2895" s="512" t="str">
        <f t="shared" si="219"/>
        <v>DELETE</v>
      </c>
      <c r="T2895" s="521"/>
    </row>
    <row r="2896" spans="2:20" ht="31.5" customHeight="1" x14ac:dyDescent="0.45">
      <c r="B2896" s="468"/>
      <c r="C2896" s="450"/>
      <c r="D2896" s="449">
        <f>TrialBalanceA!C77</f>
        <v>0</v>
      </c>
      <c r="J2896" s="451"/>
      <c r="K2896" s="451"/>
      <c r="L2896" s="452"/>
      <c r="M2896" s="527"/>
      <c r="N2896" s="451"/>
      <c r="O2896" s="559">
        <f>TrialBalanceA!I77</f>
        <v>0</v>
      </c>
      <c r="P2896" s="459"/>
      <c r="Q2896" s="469"/>
      <c r="R2896" s="512" t="str">
        <f t="shared" si="219"/>
        <v>DELETE</v>
      </c>
      <c r="T2896" s="521"/>
    </row>
    <row r="2897" spans="2:20" ht="31.5" customHeight="1" x14ac:dyDescent="0.45">
      <c r="B2897" s="468"/>
      <c r="C2897" s="450"/>
      <c r="D2897" s="449">
        <f>TrialBalanceA!C78</f>
        <v>0</v>
      </c>
      <c r="J2897" s="451"/>
      <c r="K2897" s="451"/>
      <c r="L2897" s="452"/>
      <c r="M2897" s="527"/>
      <c r="N2897" s="451"/>
      <c r="O2897" s="559">
        <f>TrialBalanceA!I78</f>
        <v>0</v>
      </c>
      <c r="P2897" s="459"/>
      <c r="Q2897" s="469"/>
      <c r="R2897" s="512" t="str">
        <f t="shared" si="219"/>
        <v>DELETE</v>
      </c>
      <c r="T2897" s="521"/>
    </row>
    <row r="2898" spans="2:20" ht="31.5" customHeight="1" x14ac:dyDescent="0.45">
      <c r="B2898" s="468"/>
      <c r="C2898" s="450"/>
      <c r="D2898" s="449">
        <f>TrialBalanceA!C79</f>
        <v>0</v>
      </c>
      <c r="J2898" s="451"/>
      <c r="K2898" s="451"/>
      <c r="L2898" s="452"/>
      <c r="M2898" s="527"/>
      <c r="N2898" s="451"/>
      <c r="O2898" s="559">
        <f>TrialBalanceA!I79</f>
        <v>0</v>
      </c>
      <c r="P2898" s="459"/>
      <c r="Q2898" s="469"/>
      <c r="R2898" s="512" t="str">
        <f t="shared" si="219"/>
        <v>DELETE</v>
      </c>
      <c r="T2898" s="521"/>
    </row>
    <row r="2899" spans="2:20" ht="31.5" customHeight="1" x14ac:dyDescent="0.45">
      <c r="B2899" s="468"/>
      <c r="C2899" s="450"/>
      <c r="D2899" s="449">
        <f>TrialBalanceA!C80</f>
        <v>0</v>
      </c>
      <c r="J2899" s="451"/>
      <c r="K2899" s="451"/>
      <c r="L2899" s="452"/>
      <c r="M2899" s="527"/>
      <c r="N2899" s="451"/>
      <c r="O2899" s="559">
        <f>TrialBalanceA!I80</f>
        <v>0</v>
      </c>
      <c r="P2899" s="459"/>
      <c r="Q2899" s="469"/>
      <c r="R2899" s="512" t="str">
        <f t="shared" si="219"/>
        <v>DELETE</v>
      </c>
      <c r="T2899" s="521"/>
    </row>
    <row r="2900" spans="2:20" ht="31.5" customHeight="1" x14ac:dyDescent="0.45">
      <c r="B2900" s="468"/>
      <c r="C2900" s="450"/>
      <c r="D2900" s="449">
        <f>TrialBalanceA!C81</f>
        <v>0</v>
      </c>
      <c r="J2900" s="451"/>
      <c r="K2900" s="451"/>
      <c r="L2900" s="452"/>
      <c r="M2900" s="527"/>
      <c r="N2900" s="451"/>
      <c r="O2900" s="559">
        <f>TrialBalanceA!I81</f>
        <v>0</v>
      </c>
      <c r="P2900" s="459"/>
      <c r="Q2900" s="469"/>
      <c r="R2900" s="512" t="str">
        <f t="shared" si="219"/>
        <v>DELETE</v>
      </c>
      <c r="T2900" s="521"/>
    </row>
    <row r="2901" spans="2:20" ht="9" customHeight="1" x14ac:dyDescent="0.45">
      <c r="B2901" s="468"/>
      <c r="C2901" s="450"/>
      <c r="J2901" s="451"/>
      <c r="K2901" s="451"/>
      <c r="L2901" s="452"/>
      <c r="M2901" s="527"/>
      <c r="N2901" s="451"/>
      <c r="O2901" s="560"/>
      <c r="P2901" s="459"/>
      <c r="Q2901" s="469"/>
      <c r="R2901" s="512" t="str">
        <f>R2871</f>
        <v>DELETE</v>
      </c>
      <c r="T2901" s="521"/>
    </row>
    <row r="2902" spans="2:20" ht="9" customHeight="1" x14ac:dyDescent="0.45">
      <c r="B2902" s="468"/>
      <c r="C2902" s="450"/>
      <c r="J2902" s="451"/>
      <c r="K2902" s="451"/>
      <c r="L2902" s="452"/>
      <c r="M2902" s="527"/>
      <c r="N2902" s="451"/>
      <c r="O2902" s="535"/>
      <c r="P2902" s="459"/>
      <c r="Q2902" s="469"/>
      <c r="R2902" s="512" t="str">
        <f t="shared" ref="R2902:R2922" si="220">R$2825</f>
        <v>DELETE</v>
      </c>
      <c r="T2902" s="521"/>
    </row>
    <row r="2903" spans="2:20" ht="9" customHeight="1" x14ac:dyDescent="0.45">
      <c r="B2903" s="468"/>
      <c r="C2903" s="450"/>
      <c r="J2903" s="451"/>
      <c r="K2903" s="451"/>
      <c r="L2903" s="452"/>
      <c r="M2903" s="527"/>
      <c r="N2903" s="451"/>
      <c r="O2903" s="531"/>
      <c r="P2903" s="459"/>
      <c r="Q2903" s="469"/>
      <c r="R2903" s="512" t="str">
        <f t="shared" si="220"/>
        <v>DELETE</v>
      </c>
      <c r="T2903" s="521"/>
    </row>
    <row r="2904" spans="2:20" ht="27.75" customHeight="1" x14ac:dyDescent="0.45">
      <c r="B2904" s="468"/>
      <c r="C2904" s="492" t="str">
        <f>IF(O2904&lt;0,"OPERATING LOSS","OPERATING PROFIT")</f>
        <v>OPERATING PROFIT</v>
      </c>
      <c r="J2904" s="451"/>
      <c r="K2904" s="451"/>
      <c r="L2904" s="452"/>
      <c r="M2904" s="527"/>
      <c r="N2904" s="451"/>
      <c r="O2904" s="531">
        <f>SUM(S2837:S2902)</f>
        <v>0</v>
      </c>
      <c r="P2904" s="459"/>
      <c r="Q2904" s="469"/>
      <c r="R2904" s="512" t="str">
        <f t="shared" si="220"/>
        <v>DELETE</v>
      </c>
      <c r="T2904" s="521"/>
    </row>
    <row r="2905" spans="2:20" ht="31.5" customHeight="1" x14ac:dyDescent="0.45">
      <c r="B2905" s="468"/>
      <c r="C2905" s="450"/>
      <c r="D2905" s="449" t="s">
        <v>312</v>
      </c>
      <c r="J2905" s="451"/>
      <c r="K2905" s="451"/>
      <c r="L2905" s="452"/>
      <c r="M2905" s="527"/>
      <c r="N2905" s="451"/>
      <c r="O2905" s="531"/>
      <c r="P2905" s="459"/>
      <c r="Q2905" s="469"/>
      <c r="R2905" s="512" t="str">
        <f t="shared" si="220"/>
        <v>DELETE</v>
      </c>
      <c r="T2905" s="521"/>
    </row>
    <row r="2906" spans="2:20" ht="31.5" customHeight="1" x14ac:dyDescent="0.45">
      <c r="B2906" s="468"/>
      <c r="C2906" s="450"/>
      <c r="J2906" s="451"/>
      <c r="K2906" s="451"/>
      <c r="L2906" s="451"/>
      <c r="M2906" s="531"/>
      <c r="N2906" s="470"/>
      <c r="O2906" s="531"/>
      <c r="P2906" s="459"/>
      <c r="Q2906" s="469"/>
      <c r="R2906" s="512" t="str">
        <f t="shared" si="220"/>
        <v>DELETE</v>
      </c>
      <c r="T2906" s="521"/>
    </row>
    <row r="2907" spans="2:20" ht="31.5" customHeight="1" x14ac:dyDescent="0.45">
      <c r="B2907" s="468"/>
      <c r="C2907" s="450"/>
      <c r="J2907" s="451"/>
      <c r="K2907" s="451"/>
      <c r="L2907" s="451"/>
      <c r="M2907" s="531"/>
      <c r="N2907" s="470"/>
      <c r="O2907" s="531"/>
      <c r="P2907" s="459"/>
      <c r="Q2907" s="469"/>
      <c r="R2907" s="512" t="str">
        <f t="shared" si="220"/>
        <v>DELETE</v>
      </c>
      <c r="T2907" s="521"/>
    </row>
    <row r="2908" spans="2:20" ht="31.5" customHeight="1" x14ac:dyDescent="0.45">
      <c r="B2908" s="477"/>
      <c r="C2908" s="502"/>
      <c r="D2908" s="461"/>
      <c r="E2908" s="461"/>
      <c r="F2908" s="461"/>
      <c r="G2908" s="461"/>
      <c r="H2908" s="461"/>
      <c r="I2908" s="461"/>
      <c r="J2908" s="483"/>
      <c r="K2908" s="483"/>
      <c r="L2908" s="483"/>
      <c r="M2908" s="535"/>
      <c r="N2908" s="473"/>
      <c r="O2908" s="535"/>
      <c r="P2908" s="484"/>
      <c r="Q2908" s="479"/>
      <c r="R2908" s="512" t="str">
        <f t="shared" si="220"/>
        <v>DELETE</v>
      </c>
      <c r="T2908" s="521"/>
    </row>
    <row r="2909" spans="2:20" ht="31.5" customHeight="1" x14ac:dyDescent="0.45">
      <c r="C2909" s="450"/>
      <c r="J2909" s="451"/>
      <c r="K2909" s="451"/>
      <c r="L2909" s="451"/>
      <c r="M2909" s="531"/>
      <c r="N2909" s="470"/>
      <c r="O2909" s="531"/>
      <c r="P2909" s="459"/>
      <c r="R2909" s="512" t="str">
        <f t="shared" si="220"/>
        <v>DELETE</v>
      </c>
      <c r="T2909" s="521"/>
    </row>
    <row r="2910" spans="2:20" ht="31.5" customHeight="1" x14ac:dyDescent="0.45">
      <c r="C2910" s="450"/>
      <c r="J2910" s="451"/>
      <c r="K2910" s="451"/>
      <c r="L2910" s="451"/>
      <c r="M2910" s="531"/>
      <c r="N2910" s="470"/>
      <c r="O2910" s="531"/>
      <c r="P2910" s="459"/>
      <c r="R2910" s="512" t="str">
        <f t="shared" si="220"/>
        <v>DELETE</v>
      </c>
      <c r="T2910" s="521"/>
    </row>
    <row r="2911" spans="2:20" ht="31.5" customHeight="1" x14ac:dyDescent="0.45">
      <c r="C2911" s="450"/>
      <c r="D2911" s="450" t="str">
        <f>Criteria!E9</f>
        <v>ABC COMPANY (PROPRIETARY) LIMITED</v>
      </c>
      <c r="J2911" s="451"/>
      <c r="K2911" s="451"/>
      <c r="L2911" s="451"/>
      <c r="M2911" s="531"/>
      <c r="N2911" s="470"/>
      <c r="O2911" s="531" t="s">
        <v>121</v>
      </c>
      <c r="P2911" s="459"/>
      <c r="Q2911" s="451">
        <f>MAX($Q$2828:Q2910)+1</f>
        <v>2</v>
      </c>
      <c r="R2911" s="512" t="str">
        <f t="shared" si="220"/>
        <v>DELETE</v>
      </c>
      <c r="T2911" s="521"/>
    </row>
    <row r="2912" spans="2:20" ht="31.5" customHeight="1" x14ac:dyDescent="0.45">
      <c r="C2912" s="450"/>
      <c r="D2912" s="450" t="str">
        <f>CONCATENATE("T/A ",Criteria!E14)</f>
        <v>T/A SEAFRONT RESTAURANT</v>
      </c>
      <c r="J2912" s="451"/>
      <c r="K2912" s="451"/>
      <c r="L2912" s="451"/>
      <c r="M2912" s="531"/>
      <c r="N2912" s="470"/>
      <c r="O2912" s="531"/>
      <c r="P2912" s="459"/>
      <c r="R2912" s="512" t="str">
        <f t="shared" si="220"/>
        <v>DELETE</v>
      </c>
      <c r="T2912" s="521"/>
    </row>
    <row r="2913" spans="2:22" ht="31.5" customHeight="1" x14ac:dyDescent="0.45">
      <c r="C2913" s="450"/>
      <c r="J2913" s="451"/>
      <c r="K2913" s="451"/>
      <c r="L2913" s="451"/>
      <c r="M2913" s="531"/>
      <c r="N2913" s="470"/>
      <c r="O2913" s="531"/>
      <c r="P2913" s="459"/>
      <c r="R2913" s="512" t="str">
        <f t="shared" si="220"/>
        <v>DELETE</v>
      </c>
      <c r="T2913" s="521"/>
    </row>
    <row r="2914" spans="2:22" ht="31.5" customHeight="1" x14ac:dyDescent="0.45">
      <c r="C2914" s="450"/>
      <c r="D2914" s="450" t="s">
        <v>115</v>
      </c>
      <c r="J2914" s="451"/>
      <c r="K2914" s="451"/>
      <c r="L2914" s="451"/>
      <c r="M2914" s="531"/>
      <c r="N2914" s="470"/>
      <c r="O2914" s="531"/>
      <c r="P2914" s="459"/>
      <c r="R2914" s="512" t="str">
        <f t="shared" si="220"/>
        <v>DELETE</v>
      </c>
      <c r="T2914" s="521"/>
    </row>
    <row r="2915" spans="2:22" ht="31.5" customHeight="1" x14ac:dyDescent="0.45">
      <c r="C2915" s="450"/>
      <c r="D2915" s="450" t="str">
        <f>D2832</f>
        <v>29 FEBRUARY 2024</v>
      </c>
      <c r="H2915" s="449" t="s">
        <v>127</v>
      </c>
      <c r="J2915" s="451"/>
      <c r="K2915" s="451"/>
      <c r="L2915" s="451"/>
      <c r="M2915" s="531"/>
      <c r="N2915" s="470"/>
      <c r="O2915" s="531"/>
      <c r="P2915" s="459"/>
      <c r="R2915" s="512" t="str">
        <f t="shared" si="220"/>
        <v>DELETE</v>
      </c>
      <c r="T2915" s="521"/>
    </row>
    <row r="2916" spans="2:22" ht="31.5" customHeight="1" x14ac:dyDescent="0.45">
      <c r="C2916" s="450"/>
      <c r="J2916" s="451"/>
      <c r="K2916" s="483"/>
      <c r="L2916" s="483"/>
      <c r="M2916" s="535"/>
      <c r="N2916" s="473"/>
      <c r="O2916" s="535"/>
      <c r="P2916" s="459"/>
      <c r="R2916" s="512" t="str">
        <f t="shared" si="220"/>
        <v>DELETE</v>
      </c>
      <c r="T2916" s="521"/>
    </row>
    <row r="2917" spans="2:22" ht="31.5" customHeight="1" x14ac:dyDescent="0.45">
      <c r="B2917" s="465"/>
      <c r="C2917" s="503"/>
      <c r="D2917" s="466"/>
      <c r="E2917" s="466"/>
      <c r="F2917" s="466"/>
      <c r="G2917" s="466"/>
      <c r="H2917" s="466"/>
      <c r="I2917" s="466"/>
      <c r="J2917" s="511"/>
      <c r="M2917" s="635"/>
      <c r="N2917" s="621"/>
      <c r="O2917" s="635"/>
      <c r="P2917" s="506"/>
      <c r="Q2917" s="467"/>
      <c r="R2917" s="512" t="str">
        <f t="shared" si="220"/>
        <v>DELETE</v>
      </c>
      <c r="T2917" s="521"/>
    </row>
    <row r="2918" spans="2:22" ht="31.5" customHeight="1" x14ac:dyDescent="0.45">
      <c r="B2918" s="468"/>
      <c r="C2918" s="450"/>
      <c r="J2918" s="451"/>
      <c r="K2918" s="451"/>
      <c r="L2918" s="451"/>
      <c r="M2918" s="527"/>
      <c r="N2918" s="458"/>
      <c r="O2918" s="525">
        <f>Criteria!E22</f>
        <v>2024</v>
      </c>
      <c r="P2918" s="459"/>
      <c r="Q2918" s="469"/>
      <c r="R2918" s="512" t="str">
        <f t="shared" si="220"/>
        <v>DELETE</v>
      </c>
      <c r="T2918" s="521"/>
    </row>
    <row r="2919" spans="2:22" ht="31.5" customHeight="1" x14ac:dyDescent="0.45">
      <c r="B2919" s="468"/>
      <c r="C2919" s="450"/>
      <c r="J2919" s="451"/>
      <c r="K2919" s="451"/>
      <c r="L2919" s="451"/>
      <c r="M2919" s="531"/>
      <c r="N2919" s="470"/>
      <c r="O2919" s="531"/>
      <c r="P2919" s="459"/>
      <c r="Q2919" s="469"/>
      <c r="R2919" s="512" t="str">
        <f t="shared" si="220"/>
        <v>DELETE</v>
      </c>
      <c r="T2919" s="521"/>
    </row>
    <row r="2920" spans="2:22" ht="31.5" customHeight="1" x14ac:dyDescent="0.45">
      <c r="B2920" s="468"/>
      <c r="C2920" s="492" t="str">
        <f>IF(O2920&lt;0,"OPERATING LOSS","OPERATING PROFIT")</f>
        <v>OPERATING PROFIT</v>
      </c>
      <c r="J2920" s="451"/>
      <c r="K2920" s="451"/>
      <c r="L2920" s="452"/>
      <c r="M2920" s="527"/>
      <c r="N2920" s="451"/>
      <c r="O2920" s="531">
        <f>SUM(S2837:S2901)</f>
        <v>0</v>
      </c>
      <c r="P2920" s="459"/>
      <c r="Q2920" s="469"/>
      <c r="R2920" s="512" t="str">
        <f t="shared" si="220"/>
        <v>DELETE</v>
      </c>
      <c r="T2920" s="521"/>
      <c r="U2920" s="513" t="b">
        <f>O2920=O2904</f>
        <v>1</v>
      </c>
    </row>
    <row r="2921" spans="2:22" ht="31.5" customHeight="1" x14ac:dyDescent="0.45">
      <c r="B2921" s="468"/>
      <c r="C2921" s="450"/>
      <c r="D2921" s="449" t="s">
        <v>313</v>
      </c>
      <c r="J2921" s="451"/>
      <c r="K2921" s="451"/>
      <c r="L2921" s="452"/>
      <c r="M2921" s="527"/>
      <c r="N2921" s="451"/>
      <c r="O2921" s="531"/>
      <c r="P2921" s="459"/>
      <c r="Q2921" s="469"/>
      <c r="R2921" s="512" t="str">
        <f t="shared" si="220"/>
        <v>DELETE</v>
      </c>
      <c r="T2921" s="521"/>
    </row>
    <row r="2922" spans="2:22" ht="31.5" customHeight="1" x14ac:dyDescent="0.45">
      <c r="B2922" s="468"/>
      <c r="C2922" s="450"/>
      <c r="J2922" s="451"/>
      <c r="K2922" s="451"/>
      <c r="L2922" s="452"/>
      <c r="M2922" s="527"/>
      <c r="N2922" s="451"/>
      <c r="O2922" s="531"/>
      <c r="P2922" s="459"/>
      <c r="Q2922" s="469"/>
      <c r="R2922" s="512" t="str">
        <f t="shared" si="220"/>
        <v>DELETE</v>
      </c>
      <c r="T2922" s="521"/>
    </row>
    <row r="2923" spans="2:22" ht="31.5" customHeight="1" x14ac:dyDescent="0.45">
      <c r="B2923" s="468"/>
      <c r="C2923" s="450" t="s">
        <v>1307</v>
      </c>
      <c r="J2923" s="451"/>
      <c r="K2923" s="451"/>
      <c r="L2923" s="452"/>
      <c r="M2923" s="527"/>
      <c r="N2923" s="451"/>
      <c r="O2923" s="531">
        <f>SUM(O2926:O2959)</f>
        <v>0</v>
      </c>
      <c r="P2923" s="459"/>
      <c r="Q2923" s="469"/>
      <c r="R2923" s="512" t="str">
        <f t="shared" ref="R2923" si="221">IF(R$2825="DELETE","DELETE",IF(O2923=0,"DELETE"," "))</f>
        <v>DELETE</v>
      </c>
      <c r="S2923" s="517">
        <f>-O2923</f>
        <v>0</v>
      </c>
      <c r="T2923" s="521"/>
      <c r="U2923" s="517"/>
      <c r="V2923" s="517"/>
    </row>
    <row r="2924" spans="2:22" ht="9" customHeight="1" x14ac:dyDescent="0.45">
      <c r="B2924" s="468"/>
      <c r="C2924" s="450"/>
      <c r="J2924" s="451"/>
      <c r="K2924" s="451"/>
      <c r="L2924" s="452"/>
      <c r="M2924" s="527"/>
      <c r="N2924" s="451"/>
      <c r="O2924" s="531"/>
      <c r="P2924" s="459"/>
      <c r="Q2924" s="469"/>
      <c r="R2924" s="512" t="str">
        <f>R2923</f>
        <v>DELETE</v>
      </c>
      <c r="T2924" s="521"/>
    </row>
    <row r="2925" spans="2:22" ht="9" customHeight="1" x14ac:dyDescent="0.45">
      <c r="B2925" s="468"/>
      <c r="C2925" s="450"/>
      <c r="J2925" s="451"/>
      <c r="K2925" s="451"/>
      <c r="L2925" s="452"/>
      <c r="M2925" s="527"/>
      <c r="N2925" s="451"/>
      <c r="O2925" s="558"/>
      <c r="P2925" s="459"/>
      <c r="Q2925" s="469"/>
      <c r="R2925" s="512" t="str">
        <f>R2924</f>
        <v>DELETE</v>
      </c>
      <c r="T2925" s="521"/>
    </row>
    <row r="2926" spans="2:22" ht="31.5" customHeight="1" x14ac:dyDescent="0.45">
      <c r="B2926" s="468"/>
      <c r="C2926" s="450"/>
      <c r="D2926" s="449" t="s">
        <v>253</v>
      </c>
      <c r="J2926" s="451"/>
      <c r="K2926" s="451"/>
      <c r="L2926" s="452"/>
      <c r="M2926" s="527"/>
      <c r="N2926" s="451"/>
      <c r="O2926" s="559">
        <f>SUM(TrialBalanceA!I98:I101)</f>
        <v>0</v>
      </c>
      <c r="P2926" s="459"/>
      <c r="Q2926" s="469"/>
      <c r="R2926" s="512" t="str">
        <f t="shared" ref="R2926:R2957" si="222">IF(R$2825="DELETE","DELETE",IF(O2926=0,"DELETE"," "))</f>
        <v>DELETE</v>
      </c>
      <c r="T2926" s="521"/>
    </row>
    <row r="2927" spans="2:22" ht="31.5" customHeight="1" x14ac:dyDescent="0.45">
      <c r="B2927" s="468"/>
      <c r="C2927" s="450"/>
      <c r="D2927" s="449" t="s">
        <v>255</v>
      </c>
      <c r="J2927" s="451"/>
      <c r="K2927" s="451"/>
      <c r="L2927" s="452"/>
      <c r="M2927" s="527"/>
      <c r="N2927" s="451"/>
      <c r="O2927" s="559">
        <f>TrialBalanceA!I102</f>
        <v>0</v>
      </c>
      <c r="P2927" s="459"/>
      <c r="Q2927" s="469"/>
      <c r="R2927" s="512" t="str">
        <f t="shared" si="222"/>
        <v>DELETE</v>
      </c>
      <c r="T2927" s="521"/>
    </row>
    <row r="2928" spans="2:22" ht="31.5" customHeight="1" x14ac:dyDescent="0.45">
      <c r="B2928" s="468"/>
      <c r="C2928" s="450"/>
      <c r="D2928" s="449" t="s">
        <v>257</v>
      </c>
      <c r="J2928" s="451"/>
      <c r="K2928" s="451"/>
      <c r="L2928" s="452"/>
      <c r="M2928" s="527"/>
      <c r="N2928" s="451"/>
      <c r="O2928" s="559">
        <f>TrialBalanceA!I103</f>
        <v>0</v>
      </c>
      <c r="P2928" s="459"/>
      <c r="Q2928" s="469"/>
      <c r="R2928" s="512" t="str">
        <f t="shared" si="222"/>
        <v>DELETE</v>
      </c>
      <c r="T2928" s="521"/>
    </row>
    <row r="2929" spans="2:20" ht="31.5" customHeight="1" x14ac:dyDescent="0.45">
      <c r="B2929" s="468"/>
      <c r="C2929" s="450"/>
      <c r="D2929" s="449" t="s">
        <v>314</v>
      </c>
      <c r="J2929" s="451"/>
      <c r="K2929" s="451"/>
      <c r="L2929" s="452"/>
      <c r="M2929" s="527"/>
      <c r="N2929" s="451"/>
      <c r="O2929" s="559">
        <f>TrialBalanceA!I104</f>
        <v>0</v>
      </c>
      <c r="P2929" s="459"/>
      <c r="Q2929" s="469"/>
      <c r="R2929" s="512" t="str">
        <f t="shared" si="222"/>
        <v>DELETE</v>
      </c>
      <c r="T2929" s="521"/>
    </row>
    <row r="2930" spans="2:20" ht="31.5" customHeight="1" x14ac:dyDescent="0.45">
      <c r="B2930" s="468"/>
      <c r="C2930" s="450"/>
      <c r="D2930" s="449" t="s">
        <v>260</v>
      </c>
      <c r="J2930" s="451"/>
      <c r="K2930" s="451"/>
      <c r="L2930" s="452"/>
      <c r="M2930" s="527"/>
      <c r="N2930" s="451"/>
      <c r="O2930" s="559">
        <f>TrialBalanceA!I105</f>
        <v>0</v>
      </c>
      <c r="P2930" s="459"/>
      <c r="Q2930" s="469"/>
      <c r="R2930" s="512" t="str">
        <f t="shared" si="222"/>
        <v>DELETE</v>
      </c>
      <c r="T2930" s="521"/>
    </row>
    <row r="2931" spans="2:20" ht="31.5" customHeight="1" x14ac:dyDescent="0.45">
      <c r="B2931" s="468"/>
      <c r="C2931" s="450"/>
      <c r="D2931" s="449" t="s">
        <v>935</v>
      </c>
      <c r="J2931" s="451"/>
      <c r="K2931" s="451"/>
      <c r="L2931" s="452"/>
      <c r="M2931" s="527"/>
      <c r="N2931" s="451"/>
      <c r="O2931" s="559">
        <f>TrialBalanceA!I106</f>
        <v>0</v>
      </c>
      <c r="P2931" s="459"/>
      <c r="Q2931" s="469"/>
      <c r="R2931" s="512" t="str">
        <f t="shared" si="222"/>
        <v>DELETE</v>
      </c>
      <c r="T2931" s="521"/>
    </row>
    <row r="2932" spans="2:20" ht="31.5" customHeight="1" x14ac:dyDescent="0.45">
      <c r="B2932" s="468"/>
      <c r="C2932" s="450"/>
      <c r="D2932" s="449" t="s">
        <v>337</v>
      </c>
      <c r="J2932" s="451"/>
      <c r="K2932" s="451">
        <f>C$1164</f>
        <v>4.2999999999999989</v>
      </c>
      <c r="L2932" s="452"/>
      <c r="M2932" s="527"/>
      <c r="N2932" s="451"/>
      <c r="O2932" s="559">
        <f>SUM(TrialBalanceA!I108:I109)</f>
        <v>0</v>
      </c>
      <c r="P2932" s="459"/>
      <c r="Q2932" s="469"/>
      <c r="R2932" s="512" t="str">
        <f t="shared" si="222"/>
        <v>DELETE</v>
      </c>
      <c r="T2932" s="521"/>
    </row>
    <row r="2933" spans="2:20" ht="31.5" customHeight="1" x14ac:dyDescent="0.45">
      <c r="B2933" s="468"/>
      <c r="C2933" s="450"/>
      <c r="D2933" s="449" t="str">
        <f>IF(MAX(Criteria!I41:I45)&gt;1,"Directors' remuneration","Director's remuneration")</f>
        <v>Directors' remuneration</v>
      </c>
      <c r="J2933" s="451"/>
      <c r="K2933" s="451">
        <f>C$1105</f>
        <v>4.0999999999999996</v>
      </c>
      <c r="L2933" s="452"/>
      <c r="M2933" s="527"/>
      <c r="N2933" s="451"/>
      <c r="O2933" s="559">
        <f>SUM(TrialBalanceA!I111:I115)</f>
        <v>0</v>
      </c>
      <c r="P2933" s="459"/>
      <c r="Q2933" s="469"/>
      <c r="R2933" s="512" t="str">
        <f t="shared" si="222"/>
        <v>DELETE</v>
      </c>
      <c r="T2933" s="521"/>
    </row>
    <row r="2934" spans="2:20" ht="31.5" customHeight="1" x14ac:dyDescent="0.45">
      <c r="B2934" s="468"/>
      <c r="C2934" s="450"/>
      <c r="D2934" s="449" t="s">
        <v>315</v>
      </c>
      <c r="J2934" s="451"/>
      <c r="K2934" s="451"/>
      <c r="L2934" s="452"/>
      <c r="M2934" s="527"/>
      <c r="N2934" s="451"/>
      <c r="O2934" s="559">
        <f>TrialBalanceA!I116</f>
        <v>0</v>
      </c>
      <c r="P2934" s="459"/>
      <c r="Q2934" s="469"/>
      <c r="R2934" s="512" t="str">
        <f t="shared" si="222"/>
        <v>DELETE</v>
      </c>
      <c r="T2934" s="521"/>
    </row>
    <row r="2935" spans="2:20" ht="31.5" customHeight="1" x14ac:dyDescent="0.45">
      <c r="B2935" s="468"/>
      <c r="C2935" s="450"/>
      <c r="D2935" s="449" t="s">
        <v>443</v>
      </c>
      <c r="J2935" s="451"/>
      <c r="K2935" s="451"/>
      <c r="L2935" s="452"/>
      <c r="M2935" s="527"/>
      <c r="N2935" s="451"/>
      <c r="O2935" s="559">
        <f>TrialBalanceA!I117</f>
        <v>0</v>
      </c>
      <c r="P2935" s="459"/>
      <c r="Q2935" s="469"/>
      <c r="R2935" s="512" t="str">
        <f t="shared" si="222"/>
        <v>DELETE</v>
      </c>
      <c r="T2935" s="521"/>
    </row>
    <row r="2936" spans="2:20" ht="31.5" customHeight="1" x14ac:dyDescent="0.45">
      <c r="B2936" s="468"/>
      <c r="C2936" s="450"/>
      <c r="D2936" s="449" t="s">
        <v>392</v>
      </c>
      <c r="J2936" s="451"/>
      <c r="K2936" s="451"/>
      <c r="L2936" s="452"/>
      <c r="M2936" s="527"/>
      <c r="N2936" s="451"/>
      <c r="O2936" s="559">
        <f>TrialBalanceA!I118</f>
        <v>0</v>
      </c>
      <c r="P2936" s="459"/>
      <c r="Q2936" s="469"/>
      <c r="R2936" s="512" t="str">
        <f t="shared" si="222"/>
        <v>DELETE</v>
      </c>
      <c r="T2936" s="521"/>
    </row>
    <row r="2937" spans="2:20" ht="31.5" customHeight="1" x14ac:dyDescent="0.45">
      <c r="B2937" s="468"/>
      <c r="C2937" s="450"/>
      <c r="D2937" s="449" t="s">
        <v>445</v>
      </c>
      <c r="J2937" s="451"/>
      <c r="K2937" s="451"/>
      <c r="L2937" s="452"/>
      <c r="M2937" s="527"/>
      <c r="N2937" s="451"/>
      <c r="O2937" s="559">
        <f>TrialBalanceA!I119</f>
        <v>0</v>
      </c>
      <c r="P2937" s="459"/>
      <c r="Q2937" s="469"/>
      <c r="R2937" s="512" t="str">
        <f t="shared" si="222"/>
        <v>DELETE</v>
      </c>
      <c r="T2937" s="521"/>
    </row>
    <row r="2938" spans="2:20" ht="31.5" customHeight="1" x14ac:dyDescent="0.45">
      <c r="B2938" s="468"/>
      <c r="C2938" s="450"/>
      <c r="D2938" s="449" t="s">
        <v>1486</v>
      </c>
      <c r="J2938" s="451"/>
      <c r="K2938" s="451"/>
      <c r="L2938" s="452"/>
      <c r="M2938" s="527"/>
      <c r="N2938" s="451"/>
      <c r="O2938" s="559">
        <f>TrialBalanceA!I154</f>
        <v>0</v>
      </c>
      <c r="P2938" s="459"/>
      <c r="Q2938" s="469"/>
      <c r="R2938" s="512" t="str">
        <f>IF(R$2825="DELETE","DELETE",IF(O2938=0,"DELETE"," "))</f>
        <v>DELETE</v>
      </c>
      <c r="T2938" s="521"/>
    </row>
    <row r="2939" spans="2:20" ht="31.5" customHeight="1" x14ac:dyDescent="0.45">
      <c r="B2939" s="468"/>
      <c r="C2939" s="450"/>
      <c r="D2939" s="449" t="s">
        <v>605</v>
      </c>
      <c r="J2939" s="451"/>
      <c r="K2939" s="451"/>
      <c r="L2939" s="452"/>
      <c r="M2939" s="527"/>
      <c r="N2939" s="451"/>
      <c r="O2939" s="559">
        <f>TrialBalanceA!I120+TrialBalanceA!I121</f>
        <v>0</v>
      </c>
      <c r="P2939" s="459"/>
      <c r="Q2939" s="469"/>
      <c r="R2939" s="512" t="str">
        <f t="shared" si="222"/>
        <v>DELETE</v>
      </c>
      <c r="T2939" s="521"/>
    </row>
    <row r="2940" spans="2:20" ht="31.5" customHeight="1" x14ac:dyDescent="0.45">
      <c r="B2940" s="468"/>
      <c r="C2940" s="450"/>
      <c r="D2940" s="449" t="s">
        <v>633</v>
      </c>
      <c r="J2940" s="451"/>
      <c r="K2940" s="451"/>
      <c r="L2940" s="452"/>
      <c r="M2940" s="527"/>
      <c r="N2940" s="451"/>
      <c r="O2940" s="559">
        <f>IF(TrialBalanceA!I93&gt;0,TrialBalanceA!I93,0)</f>
        <v>0</v>
      </c>
      <c r="P2940" s="459"/>
      <c r="Q2940" s="469"/>
      <c r="R2940" s="512" t="str">
        <f>IF(R$2825="DELETE","DELETE",IF(O2940=0,"DELETE"," "))</f>
        <v>DELETE</v>
      </c>
      <c r="T2940" s="521"/>
    </row>
    <row r="2941" spans="2:20" ht="31.5" customHeight="1" x14ac:dyDescent="0.45">
      <c r="B2941" s="468"/>
      <c r="C2941" s="450"/>
      <c r="D2941" s="449" t="s">
        <v>936</v>
      </c>
      <c r="J2941" s="451"/>
      <c r="K2941" s="451"/>
      <c r="L2941" s="452"/>
      <c r="M2941" s="527"/>
      <c r="N2941" s="451"/>
      <c r="O2941" s="559">
        <f>TrialBalanceA!I122</f>
        <v>0</v>
      </c>
      <c r="P2941" s="459"/>
      <c r="Q2941" s="469"/>
      <c r="R2941" s="512" t="str">
        <f t="shared" si="222"/>
        <v>DELETE</v>
      </c>
      <c r="T2941" s="521"/>
    </row>
    <row r="2942" spans="2:20" ht="31.5" customHeight="1" x14ac:dyDescent="0.45">
      <c r="B2942" s="468"/>
      <c r="C2942" s="450"/>
      <c r="D2942" s="449" t="s">
        <v>316</v>
      </c>
      <c r="J2942" s="451"/>
      <c r="K2942" s="451"/>
      <c r="L2942" s="452"/>
      <c r="M2942" s="527"/>
      <c r="N2942" s="451"/>
      <c r="O2942" s="559">
        <f>TrialBalanceA!I123</f>
        <v>0</v>
      </c>
      <c r="P2942" s="459"/>
      <c r="Q2942" s="469"/>
      <c r="R2942" s="512" t="str">
        <f t="shared" si="222"/>
        <v>DELETE</v>
      </c>
      <c r="T2942" s="521"/>
    </row>
    <row r="2943" spans="2:20" ht="31.5" customHeight="1" x14ac:dyDescent="0.45">
      <c r="B2943" s="468"/>
      <c r="C2943" s="450"/>
      <c r="D2943" s="449" t="s">
        <v>1554</v>
      </c>
      <c r="J2943" s="451"/>
      <c r="K2943" s="451"/>
      <c r="L2943" s="452"/>
      <c r="M2943" s="527"/>
      <c r="N2943" s="451"/>
      <c r="O2943" s="559">
        <f>TrialBalanceA!I155</f>
        <v>0</v>
      </c>
      <c r="P2943" s="459"/>
      <c r="Q2943" s="469"/>
      <c r="R2943" s="512" t="str">
        <f t="shared" si="222"/>
        <v>DELETE</v>
      </c>
      <c r="T2943" s="521"/>
    </row>
    <row r="2944" spans="2:20" ht="31.5" customHeight="1" x14ac:dyDescent="0.45">
      <c r="B2944" s="468"/>
      <c r="C2944" s="450"/>
      <c r="D2944" s="449" t="s">
        <v>309</v>
      </c>
      <c r="J2944" s="451"/>
      <c r="K2944" s="451"/>
      <c r="L2944" s="452"/>
      <c r="M2944" s="527"/>
      <c r="N2944" s="451"/>
      <c r="O2944" s="559">
        <f>SUM(TrialBalanceA!I124:I125)</f>
        <v>0</v>
      </c>
      <c r="P2944" s="459"/>
      <c r="Q2944" s="469"/>
      <c r="R2944" s="512" t="str">
        <f t="shared" si="222"/>
        <v>DELETE</v>
      </c>
      <c r="T2944" s="521"/>
    </row>
    <row r="2945" spans="2:20" ht="31.5" customHeight="1" x14ac:dyDescent="0.45">
      <c r="B2945" s="468"/>
      <c r="C2945" s="450"/>
      <c r="D2945" s="449" t="s">
        <v>317</v>
      </c>
      <c r="J2945" s="451"/>
      <c r="K2945" s="451"/>
      <c r="L2945" s="452"/>
      <c r="M2945" s="527"/>
      <c r="N2945" s="451"/>
      <c r="O2945" s="559">
        <f>TrialBalanceA!I126</f>
        <v>0</v>
      </c>
      <c r="P2945" s="459"/>
      <c r="Q2945" s="469"/>
      <c r="R2945" s="512" t="str">
        <f t="shared" si="222"/>
        <v>DELETE</v>
      </c>
      <c r="T2945" s="521"/>
    </row>
    <row r="2946" spans="2:20" ht="31.5" customHeight="1" x14ac:dyDescent="0.45">
      <c r="B2946" s="468"/>
      <c r="C2946" s="450"/>
      <c r="D2946" s="449" t="s">
        <v>937</v>
      </c>
      <c r="J2946" s="451"/>
      <c r="K2946" s="451"/>
      <c r="L2946" s="452"/>
      <c r="M2946" s="527"/>
      <c r="N2946" s="451"/>
      <c r="O2946" s="559">
        <f>TrialBalanceA!I127</f>
        <v>0</v>
      </c>
      <c r="P2946" s="459"/>
      <c r="Q2946" s="469"/>
      <c r="R2946" s="512" t="str">
        <f t="shared" si="222"/>
        <v>DELETE</v>
      </c>
      <c r="T2946" s="521"/>
    </row>
    <row r="2947" spans="2:20" ht="31.5" customHeight="1" x14ac:dyDescent="0.45">
      <c r="B2947" s="468"/>
      <c r="C2947" s="450"/>
      <c r="D2947" s="449" t="s">
        <v>99</v>
      </c>
      <c r="J2947" s="451"/>
      <c r="K2947" s="451"/>
      <c r="L2947" s="452"/>
      <c r="M2947" s="527"/>
      <c r="N2947" s="451"/>
      <c r="O2947" s="559">
        <f>TrialBalanceA!I128</f>
        <v>0</v>
      </c>
      <c r="P2947" s="459"/>
      <c r="Q2947" s="469"/>
      <c r="R2947" s="512" t="str">
        <f t="shared" si="222"/>
        <v>DELETE</v>
      </c>
      <c r="T2947" s="521"/>
    </row>
    <row r="2948" spans="2:20" ht="31.5" customHeight="1" x14ac:dyDescent="0.45">
      <c r="B2948" s="468"/>
      <c r="C2948" s="450"/>
      <c r="D2948" s="449">
        <f>TrialBalanceA!C129</f>
        <v>0</v>
      </c>
      <c r="J2948" s="451"/>
      <c r="K2948" s="451"/>
      <c r="L2948" s="452"/>
      <c r="M2948" s="527"/>
      <c r="N2948" s="451"/>
      <c r="O2948" s="559">
        <f>TrialBalanceA!I129</f>
        <v>0</v>
      </c>
      <c r="P2948" s="459"/>
      <c r="Q2948" s="469"/>
      <c r="R2948" s="512" t="str">
        <f t="shared" si="222"/>
        <v>DELETE</v>
      </c>
      <c r="T2948" s="521"/>
    </row>
    <row r="2949" spans="2:20" ht="31.5" customHeight="1" x14ac:dyDescent="0.45">
      <c r="B2949" s="468"/>
      <c r="C2949" s="450"/>
      <c r="D2949" s="449">
        <f>TrialBalanceA!C130</f>
        <v>0</v>
      </c>
      <c r="J2949" s="451"/>
      <c r="K2949" s="451"/>
      <c r="L2949" s="452"/>
      <c r="M2949" s="527"/>
      <c r="N2949" s="451"/>
      <c r="O2949" s="559">
        <f>TrialBalanceA!I130</f>
        <v>0</v>
      </c>
      <c r="P2949" s="459"/>
      <c r="Q2949" s="469"/>
      <c r="R2949" s="512" t="str">
        <f t="shared" si="222"/>
        <v>DELETE</v>
      </c>
      <c r="T2949" s="521"/>
    </row>
    <row r="2950" spans="2:20" ht="31.5" customHeight="1" x14ac:dyDescent="0.45">
      <c r="B2950" s="468"/>
      <c r="C2950" s="450"/>
      <c r="D2950" s="449">
        <f>TrialBalanceA!C131</f>
        <v>0</v>
      </c>
      <c r="J2950" s="451"/>
      <c r="K2950" s="451"/>
      <c r="L2950" s="452"/>
      <c r="M2950" s="527"/>
      <c r="N2950" s="451"/>
      <c r="O2950" s="559">
        <f>TrialBalanceA!I131</f>
        <v>0</v>
      </c>
      <c r="P2950" s="459"/>
      <c r="Q2950" s="469"/>
      <c r="R2950" s="512" t="str">
        <f t="shared" si="222"/>
        <v>DELETE</v>
      </c>
      <c r="T2950" s="521"/>
    </row>
    <row r="2951" spans="2:20" ht="31.5" customHeight="1" x14ac:dyDescent="0.45">
      <c r="B2951" s="468"/>
      <c r="C2951" s="450"/>
      <c r="D2951" s="449">
        <f>TrialBalanceA!C132</f>
        <v>0</v>
      </c>
      <c r="J2951" s="451"/>
      <c r="K2951" s="451"/>
      <c r="L2951" s="452"/>
      <c r="M2951" s="527"/>
      <c r="N2951" s="451"/>
      <c r="O2951" s="559">
        <f>TrialBalanceA!I132</f>
        <v>0</v>
      </c>
      <c r="P2951" s="459"/>
      <c r="Q2951" s="469"/>
      <c r="R2951" s="512" t="str">
        <f t="shared" si="222"/>
        <v>DELETE</v>
      </c>
      <c r="T2951" s="521"/>
    </row>
    <row r="2952" spans="2:20" ht="31.5" customHeight="1" x14ac:dyDescent="0.45">
      <c r="B2952" s="468"/>
      <c r="C2952" s="450"/>
      <c r="D2952" s="449">
        <f>TrialBalanceA!C133</f>
        <v>0</v>
      </c>
      <c r="J2952" s="451"/>
      <c r="K2952" s="451"/>
      <c r="L2952" s="452"/>
      <c r="M2952" s="527"/>
      <c r="N2952" s="451"/>
      <c r="O2952" s="559">
        <f>TrialBalanceA!I133</f>
        <v>0</v>
      </c>
      <c r="P2952" s="459"/>
      <c r="Q2952" s="469"/>
      <c r="R2952" s="512" t="str">
        <f t="shared" si="222"/>
        <v>DELETE</v>
      </c>
      <c r="T2952" s="521"/>
    </row>
    <row r="2953" spans="2:20" ht="31.5" customHeight="1" x14ac:dyDescent="0.45">
      <c r="B2953" s="468"/>
      <c r="C2953" s="450"/>
      <c r="D2953" s="449">
        <f>TrialBalanceA!C134</f>
        <v>0</v>
      </c>
      <c r="J2953" s="451"/>
      <c r="K2953" s="451"/>
      <c r="L2953" s="452"/>
      <c r="M2953" s="527"/>
      <c r="N2953" s="451"/>
      <c r="O2953" s="559">
        <f>TrialBalanceA!I134</f>
        <v>0</v>
      </c>
      <c r="P2953" s="459"/>
      <c r="Q2953" s="469"/>
      <c r="R2953" s="512" t="str">
        <f t="shared" si="222"/>
        <v>DELETE</v>
      </c>
      <c r="T2953" s="521"/>
    </row>
    <row r="2954" spans="2:20" ht="31.5" customHeight="1" x14ac:dyDescent="0.45">
      <c r="B2954" s="468"/>
      <c r="C2954" s="450"/>
      <c r="D2954" s="449">
        <f>TrialBalanceA!C135</f>
        <v>0</v>
      </c>
      <c r="J2954" s="451"/>
      <c r="K2954" s="451"/>
      <c r="L2954" s="452"/>
      <c r="M2954" s="527"/>
      <c r="N2954" s="451"/>
      <c r="O2954" s="559">
        <f>TrialBalanceA!I135</f>
        <v>0</v>
      </c>
      <c r="P2954" s="459"/>
      <c r="Q2954" s="469"/>
      <c r="R2954" s="512" t="str">
        <f t="shared" si="222"/>
        <v>DELETE</v>
      </c>
      <c r="T2954" s="521"/>
    </row>
    <row r="2955" spans="2:20" ht="31.5" customHeight="1" x14ac:dyDescent="0.45">
      <c r="B2955" s="468"/>
      <c r="C2955" s="450"/>
      <c r="D2955" s="449">
        <f>TrialBalanceA!C136</f>
        <v>0</v>
      </c>
      <c r="J2955" s="451"/>
      <c r="K2955" s="451"/>
      <c r="L2955" s="452"/>
      <c r="M2955" s="527"/>
      <c r="N2955" s="451"/>
      <c r="O2955" s="559">
        <f>TrialBalanceA!I136</f>
        <v>0</v>
      </c>
      <c r="P2955" s="459"/>
      <c r="Q2955" s="469"/>
      <c r="R2955" s="512" t="str">
        <f t="shared" si="222"/>
        <v>DELETE</v>
      </c>
      <c r="T2955" s="521"/>
    </row>
    <row r="2956" spans="2:20" ht="31.5" customHeight="1" x14ac:dyDescent="0.45">
      <c r="B2956" s="468"/>
      <c r="C2956" s="450"/>
      <c r="D2956" s="449">
        <f>TrialBalanceA!C137</f>
        <v>0</v>
      </c>
      <c r="J2956" s="451"/>
      <c r="K2956" s="451"/>
      <c r="L2956" s="452"/>
      <c r="M2956" s="527"/>
      <c r="N2956" s="451"/>
      <c r="O2956" s="559">
        <f>TrialBalanceA!I137</f>
        <v>0</v>
      </c>
      <c r="P2956" s="459"/>
      <c r="Q2956" s="469"/>
      <c r="R2956" s="512" t="str">
        <f t="shared" si="222"/>
        <v>DELETE</v>
      </c>
      <c r="T2956" s="521"/>
    </row>
    <row r="2957" spans="2:20" ht="31.5" customHeight="1" x14ac:dyDescent="0.45">
      <c r="B2957" s="468"/>
      <c r="C2957" s="450"/>
      <c r="D2957" s="449" t="str">
        <f>TrialBalanceA!C138</f>
        <v>Amortisation of prepaid lease agreement</v>
      </c>
      <c r="J2957" s="451"/>
      <c r="K2957" s="451"/>
      <c r="L2957" s="452"/>
      <c r="M2957" s="527"/>
      <c r="N2957" s="451"/>
      <c r="O2957" s="559">
        <f>TrialBalanceA!I138</f>
        <v>0</v>
      </c>
      <c r="P2957" s="459"/>
      <c r="Q2957" s="469"/>
      <c r="R2957" s="512" t="str">
        <f t="shared" si="222"/>
        <v>DELETE</v>
      </c>
      <c r="T2957" s="521"/>
    </row>
    <row r="2958" spans="2:20" ht="31.5" customHeight="1" x14ac:dyDescent="0.45">
      <c r="B2958" s="468"/>
      <c r="C2958" s="450"/>
      <c r="D2958" s="449" t="str">
        <f>TrialBalanceA!C139</f>
        <v>Amortisation of goodwill</v>
      </c>
      <c r="J2958" s="451"/>
      <c r="K2958" s="451"/>
      <c r="L2958" s="452"/>
      <c r="M2958" s="527"/>
      <c r="N2958" s="451"/>
      <c r="O2958" s="559">
        <f>TrialBalanceA!I139</f>
        <v>0</v>
      </c>
      <c r="P2958" s="459"/>
      <c r="Q2958" s="469"/>
      <c r="R2958" s="512" t="str">
        <f t="shared" ref="R2958" si="223">IF(R$2825="DELETE","DELETE",IF(O2958=0,"DELETE"," "))</f>
        <v>DELETE</v>
      </c>
      <c r="T2958" s="521"/>
    </row>
    <row r="2959" spans="2:20" ht="9" customHeight="1" x14ac:dyDescent="0.45">
      <c r="B2959" s="468"/>
      <c r="C2959" s="450"/>
      <c r="J2959" s="451"/>
      <c r="K2959" s="451"/>
      <c r="L2959" s="452"/>
      <c r="M2959" s="527"/>
      <c r="N2959" s="451"/>
      <c r="O2959" s="560"/>
      <c r="P2959" s="459"/>
      <c r="Q2959" s="469"/>
      <c r="R2959" s="512" t="str">
        <f>R2923</f>
        <v>DELETE</v>
      </c>
      <c r="T2959" s="521"/>
    </row>
    <row r="2960" spans="2:20" ht="9" customHeight="1" x14ac:dyDescent="0.45">
      <c r="B2960" s="468"/>
      <c r="C2960" s="450"/>
      <c r="J2960" s="451"/>
      <c r="K2960" s="451"/>
      <c r="L2960" s="452"/>
      <c r="M2960" s="527"/>
      <c r="N2960" s="451"/>
      <c r="O2960" s="535"/>
      <c r="P2960" s="459"/>
      <c r="Q2960" s="469"/>
      <c r="R2960" s="512" t="str">
        <f>R$2825</f>
        <v>DELETE</v>
      </c>
      <c r="T2960" s="521"/>
    </row>
    <row r="2961" spans="2:22" ht="9" customHeight="1" x14ac:dyDescent="0.45">
      <c r="B2961" s="468"/>
      <c r="C2961" s="450"/>
      <c r="J2961" s="451"/>
      <c r="K2961" s="451"/>
      <c r="L2961" s="452"/>
      <c r="M2961" s="527"/>
      <c r="N2961" s="451"/>
      <c r="O2961" s="531"/>
      <c r="P2961" s="459"/>
      <c r="Q2961" s="469"/>
      <c r="R2961" s="512" t="str">
        <f>R$2825</f>
        <v>DELETE</v>
      </c>
      <c r="T2961" s="521"/>
    </row>
    <row r="2962" spans="2:22" ht="31.5" customHeight="1" x14ac:dyDescent="0.45">
      <c r="B2962" s="468"/>
      <c r="C2962" s="492" t="str">
        <f>IF(O2962&lt;0,"OPERATING LOSS FOR THE YEAR","OPERATING PROFIT FOR THE YEAR")</f>
        <v>OPERATING PROFIT FOR THE YEAR</v>
      </c>
      <c r="J2962" s="451"/>
      <c r="K2962" s="451">
        <f>'FS2'!B1102</f>
        <v>4</v>
      </c>
      <c r="L2962" s="452"/>
      <c r="M2962" s="527"/>
      <c r="N2962" s="451"/>
      <c r="O2962" s="531">
        <f>SUM(S2837:S2959)</f>
        <v>0</v>
      </c>
      <c r="P2962" s="459"/>
      <c r="Q2962" s="469"/>
      <c r="R2962" s="512" t="str">
        <f>R$2825</f>
        <v>DELETE</v>
      </c>
      <c r="T2962" s="521"/>
    </row>
    <row r="2963" spans="2:22" ht="31.5" customHeight="1" x14ac:dyDescent="0.45">
      <c r="B2963" s="468"/>
      <c r="C2963" s="450"/>
      <c r="J2963" s="451"/>
      <c r="K2963" s="451"/>
      <c r="L2963" s="452"/>
      <c r="M2963" s="527"/>
      <c r="N2963" s="451"/>
      <c r="O2963" s="531"/>
      <c r="P2963" s="459"/>
      <c r="Q2963" s="469"/>
      <c r="R2963" s="512" t="str">
        <f>R$2825</f>
        <v>DELETE</v>
      </c>
      <c r="T2963" s="521"/>
    </row>
    <row r="2964" spans="2:22" ht="31.5" customHeight="1" x14ac:dyDescent="0.45">
      <c r="B2964" s="468"/>
      <c r="C2964" s="450" t="s">
        <v>139</v>
      </c>
      <c r="J2964" s="451"/>
      <c r="K2964" s="451">
        <f>'FS2'!B1189</f>
        <v>5</v>
      </c>
      <c r="L2964" s="452"/>
      <c r="M2964" s="527"/>
      <c r="N2964" s="451"/>
      <c r="O2964" s="531">
        <f>SUM(O2967:O2974)</f>
        <v>0</v>
      </c>
      <c r="P2964" s="459"/>
      <c r="Q2964" s="469"/>
      <c r="R2964" s="512" t="str">
        <f t="shared" ref="R2964" si="224">IF(R$2825="DELETE","DELETE",IF(O2964=0,"DELETE"," "))</f>
        <v>DELETE</v>
      </c>
      <c r="S2964" s="517">
        <f>O2964</f>
        <v>0</v>
      </c>
      <c r="T2964" s="521"/>
      <c r="U2964" s="517"/>
      <c r="V2964" s="517"/>
    </row>
    <row r="2965" spans="2:22" ht="9" customHeight="1" x14ac:dyDescent="0.45">
      <c r="B2965" s="468"/>
      <c r="C2965" s="450"/>
      <c r="J2965" s="451"/>
      <c r="K2965" s="451"/>
      <c r="L2965" s="452"/>
      <c r="M2965" s="527"/>
      <c r="N2965" s="451"/>
      <c r="O2965" s="531"/>
      <c r="P2965" s="459"/>
      <c r="Q2965" s="469"/>
      <c r="R2965" s="512" t="str">
        <f>R2964</f>
        <v>DELETE</v>
      </c>
      <c r="T2965" s="521"/>
    </row>
    <row r="2966" spans="2:22" ht="9" customHeight="1" x14ac:dyDescent="0.45">
      <c r="B2966" s="468"/>
      <c r="C2966" s="450"/>
      <c r="J2966" s="451"/>
      <c r="K2966" s="451"/>
      <c r="L2966" s="452"/>
      <c r="M2966" s="527"/>
      <c r="N2966" s="451"/>
      <c r="O2966" s="558"/>
      <c r="P2966" s="459"/>
      <c r="Q2966" s="469"/>
      <c r="R2966" s="512" t="str">
        <f>R2965</f>
        <v>DELETE</v>
      </c>
      <c r="T2966" s="521"/>
    </row>
    <row r="2967" spans="2:22" ht="31.5" customHeight="1" x14ac:dyDescent="0.45">
      <c r="B2967" s="468"/>
      <c r="C2967" s="450"/>
      <c r="D2967" s="449" t="s">
        <v>243</v>
      </c>
      <c r="J2967" s="451"/>
      <c r="K2967" s="451"/>
      <c r="L2967" s="452"/>
      <c r="M2967" s="527"/>
      <c r="N2967" s="451"/>
      <c r="O2967" s="559">
        <f>-TrialBalanceA!I94</f>
        <v>0</v>
      </c>
      <c r="P2967" s="459"/>
      <c r="Q2967" s="469"/>
      <c r="R2967" s="512" t="str">
        <f t="shared" ref="R2967:R2972" si="225">IF(R$2825="DELETE","DELETE",IF(O2967=0,"DELETE"," "))</f>
        <v>DELETE</v>
      </c>
      <c r="T2967" s="521"/>
    </row>
    <row r="2968" spans="2:22" ht="31.5" customHeight="1" x14ac:dyDescent="0.45">
      <c r="B2968" s="468"/>
      <c r="C2968" s="450"/>
      <c r="D2968" s="449" t="s">
        <v>612</v>
      </c>
      <c r="J2968" s="451"/>
      <c r="K2968" s="451"/>
      <c r="L2968" s="452"/>
      <c r="M2968" s="527"/>
      <c r="N2968" s="451"/>
      <c r="O2968" s="559">
        <f>-SUM(TrialBalanceA!I90:I92)</f>
        <v>0</v>
      </c>
      <c r="P2968" s="459"/>
      <c r="Q2968" s="469"/>
      <c r="R2968" s="512" t="str">
        <f t="shared" si="225"/>
        <v>DELETE</v>
      </c>
      <c r="T2968" s="521"/>
    </row>
    <row r="2969" spans="2:22" ht="31.5" customHeight="1" x14ac:dyDescent="0.45">
      <c r="B2969" s="468"/>
      <c r="C2969" s="450"/>
      <c r="D2969" s="449" t="s">
        <v>613</v>
      </c>
      <c r="J2969" s="451"/>
      <c r="K2969" s="451"/>
      <c r="L2969" s="452"/>
      <c r="M2969" s="527"/>
      <c r="N2969" s="451"/>
      <c r="O2969" s="561">
        <f>-SUM(TrialBalanceA!I85:I88)</f>
        <v>0</v>
      </c>
      <c r="P2969" s="459"/>
      <c r="Q2969" s="469"/>
      <c r="R2969" s="512" t="str">
        <f t="shared" si="225"/>
        <v>DELETE</v>
      </c>
      <c r="T2969" s="521"/>
    </row>
    <row r="2970" spans="2:22" ht="31.5" customHeight="1" x14ac:dyDescent="0.45">
      <c r="B2970" s="468"/>
      <c r="C2970" s="450"/>
      <c r="D2970" s="449" t="s">
        <v>245</v>
      </c>
      <c r="J2970" s="451"/>
      <c r="K2970" s="451"/>
      <c r="L2970" s="452"/>
      <c r="M2970" s="527"/>
      <c r="N2970" s="451"/>
      <c r="O2970" s="561">
        <f>-SUM(TrialBalanceA!I95)</f>
        <v>0</v>
      </c>
      <c r="P2970" s="459"/>
      <c r="Q2970" s="469"/>
      <c r="R2970" s="512" t="str">
        <f t="shared" si="225"/>
        <v>DELETE</v>
      </c>
      <c r="T2970" s="521"/>
    </row>
    <row r="2971" spans="2:22" ht="31.5" customHeight="1" x14ac:dyDescent="0.45">
      <c r="B2971" s="468"/>
      <c r="C2971" s="450"/>
      <c r="D2971" s="449" t="s">
        <v>634</v>
      </c>
      <c r="J2971" s="451"/>
      <c r="K2971" s="451"/>
      <c r="L2971" s="452"/>
      <c r="M2971" s="527"/>
      <c r="N2971" s="451"/>
      <c r="O2971" s="559">
        <f>IF(TrialBalanceA!I93&lt;0,-TrialBalanceA!I93,0)</f>
        <v>0</v>
      </c>
      <c r="P2971" s="459"/>
      <c r="Q2971" s="469"/>
      <c r="R2971" s="512" t="str">
        <f t="shared" si="225"/>
        <v>DELETE</v>
      </c>
      <c r="T2971" s="521"/>
    </row>
    <row r="2972" spans="2:22" ht="31.5" customHeight="1" x14ac:dyDescent="0.45">
      <c r="B2972" s="468"/>
      <c r="C2972" s="450"/>
      <c r="D2972" s="449" t="s">
        <v>433</v>
      </c>
      <c r="J2972" s="451"/>
      <c r="K2972" s="451"/>
      <c r="L2972" s="452"/>
      <c r="M2972" s="527"/>
      <c r="N2972" s="451"/>
      <c r="O2972" s="559">
        <f>-TrialBalanceA!I83</f>
        <v>0</v>
      </c>
      <c r="P2972" s="459"/>
      <c r="Q2972" s="469"/>
      <c r="R2972" s="512" t="str">
        <f t="shared" si="225"/>
        <v>DELETE</v>
      </c>
      <c r="T2972" s="521"/>
    </row>
    <row r="2973" spans="2:22" ht="31.5" customHeight="1" x14ac:dyDescent="0.45">
      <c r="B2973" s="468"/>
      <c r="C2973" s="450"/>
      <c r="D2973" s="449" t="str">
        <f>TrialBalance!C96</f>
        <v>Revaluation of investment property</v>
      </c>
      <c r="J2973" s="451"/>
      <c r="K2973" s="451"/>
      <c r="L2973" s="452"/>
      <c r="M2973" s="527"/>
      <c r="N2973" s="451"/>
      <c r="O2973" s="559">
        <f>-TrialBalanceA!I96</f>
        <v>0</v>
      </c>
      <c r="P2973" s="459"/>
      <c r="Q2973" s="469"/>
      <c r="R2973" s="512" t="str">
        <f>IF(R$2825="DELETE","DELETE",IF(O2973=0,"DELETE"," "))</f>
        <v>DELETE</v>
      </c>
      <c r="T2973" s="521"/>
    </row>
    <row r="2974" spans="2:22" ht="9" customHeight="1" x14ac:dyDescent="0.45">
      <c r="B2974" s="468"/>
      <c r="C2974" s="450"/>
      <c r="J2974" s="451"/>
      <c r="K2974" s="451"/>
      <c r="L2974" s="452"/>
      <c r="M2974" s="527"/>
      <c r="N2974" s="451"/>
      <c r="O2974" s="560"/>
      <c r="P2974" s="459"/>
      <c r="Q2974" s="469"/>
      <c r="R2974" s="512" t="str">
        <f>R2964</f>
        <v>DELETE</v>
      </c>
      <c r="T2974" s="521"/>
    </row>
    <row r="2975" spans="2:22" ht="9" customHeight="1" x14ac:dyDescent="0.45">
      <c r="B2975" s="468"/>
      <c r="C2975" s="450"/>
      <c r="J2975" s="451"/>
      <c r="K2975" s="451"/>
      <c r="L2975" s="452"/>
      <c r="M2975" s="527"/>
      <c r="N2975" s="451"/>
      <c r="O2975" s="535"/>
      <c r="P2975" s="459"/>
      <c r="Q2975" s="469"/>
      <c r="R2975" s="512" t="str">
        <f>R2974</f>
        <v>DELETE</v>
      </c>
      <c r="T2975" s="521"/>
    </row>
    <row r="2976" spans="2:22" ht="9" customHeight="1" x14ac:dyDescent="0.45">
      <c r="B2976" s="468"/>
      <c r="C2976" s="450"/>
      <c r="J2976" s="451"/>
      <c r="K2976" s="451"/>
      <c r="L2976" s="452"/>
      <c r="M2976" s="527"/>
      <c r="N2976" s="451"/>
      <c r="O2976" s="531"/>
      <c r="P2976" s="459"/>
      <c r="Q2976" s="469"/>
      <c r="R2976" s="512" t="str">
        <f>R2975</f>
        <v>DELETE</v>
      </c>
      <c r="T2976" s="521"/>
    </row>
    <row r="2977" spans="2:22" ht="31.5" customHeight="1" x14ac:dyDescent="0.45">
      <c r="B2977" s="468"/>
      <c r="C2977" s="450"/>
      <c r="J2977" s="451"/>
      <c r="K2977" s="451"/>
      <c r="L2977" s="452"/>
      <c r="M2977" s="527"/>
      <c r="N2977" s="451"/>
      <c r="O2977" s="531">
        <f>SUM(S2837:S2974)</f>
        <v>0</v>
      </c>
      <c r="P2977" s="459"/>
      <c r="Q2977" s="469"/>
      <c r="R2977" s="512" t="str">
        <f>R2976</f>
        <v>DELETE</v>
      </c>
      <c r="T2977" s="521"/>
    </row>
    <row r="2978" spans="2:22" ht="31.5" customHeight="1" x14ac:dyDescent="0.45">
      <c r="B2978" s="468"/>
      <c r="C2978" s="450"/>
      <c r="J2978" s="451"/>
      <c r="K2978" s="451"/>
      <c r="L2978" s="452"/>
      <c r="M2978" s="527"/>
      <c r="N2978" s="451"/>
      <c r="O2978" s="531"/>
      <c r="P2978" s="459"/>
      <c r="Q2978" s="469"/>
      <c r="R2978" s="512" t="str">
        <f>R2977</f>
        <v>DELETE</v>
      </c>
      <c r="T2978" s="521"/>
    </row>
    <row r="2979" spans="2:22" ht="31.5" customHeight="1" x14ac:dyDescent="0.45">
      <c r="B2979" s="468"/>
      <c r="C2979" s="450" t="s">
        <v>318</v>
      </c>
      <c r="J2979" s="451"/>
      <c r="K2979" s="451">
        <f>'FS2'!B1248</f>
        <v>6</v>
      </c>
      <c r="L2979" s="452"/>
      <c r="M2979" s="527"/>
      <c r="N2979" s="451"/>
      <c r="O2979" s="531">
        <f>SUM(TrialBalanceA!I142:I152)</f>
        <v>0</v>
      </c>
      <c r="P2979" s="459"/>
      <c r="Q2979" s="469"/>
      <c r="R2979" s="512" t="str">
        <f t="shared" ref="R2979" si="226">IF(R$2825="DELETE","DELETE",IF(O2979=0,"DELETE"," "))</f>
        <v>DELETE</v>
      </c>
      <c r="S2979" s="517">
        <f>-O2979</f>
        <v>0</v>
      </c>
      <c r="T2979" s="521"/>
      <c r="U2979" s="517"/>
      <c r="V2979" s="517"/>
    </row>
    <row r="2980" spans="2:22" ht="9" customHeight="1" x14ac:dyDescent="0.45">
      <c r="B2980" s="468"/>
      <c r="C2980" s="450"/>
      <c r="J2980" s="451"/>
      <c r="K2980" s="451"/>
      <c r="L2980" s="452"/>
      <c r="M2980" s="527"/>
      <c r="N2980" s="451"/>
      <c r="O2980" s="535"/>
      <c r="P2980" s="459"/>
      <c r="Q2980" s="469"/>
      <c r="R2980" s="512" t="str">
        <f t="shared" ref="R2980:R2988" si="227">R$2825</f>
        <v>DELETE</v>
      </c>
      <c r="T2980" s="521"/>
    </row>
    <row r="2981" spans="2:22" ht="9" customHeight="1" x14ac:dyDescent="0.45">
      <c r="B2981" s="468"/>
      <c r="C2981" s="450"/>
      <c r="J2981" s="451"/>
      <c r="K2981" s="451"/>
      <c r="L2981" s="452"/>
      <c r="M2981" s="527"/>
      <c r="N2981" s="451"/>
      <c r="O2981" s="531"/>
      <c r="P2981" s="459"/>
      <c r="Q2981" s="469"/>
      <c r="R2981" s="512" t="str">
        <f t="shared" si="227"/>
        <v>DELETE</v>
      </c>
      <c r="T2981" s="521"/>
    </row>
    <row r="2982" spans="2:22" ht="31.5" customHeight="1" x14ac:dyDescent="0.45">
      <c r="B2982" s="468"/>
      <c r="C2982" s="492" t="str">
        <f>IF(O2982&lt;0,"NET LOSS BEFORE TAXATION","NET PROFIT BEFORE TAXATION")</f>
        <v>NET PROFIT BEFORE TAXATION</v>
      </c>
      <c r="J2982" s="451"/>
      <c r="K2982" s="451"/>
      <c r="L2982" s="452"/>
      <c r="M2982" s="527"/>
      <c r="N2982" s="451"/>
      <c r="O2982" s="531">
        <f>SUM(S2837:S2981)</f>
        <v>0</v>
      </c>
      <c r="P2982" s="459"/>
      <c r="Q2982" s="469"/>
      <c r="R2982" s="512" t="str">
        <f t="shared" si="227"/>
        <v>DELETE</v>
      </c>
      <c r="T2982" s="521"/>
      <c r="U2982" s="513" t="b">
        <f>O2982='FS2'!O2669</f>
        <v>1</v>
      </c>
    </row>
    <row r="2983" spans="2:22" ht="9" customHeight="1" thickBot="1" x14ac:dyDescent="0.5">
      <c r="B2983" s="468"/>
      <c r="C2983" s="450"/>
      <c r="J2983" s="451"/>
      <c r="K2983" s="451"/>
      <c r="L2983" s="452"/>
      <c r="M2983" s="527"/>
      <c r="N2983" s="451"/>
      <c r="O2983" s="536"/>
      <c r="P2983" s="459"/>
      <c r="Q2983" s="469"/>
      <c r="R2983" s="512" t="str">
        <f t="shared" si="227"/>
        <v>DELETE</v>
      </c>
      <c r="T2983" s="521"/>
    </row>
    <row r="2984" spans="2:22" ht="9" customHeight="1" thickTop="1" x14ac:dyDescent="0.45">
      <c r="B2984" s="468"/>
      <c r="C2984" s="450"/>
      <c r="J2984" s="451"/>
      <c r="K2984" s="451"/>
      <c r="L2984" s="452"/>
      <c r="M2984" s="527"/>
      <c r="N2984" s="451"/>
      <c r="O2984" s="548"/>
      <c r="P2984" s="459"/>
      <c r="Q2984" s="469"/>
      <c r="R2984" s="512" t="str">
        <f t="shared" si="227"/>
        <v>DELETE</v>
      </c>
      <c r="T2984" s="521"/>
    </row>
    <row r="2985" spans="2:22" ht="31.5" customHeight="1" x14ac:dyDescent="0.45">
      <c r="B2985" s="468"/>
      <c r="C2985" s="450"/>
      <c r="J2985" s="451"/>
      <c r="K2985" s="451"/>
      <c r="L2985" s="452"/>
      <c r="M2985" s="527"/>
      <c r="N2985" s="451"/>
      <c r="O2985" s="531"/>
      <c r="P2985" s="459"/>
      <c r="Q2985" s="469"/>
      <c r="R2985" s="512" t="str">
        <f t="shared" si="227"/>
        <v>DELETE</v>
      </c>
      <c r="T2985" s="521"/>
    </row>
    <row r="2986" spans="2:22" ht="31.5" customHeight="1" x14ac:dyDescent="0.45">
      <c r="B2986" s="468"/>
      <c r="C2986" s="450"/>
      <c r="J2986" s="451"/>
      <c r="K2986" s="451"/>
      <c r="L2986" s="451"/>
      <c r="M2986" s="531"/>
      <c r="N2986" s="470"/>
      <c r="O2986" s="531"/>
      <c r="P2986" s="459"/>
      <c r="Q2986" s="469"/>
      <c r="R2986" s="512" t="str">
        <f t="shared" si="227"/>
        <v>DELETE</v>
      </c>
      <c r="T2986" s="521"/>
    </row>
    <row r="2987" spans="2:22" ht="31.5" customHeight="1" x14ac:dyDescent="0.45">
      <c r="B2987" s="477"/>
      <c r="C2987" s="461"/>
      <c r="D2987" s="461"/>
      <c r="E2987" s="461"/>
      <c r="F2987" s="461"/>
      <c r="G2987" s="461"/>
      <c r="H2987" s="461"/>
      <c r="I2987" s="461"/>
      <c r="J2987" s="461"/>
      <c r="K2987" s="461"/>
      <c r="L2987" s="461"/>
      <c r="M2987" s="640"/>
      <c r="N2987" s="646"/>
      <c r="O2987" s="640"/>
      <c r="P2987" s="631"/>
      <c r="Q2987" s="479"/>
      <c r="R2987" s="512" t="str">
        <f t="shared" si="227"/>
        <v>DELETE</v>
      </c>
      <c r="T2987" s="521"/>
    </row>
    <row r="2988" spans="2:22" ht="31.5" customHeight="1" x14ac:dyDescent="0.45">
      <c r="M2988" s="635"/>
      <c r="N2988" s="621"/>
      <c r="O2988" s="635"/>
      <c r="R2988" s="512" t="str">
        <f t="shared" si="227"/>
        <v>DELETE</v>
      </c>
      <c r="T2988" s="521"/>
    </row>
    <row r="2989" spans="2:22" ht="31.5" customHeight="1" x14ac:dyDescent="0.45">
      <c r="M2989" s="635"/>
      <c r="N2989" s="621"/>
      <c r="O2989" s="635"/>
      <c r="R2989" s="512" t="str">
        <f>IF(SUM(S3001:S3003)+SUM(S3021:S3028)+SUM(S3128:S3138)+O3146=0,"DELETE"," ")</f>
        <v>DELETE</v>
      </c>
      <c r="T2989" s="521"/>
      <c r="U2989" s="516"/>
      <c r="V2989" s="516"/>
    </row>
    <row r="2990" spans="2:22" ht="31.5" customHeight="1" x14ac:dyDescent="0.45">
      <c r="D2990" s="450" t="s">
        <v>751</v>
      </c>
      <c r="M2990" s="635"/>
      <c r="N2990" s="621"/>
      <c r="O2990" s="635"/>
      <c r="R2990" s="512" t="str">
        <f>R$2989</f>
        <v>DELETE</v>
      </c>
      <c r="T2990" s="521"/>
      <c r="U2990" s="515"/>
    </row>
    <row r="2991" spans="2:22" ht="31.5" customHeight="1" x14ac:dyDescent="0.45">
      <c r="M2991" s="635"/>
      <c r="N2991" s="621"/>
      <c r="O2991" s="635"/>
      <c r="R2991" s="512" t="str">
        <f t="shared" ref="R2991:R3000" si="228">R$2989</f>
        <v>DELETE</v>
      </c>
      <c r="T2991" s="521"/>
    </row>
    <row r="2992" spans="2:22" ht="31.5" customHeight="1" x14ac:dyDescent="0.45">
      <c r="D2992" s="450" t="str">
        <f>Criteria!E9</f>
        <v>ABC COMPANY (PROPRIETARY) LIMITED</v>
      </c>
      <c r="M2992" s="635"/>
      <c r="N2992" s="621"/>
      <c r="O2992" s="531" t="s">
        <v>121</v>
      </c>
      <c r="Q2992" s="451">
        <v>1</v>
      </c>
      <c r="R2992" s="512" t="str">
        <f t="shared" si="228"/>
        <v>DELETE</v>
      </c>
      <c r="T2992" s="521"/>
    </row>
    <row r="2993" spans="2:22" ht="31.5" customHeight="1" x14ac:dyDescent="0.45">
      <c r="D2993" s="450" t="str">
        <f>CONCATENATE("T/A ",Criteria!E15)</f>
        <v>T/A RENTAL PROPERTIES</v>
      </c>
      <c r="M2993" s="635"/>
      <c r="N2993" s="621"/>
      <c r="O2993" s="635"/>
      <c r="R2993" s="512" t="str">
        <f t="shared" si="228"/>
        <v>DELETE</v>
      </c>
      <c r="T2993" s="521"/>
    </row>
    <row r="2994" spans="2:22" ht="31.5" customHeight="1" x14ac:dyDescent="0.45">
      <c r="M2994" s="635"/>
      <c r="N2994" s="621"/>
      <c r="O2994" s="635"/>
      <c r="R2994" s="512" t="str">
        <f t="shared" si="228"/>
        <v>DELETE</v>
      </c>
      <c r="T2994" s="521"/>
    </row>
    <row r="2995" spans="2:22" ht="31.5" customHeight="1" x14ac:dyDescent="0.45">
      <c r="D2995" s="450" t="s">
        <v>115</v>
      </c>
      <c r="M2995" s="635"/>
      <c r="N2995" s="621"/>
      <c r="O2995" s="635"/>
      <c r="R2995" s="512" t="str">
        <f t="shared" si="228"/>
        <v>DELETE</v>
      </c>
      <c r="T2995" s="521"/>
    </row>
    <row r="2996" spans="2:22" ht="31.5" customHeight="1" x14ac:dyDescent="0.45">
      <c r="D2996" s="450" t="str">
        <f>Criteria!E20</f>
        <v>29 FEBRUARY 2024</v>
      </c>
      <c r="M2996" s="635"/>
      <c r="N2996" s="621"/>
      <c r="O2996" s="635"/>
      <c r="R2996" s="512" t="str">
        <f t="shared" si="228"/>
        <v>DELETE</v>
      </c>
      <c r="T2996" s="521"/>
    </row>
    <row r="2997" spans="2:22" ht="31.5" customHeight="1" x14ac:dyDescent="0.45">
      <c r="M2997" s="635"/>
      <c r="N2997" s="621"/>
      <c r="O2997" s="635"/>
      <c r="R2997" s="512" t="str">
        <f t="shared" si="228"/>
        <v>DELETE</v>
      </c>
      <c r="T2997" s="521"/>
    </row>
    <row r="2998" spans="2:22" ht="31.5" customHeight="1" x14ac:dyDescent="0.45">
      <c r="B2998" s="465"/>
      <c r="C2998" s="466"/>
      <c r="D2998" s="466"/>
      <c r="E2998" s="466"/>
      <c r="F2998" s="466"/>
      <c r="G2998" s="466"/>
      <c r="H2998" s="466"/>
      <c r="I2998" s="466"/>
      <c r="J2998" s="466"/>
      <c r="K2998" s="466"/>
      <c r="L2998" s="466"/>
      <c r="M2998" s="648"/>
      <c r="N2998" s="649"/>
      <c r="O2998" s="648"/>
      <c r="P2998" s="643"/>
      <c r="Q2998" s="467"/>
      <c r="R2998" s="512" t="str">
        <f t="shared" si="228"/>
        <v>DELETE</v>
      </c>
      <c r="T2998" s="521"/>
    </row>
    <row r="2999" spans="2:22" ht="31.5" customHeight="1" x14ac:dyDescent="0.45">
      <c r="B2999" s="468"/>
      <c r="J2999" s="451"/>
      <c r="K2999" s="451" t="s">
        <v>129</v>
      </c>
      <c r="L2999" s="452"/>
      <c r="M2999" s="527"/>
      <c r="N2999" s="451"/>
      <c r="O2999" s="525">
        <f>Criteria!E22</f>
        <v>2024</v>
      </c>
      <c r="P2999" s="459"/>
      <c r="Q2999" s="469"/>
      <c r="R2999" s="512" t="str">
        <f t="shared" si="228"/>
        <v>DELETE</v>
      </c>
      <c r="T2999" s="521"/>
    </row>
    <row r="3000" spans="2:22" ht="31.5" customHeight="1" x14ac:dyDescent="0.45">
      <c r="B3000" s="468"/>
      <c r="J3000" s="451"/>
      <c r="K3000" s="451"/>
      <c r="L3000" s="452"/>
      <c r="M3000" s="527"/>
      <c r="N3000" s="451"/>
      <c r="O3000" s="531"/>
      <c r="P3000" s="459"/>
      <c r="Q3000" s="469"/>
      <c r="R3000" s="512" t="str">
        <f t="shared" si="228"/>
        <v>DELETE</v>
      </c>
      <c r="T3000" s="521"/>
    </row>
    <row r="3001" spans="2:22" ht="31.5" customHeight="1" x14ac:dyDescent="0.45">
      <c r="B3001" s="468"/>
      <c r="C3001" s="450" t="s">
        <v>137</v>
      </c>
      <c r="J3001" s="451"/>
      <c r="K3001" s="451"/>
      <c r="L3001" s="452"/>
      <c r="M3001" s="527"/>
      <c r="N3001" s="451"/>
      <c r="O3001" s="531">
        <f>-SUM(TrialBalanceB!I5:I10)</f>
        <v>0</v>
      </c>
      <c r="P3001" s="459"/>
      <c r="Q3001" s="469"/>
      <c r="R3001" s="512" t="str">
        <f>IF(R2989="DELETE","DELETE",IF(O3001=0,IF(O3003=0," ","DELETE")," "))</f>
        <v>DELETE</v>
      </c>
      <c r="S3001" s="517">
        <f>O3001</f>
        <v>0</v>
      </c>
      <c r="T3001" s="521"/>
      <c r="U3001" s="517"/>
      <c r="V3001" s="517"/>
    </row>
    <row r="3002" spans="2:22" ht="31.5" customHeight="1" x14ac:dyDescent="0.45">
      <c r="B3002" s="468"/>
      <c r="C3002" s="450"/>
      <c r="J3002" s="451"/>
      <c r="K3002" s="451"/>
      <c r="L3002" s="452"/>
      <c r="M3002" s="527"/>
      <c r="N3002" s="451"/>
      <c r="O3002" s="531"/>
      <c r="P3002" s="459"/>
      <c r="Q3002" s="469"/>
      <c r="R3002" s="512" t="str">
        <f>R3001</f>
        <v>DELETE</v>
      </c>
      <c r="S3002" s="517"/>
      <c r="T3002" s="521"/>
      <c r="U3002" s="517"/>
      <c r="V3002" s="517"/>
    </row>
    <row r="3003" spans="2:22" ht="31.5" customHeight="1" x14ac:dyDescent="0.45">
      <c r="B3003" s="468"/>
      <c r="C3003" s="450" t="s">
        <v>606</v>
      </c>
      <c r="J3003" s="451"/>
      <c r="K3003" s="451"/>
      <c r="L3003" s="452"/>
      <c r="M3003" s="527"/>
      <c r="N3003" s="451"/>
      <c r="O3003" s="531">
        <f>-TrialBalanceB!I11</f>
        <v>0</v>
      </c>
      <c r="P3003" s="459"/>
      <c r="Q3003" s="469"/>
      <c r="R3003" s="512" t="str">
        <f>IF(R2989="DELETE","DELETE",IF(O3003=0,"DELETE"," "))</f>
        <v>DELETE</v>
      </c>
      <c r="S3003" s="517">
        <f>O3003</f>
        <v>0</v>
      </c>
      <c r="T3003" s="521"/>
      <c r="U3003" s="517"/>
      <c r="V3003" s="517"/>
    </row>
    <row r="3004" spans="2:22" ht="31.5" customHeight="1" x14ac:dyDescent="0.45">
      <c r="B3004" s="468"/>
      <c r="C3004" s="450"/>
      <c r="J3004" s="451"/>
      <c r="K3004" s="451"/>
      <c r="L3004" s="452"/>
      <c r="M3004" s="527"/>
      <c r="N3004" s="451"/>
      <c r="O3004" s="531"/>
      <c r="P3004" s="459"/>
      <c r="Q3004" s="469"/>
      <c r="R3004" s="512" t="str">
        <f>R3003</f>
        <v>DELETE</v>
      </c>
      <c r="T3004" s="521"/>
    </row>
    <row r="3005" spans="2:22" ht="31.5" customHeight="1" x14ac:dyDescent="0.45">
      <c r="B3005" s="468"/>
      <c r="C3005" s="450" t="s">
        <v>333</v>
      </c>
      <c r="J3005" s="451"/>
      <c r="K3005" s="451"/>
      <c r="L3005" s="452"/>
      <c r="M3005" s="527"/>
      <c r="N3005" s="451"/>
      <c r="O3005" s="531">
        <f>SUM(O3008:O3015)</f>
        <v>0</v>
      </c>
      <c r="P3005" s="459"/>
      <c r="Q3005" s="469"/>
      <c r="R3005" s="512" t="str">
        <f>IF(R$2989="DELETE","DELETE",IF(O3005=0,"DELETE"," "))</f>
        <v>DELETE</v>
      </c>
      <c r="S3005" s="517">
        <f>-O3005</f>
        <v>0</v>
      </c>
      <c r="T3005" s="521"/>
      <c r="U3005" s="517"/>
      <c r="V3005" s="517"/>
    </row>
    <row r="3006" spans="2:22" ht="9" customHeight="1" x14ac:dyDescent="0.45">
      <c r="B3006" s="468"/>
      <c r="C3006" s="450"/>
      <c r="J3006" s="451"/>
      <c r="K3006" s="451"/>
      <c r="L3006" s="452"/>
      <c r="M3006" s="527"/>
      <c r="N3006" s="451"/>
      <c r="O3006" s="531"/>
      <c r="P3006" s="459"/>
      <c r="Q3006" s="469"/>
      <c r="R3006" s="512" t="str">
        <f>R3005</f>
        <v>DELETE</v>
      </c>
      <c r="T3006" s="521"/>
    </row>
    <row r="3007" spans="2:22" ht="9" customHeight="1" x14ac:dyDescent="0.45">
      <c r="B3007" s="468"/>
      <c r="C3007" s="450"/>
      <c r="J3007" s="451"/>
      <c r="K3007" s="451"/>
      <c r="L3007" s="452"/>
      <c r="M3007" s="527"/>
      <c r="N3007" s="451"/>
      <c r="O3007" s="558"/>
      <c r="P3007" s="459"/>
      <c r="Q3007" s="469"/>
      <c r="R3007" s="512" t="str">
        <f>R3006</f>
        <v>DELETE</v>
      </c>
      <c r="T3007" s="521"/>
    </row>
    <row r="3008" spans="2:22" ht="31.5" customHeight="1" x14ac:dyDescent="0.45">
      <c r="B3008" s="468"/>
      <c r="C3008" s="450"/>
      <c r="D3008" s="449" t="s">
        <v>608</v>
      </c>
      <c r="J3008" s="451"/>
      <c r="K3008" s="451"/>
      <c r="L3008" s="452"/>
      <c r="M3008" s="527"/>
      <c r="N3008" s="451"/>
      <c r="O3008" s="559">
        <f>SUM(TrialBalanceB!I13:I16)</f>
        <v>0</v>
      </c>
      <c r="P3008" s="459"/>
      <c r="Q3008" s="469"/>
      <c r="R3008" s="512" t="str">
        <f t="shared" ref="R3008:R3015" si="229">IF(R$2989="DELETE","DELETE",IF(O3008=0,"DELETE"," "))</f>
        <v>DELETE</v>
      </c>
      <c r="T3008" s="521"/>
    </row>
    <row r="3009" spans="2:20" ht="31.5" customHeight="1" x14ac:dyDescent="0.45">
      <c r="B3009" s="468"/>
      <c r="C3009" s="450"/>
      <c r="D3009" s="449" t="s">
        <v>334</v>
      </c>
      <c r="J3009" s="451"/>
      <c r="K3009" s="451"/>
      <c r="L3009" s="452"/>
      <c r="M3009" s="527"/>
      <c r="N3009" s="451"/>
      <c r="O3009" s="559">
        <f>TrialBalanceB!I17</f>
        <v>0</v>
      </c>
      <c r="P3009" s="459"/>
      <c r="Q3009" s="469"/>
      <c r="R3009" s="512" t="str">
        <f t="shared" si="229"/>
        <v>DELETE</v>
      </c>
      <c r="T3009" s="521"/>
    </row>
    <row r="3010" spans="2:20" ht="31.5" customHeight="1" x14ac:dyDescent="0.45">
      <c r="B3010" s="468"/>
      <c r="C3010" s="450"/>
      <c r="D3010" s="449">
        <f>TrialBalanceB!C18</f>
        <v>0</v>
      </c>
      <c r="J3010" s="451"/>
      <c r="K3010" s="451"/>
      <c r="L3010" s="452"/>
      <c r="M3010" s="527"/>
      <c r="N3010" s="451"/>
      <c r="O3010" s="559">
        <f>TrialBalanceB!I18</f>
        <v>0</v>
      </c>
      <c r="P3010" s="459"/>
      <c r="Q3010" s="469"/>
      <c r="R3010" s="512" t="str">
        <f t="shared" si="229"/>
        <v>DELETE</v>
      </c>
      <c r="T3010" s="521"/>
    </row>
    <row r="3011" spans="2:20" ht="31.5" customHeight="1" x14ac:dyDescent="0.45">
      <c r="B3011" s="468"/>
      <c r="C3011" s="450"/>
      <c r="D3011" s="449">
        <f>TrialBalanceB!C19</f>
        <v>0</v>
      </c>
      <c r="J3011" s="451"/>
      <c r="K3011" s="451"/>
      <c r="L3011" s="452"/>
      <c r="M3011" s="527"/>
      <c r="N3011" s="451"/>
      <c r="O3011" s="559">
        <f>TrialBalanceB!I19</f>
        <v>0</v>
      </c>
      <c r="P3011" s="459"/>
      <c r="Q3011" s="469"/>
      <c r="R3011" s="512" t="str">
        <f t="shared" si="229"/>
        <v>DELETE</v>
      </c>
      <c r="T3011" s="521"/>
    </row>
    <row r="3012" spans="2:20" ht="31.5" customHeight="1" x14ac:dyDescent="0.45">
      <c r="B3012" s="468"/>
      <c r="C3012" s="450"/>
      <c r="D3012" s="449">
        <f>TrialBalanceB!C20</f>
        <v>0</v>
      </c>
      <c r="J3012" s="451"/>
      <c r="K3012" s="451"/>
      <c r="L3012" s="452"/>
      <c r="M3012" s="527"/>
      <c r="N3012" s="451"/>
      <c r="O3012" s="559">
        <f>TrialBalanceB!I20</f>
        <v>0</v>
      </c>
      <c r="P3012" s="459"/>
      <c r="Q3012" s="469"/>
      <c r="R3012" s="512" t="str">
        <f t="shared" si="229"/>
        <v>DELETE</v>
      </c>
      <c r="T3012" s="521"/>
    </row>
    <row r="3013" spans="2:20" ht="31.5" customHeight="1" x14ac:dyDescent="0.45">
      <c r="B3013" s="468"/>
      <c r="C3013" s="450"/>
      <c r="D3013" s="449">
        <f>TrialBalanceB!C21</f>
        <v>0</v>
      </c>
      <c r="J3013" s="451"/>
      <c r="K3013" s="451"/>
      <c r="L3013" s="452"/>
      <c r="M3013" s="527"/>
      <c r="N3013" s="451"/>
      <c r="O3013" s="559">
        <f>TrialBalanceB!I21</f>
        <v>0</v>
      </c>
      <c r="P3013" s="459"/>
      <c r="Q3013" s="469"/>
      <c r="R3013" s="512" t="str">
        <f t="shared" si="229"/>
        <v>DELETE</v>
      </c>
      <c r="T3013" s="521"/>
    </row>
    <row r="3014" spans="2:20" ht="31.5" customHeight="1" x14ac:dyDescent="0.45">
      <c r="B3014" s="468"/>
      <c r="C3014" s="450"/>
      <c r="D3014" s="449">
        <f>TrialBalanceB!C22</f>
        <v>0</v>
      </c>
      <c r="J3014" s="451"/>
      <c r="K3014" s="451"/>
      <c r="L3014" s="452"/>
      <c r="M3014" s="527"/>
      <c r="N3014" s="451"/>
      <c r="O3014" s="559">
        <f>TrialBalanceB!I22</f>
        <v>0</v>
      </c>
      <c r="P3014" s="459"/>
      <c r="Q3014" s="469"/>
      <c r="R3014" s="512" t="str">
        <f t="shared" si="229"/>
        <v>DELETE</v>
      </c>
      <c r="T3014" s="521"/>
    </row>
    <row r="3015" spans="2:20" ht="31.5" customHeight="1" x14ac:dyDescent="0.45">
      <c r="B3015" s="468"/>
      <c r="C3015" s="450"/>
      <c r="D3015" s="449" t="s">
        <v>609</v>
      </c>
      <c r="J3015" s="451"/>
      <c r="K3015" s="451"/>
      <c r="L3015" s="452"/>
      <c r="M3015" s="527"/>
      <c r="N3015" s="451"/>
      <c r="O3015" s="559">
        <f>SUM(TrialBalanceB!I23:I26)</f>
        <v>0</v>
      </c>
      <c r="P3015" s="459"/>
      <c r="Q3015" s="469"/>
      <c r="R3015" s="512" t="str">
        <f t="shared" si="229"/>
        <v>DELETE</v>
      </c>
      <c r="T3015" s="521"/>
    </row>
    <row r="3016" spans="2:20" ht="9" customHeight="1" x14ac:dyDescent="0.45">
      <c r="B3016" s="468"/>
      <c r="C3016" s="450"/>
      <c r="J3016" s="451"/>
      <c r="K3016" s="451"/>
      <c r="L3016" s="452"/>
      <c r="M3016" s="527"/>
      <c r="N3016" s="451"/>
      <c r="O3016" s="560"/>
      <c r="P3016" s="459"/>
      <c r="Q3016" s="469"/>
      <c r="R3016" s="512" t="str">
        <f>R3005</f>
        <v>DELETE</v>
      </c>
      <c r="T3016" s="521"/>
    </row>
    <row r="3017" spans="2:20" ht="9" customHeight="1" x14ac:dyDescent="0.45">
      <c r="B3017" s="468"/>
      <c r="C3017" s="450"/>
      <c r="J3017" s="451"/>
      <c r="K3017" s="451"/>
      <c r="L3017" s="452"/>
      <c r="M3017" s="527"/>
      <c r="N3017" s="451"/>
      <c r="O3017" s="535"/>
      <c r="P3017" s="459"/>
      <c r="Q3017" s="469"/>
      <c r="R3017" s="512" t="str">
        <f>R3005</f>
        <v>DELETE</v>
      </c>
      <c r="T3017" s="521"/>
    </row>
    <row r="3018" spans="2:20" ht="9" customHeight="1" x14ac:dyDescent="0.45">
      <c r="B3018" s="468"/>
      <c r="C3018" s="450"/>
      <c r="J3018" s="451"/>
      <c r="K3018" s="451"/>
      <c r="L3018" s="452"/>
      <c r="M3018" s="527"/>
      <c r="N3018" s="451"/>
      <c r="O3018" s="531"/>
      <c r="P3018" s="459"/>
      <c r="Q3018" s="469"/>
      <c r="R3018" s="512" t="str">
        <f>R3017</f>
        <v>DELETE</v>
      </c>
      <c r="T3018" s="521"/>
    </row>
    <row r="3019" spans="2:20" ht="31.5" customHeight="1" x14ac:dyDescent="0.45">
      <c r="B3019" s="468"/>
      <c r="C3019" s="492" t="str">
        <f>IF(O3019&lt;0,"GROSS LOSS","GROSS PROFIT")</f>
        <v>GROSS PROFIT</v>
      </c>
      <c r="J3019" s="451"/>
      <c r="K3019" s="451"/>
      <c r="L3019" s="452"/>
      <c r="M3019" s="527"/>
      <c r="N3019" s="451"/>
      <c r="O3019" s="531">
        <f>SUM(S3001:S3016)</f>
        <v>0</v>
      </c>
      <c r="P3019" s="459"/>
      <c r="Q3019" s="469"/>
      <c r="R3019" s="512" t="str">
        <f>R3018</f>
        <v>DELETE</v>
      </c>
      <c r="T3019" s="521"/>
    </row>
    <row r="3020" spans="2:20" ht="31.5" customHeight="1" x14ac:dyDescent="0.45">
      <c r="B3020" s="468"/>
      <c r="C3020" s="450"/>
      <c r="J3020" s="451"/>
      <c r="K3020" s="451"/>
      <c r="L3020" s="452"/>
      <c r="M3020" s="527"/>
      <c r="N3020" s="451"/>
      <c r="O3020" s="531"/>
      <c r="P3020" s="459"/>
      <c r="Q3020" s="469"/>
      <c r="R3020" s="512" t="str">
        <f>R3019</f>
        <v>DELETE</v>
      </c>
      <c r="T3020" s="521"/>
    </row>
    <row r="3021" spans="2:20" ht="31.5" customHeight="1" x14ac:dyDescent="0.45">
      <c r="B3021" s="468"/>
      <c r="C3021" s="450" t="s">
        <v>385</v>
      </c>
      <c r="J3021" s="451"/>
      <c r="K3021" s="451"/>
      <c r="L3021" s="452"/>
      <c r="M3021" s="527"/>
      <c r="N3021" s="451"/>
      <c r="O3021" s="531">
        <f>SUM(O3023:O3030)</f>
        <v>0</v>
      </c>
      <c r="P3021" s="459"/>
      <c r="Q3021" s="469"/>
      <c r="R3021" s="512" t="str">
        <f t="shared" ref="R3021" si="230">IF(R$2989="DELETE","DELETE",IF(O3021=0,"DELETE"," "))</f>
        <v>DELETE</v>
      </c>
      <c r="S3021" s="517">
        <f>O3021</f>
        <v>0</v>
      </c>
      <c r="T3021" s="521"/>
    </row>
    <row r="3022" spans="2:20" ht="9" customHeight="1" x14ac:dyDescent="0.45">
      <c r="B3022" s="468"/>
      <c r="C3022" s="450"/>
      <c r="J3022" s="451"/>
      <c r="K3022" s="451"/>
      <c r="L3022" s="452"/>
      <c r="M3022" s="527"/>
      <c r="N3022" s="451"/>
      <c r="O3022" s="531"/>
      <c r="P3022" s="459"/>
      <c r="Q3022" s="469"/>
      <c r="R3022" s="512" t="str">
        <f>R3021</f>
        <v>DELETE</v>
      </c>
      <c r="T3022" s="521"/>
    </row>
    <row r="3023" spans="2:20" ht="9" customHeight="1" x14ac:dyDescent="0.45">
      <c r="B3023" s="468"/>
      <c r="C3023" s="450"/>
      <c r="J3023" s="451"/>
      <c r="K3023" s="451"/>
      <c r="L3023" s="452"/>
      <c r="M3023" s="527"/>
      <c r="N3023" s="451"/>
      <c r="O3023" s="558"/>
      <c r="P3023" s="459"/>
      <c r="Q3023" s="469"/>
      <c r="R3023" s="512" t="str">
        <f>R3021</f>
        <v>DELETE</v>
      </c>
      <c r="T3023" s="521"/>
    </row>
    <row r="3024" spans="2:20" ht="31.5" customHeight="1" x14ac:dyDescent="0.45">
      <c r="B3024" s="468"/>
      <c r="C3024" s="450"/>
      <c r="D3024" s="449" t="str">
        <f>TrialBalanceB!C28</f>
        <v>Insurance claims - Rental Properties</v>
      </c>
      <c r="J3024" s="451"/>
      <c r="K3024" s="451"/>
      <c r="L3024" s="452"/>
      <c r="M3024" s="527"/>
      <c r="N3024" s="451"/>
      <c r="O3024" s="559">
        <f>-TrialBalanceB!I28</f>
        <v>0</v>
      </c>
      <c r="P3024" s="459"/>
      <c r="Q3024" s="469"/>
      <c r="R3024" s="512" t="str">
        <f t="shared" ref="R3024:R3028" si="231">IF(R$2989="DELETE","DELETE",IF(O3024=0,"DELETE"," "))</f>
        <v>DELETE</v>
      </c>
      <c r="T3024" s="521"/>
    </row>
    <row r="3025" spans="2:22" ht="31.5" customHeight="1" x14ac:dyDescent="0.45">
      <c r="B3025" s="468"/>
      <c r="C3025" s="450"/>
      <c r="D3025" s="449" t="str">
        <f>TrialBalanceB!C29</f>
        <v>Government grants received</v>
      </c>
      <c r="J3025" s="451"/>
      <c r="K3025" s="451"/>
      <c r="L3025" s="452"/>
      <c r="M3025" s="527"/>
      <c r="N3025" s="451"/>
      <c r="O3025" s="559">
        <f>-TrialBalanceB!I29</f>
        <v>0</v>
      </c>
      <c r="P3025" s="459"/>
      <c r="Q3025" s="469"/>
      <c r="R3025" s="512" t="str">
        <f t="shared" si="231"/>
        <v>DELETE</v>
      </c>
      <c r="T3025" s="521"/>
    </row>
    <row r="3026" spans="2:22" ht="31.5" customHeight="1" x14ac:dyDescent="0.45">
      <c r="B3026" s="468"/>
      <c r="C3026" s="450"/>
      <c r="D3026" s="449">
        <f>TrialBalanceB!C30</f>
        <v>0</v>
      </c>
      <c r="J3026" s="451"/>
      <c r="K3026" s="451"/>
      <c r="L3026" s="452"/>
      <c r="M3026" s="527"/>
      <c r="N3026" s="451"/>
      <c r="O3026" s="559">
        <f>-TrialBalanceB!I30</f>
        <v>0</v>
      </c>
      <c r="P3026" s="459"/>
      <c r="Q3026" s="469"/>
      <c r="R3026" s="512" t="str">
        <f t="shared" si="231"/>
        <v>DELETE</v>
      </c>
      <c r="T3026" s="521"/>
    </row>
    <row r="3027" spans="2:22" ht="31.5" customHeight="1" x14ac:dyDescent="0.45">
      <c r="B3027" s="468"/>
      <c r="C3027" s="450"/>
      <c r="D3027" s="449">
        <f>TrialBalanceB!C31</f>
        <v>0</v>
      </c>
      <c r="J3027" s="451"/>
      <c r="K3027" s="451"/>
      <c r="L3027" s="452"/>
      <c r="M3027" s="527"/>
      <c r="N3027" s="451"/>
      <c r="O3027" s="559">
        <f>-TrialBalanceB!I31</f>
        <v>0</v>
      </c>
      <c r="P3027" s="459"/>
      <c r="Q3027" s="469"/>
      <c r="R3027" s="512" t="str">
        <f t="shared" si="231"/>
        <v>DELETE</v>
      </c>
      <c r="T3027" s="521"/>
    </row>
    <row r="3028" spans="2:22" ht="31.5" customHeight="1" x14ac:dyDescent="0.45">
      <c r="B3028" s="468"/>
      <c r="C3028" s="450"/>
      <c r="D3028" s="449">
        <f>TrialBalanceB!C32</f>
        <v>0</v>
      </c>
      <c r="J3028" s="451"/>
      <c r="K3028" s="451"/>
      <c r="L3028" s="452"/>
      <c r="M3028" s="527"/>
      <c r="N3028" s="451"/>
      <c r="O3028" s="559">
        <f>-TrialBalanceB!I32</f>
        <v>0</v>
      </c>
      <c r="P3028" s="459"/>
      <c r="Q3028" s="469"/>
      <c r="R3028" s="512" t="str">
        <f t="shared" si="231"/>
        <v>DELETE</v>
      </c>
      <c r="T3028" s="521"/>
    </row>
    <row r="3029" spans="2:22" ht="31.5" customHeight="1" x14ac:dyDescent="0.45">
      <c r="B3029" s="468"/>
      <c r="C3029" s="450"/>
      <c r="D3029" s="449" t="str">
        <f>TrialBalanceB!C33</f>
        <v>Recoupment of depreciation</v>
      </c>
      <c r="J3029" s="451"/>
      <c r="K3029" s="451"/>
      <c r="L3029" s="452"/>
      <c r="M3029" s="527"/>
      <c r="N3029" s="451"/>
      <c r="O3029" s="559">
        <f>-TrialBalanceB!I33</f>
        <v>0</v>
      </c>
      <c r="P3029" s="459"/>
      <c r="Q3029" s="469"/>
      <c r="R3029" s="512" t="str">
        <f t="shared" ref="R3029" si="232">IF(R$2989="DELETE","DELETE",IF(O3029=0,"DELETE"," "))</f>
        <v>DELETE</v>
      </c>
      <c r="T3029" s="521"/>
    </row>
    <row r="3030" spans="2:22" ht="9" customHeight="1" x14ac:dyDescent="0.45">
      <c r="B3030" s="468"/>
      <c r="C3030" s="450"/>
      <c r="J3030" s="451"/>
      <c r="K3030" s="451"/>
      <c r="L3030" s="452"/>
      <c r="M3030" s="527"/>
      <c r="N3030" s="451"/>
      <c r="O3030" s="560"/>
      <c r="P3030" s="459"/>
      <c r="Q3030" s="469"/>
      <c r="R3030" s="512" t="str">
        <f>R3021</f>
        <v>DELETE</v>
      </c>
      <c r="T3030" s="521"/>
    </row>
    <row r="3031" spans="2:22" ht="9" customHeight="1" x14ac:dyDescent="0.45">
      <c r="B3031" s="468"/>
      <c r="C3031" s="450"/>
      <c r="J3031" s="451"/>
      <c r="K3031" s="451"/>
      <c r="L3031" s="452"/>
      <c r="M3031" s="527"/>
      <c r="N3031" s="451"/>
      <c r="O3031" s="547"/>
      <c r="P3031" s="459"/>
      <c r="Q3031" s="469"/>
      <c r="R3031" s="512" t="str">
        <f>R3030</f>
        <v>DELETE</v>
      </c>
      <c r="T3031" s="521"/>
    </row>
    <row r="3032" spans="2:22" ht="9" customHeight="1" x14ac:dyDescent="0.45">
      <c r="B3032" s="468"/>
      <c r="C3032" s="450"/>
      <c r="J3032" s="451"/>
      <c r="K3032" s="451"/>
      <c r="L3032" s="452"/>
      <c r="M3032" s="527"/>
      <c r="N3032" s="451"/>
      <c r="O3032" s="531"/>
      <c r="P3032" s="459"/>
      <c r="Q3032" s="469"/>
      <c r="R3032" s="512" t="str">
        <f>R3031</f>
        <v>DELETE</v>
      </c>
      <c r="T3032" s="521"/>
    </row>
    <row r="3033" spans="2:22" ht="31.5" customHeight="1" x14ac:dyDescent="0.45">
      <c r="B3033" s="468"/>
      <c r="C3033" s="450"/>
      <c r="J3033" s="451"/>
      <c r="K3033" s="451"/>
      <c r="L3033" s="452"/>
      <c r="M3033" s="527"/>
      <c r="N3033" s="451"/>
      <c r="O3033" s="531">
        <f>SUM(S3001:S3021)</f>
        <v>0</v>
      </c>
      <c r="P3033" s="459"/>
      <c r="Q3033" s="469"/>
      <c r="R3033" s="512" t="str">
        <f>R3021</f>
        <v>DELETE</v>
      </c>
      <c r="T3033" s="521"/>
    </row>
    <row r="3034" spans="2:22" ht="31.5" customHeight="1" x14ac:dyDescent="0.45">
      <c r="B3034" s="468"/>
      <c r="C3034" s="450"/>
      <c r="J3034" s="451"/>
      <c r="K3034" s="451"/>
      <c r="L3034" s="452"/>
      <c r="M3034" s="527"/>
      <c r="N3034" s="451"/>
      <c r="O3034" s="531"/>
      <c r="P3034" s="459"/>
      <c r="Q3034" s="469"/>
      <c r="R3034" s="512" t="str">
        <f>R3033</f>
        <v>DELETE</v>
      </c>
      <c r="T3034" s="521"/>
    </row>
    <row r="3035" spans="2:22" ht="31.5" customHeight="1" x14ac:dyDescent="0.45">
      <c r="B3035" s="468"/>
      <c r="C3035" s="450" t="s">
        <v>1416</v>
      </c>
      <c r="J3035" s="451"/>
      <c r="K3035" s="451"/>
      <c r="L3035" s="452"/>
      <c r="M3035" s="527"/>
      <c r="N3035" s="451"/>
      <c r="O3035" s="531">
        <f>SUM(O3037:O3065)</f>
        <v>0</v>
      </c>
      <c r="P3035" s="459"/>
      <c r="Q3035" s="469"/>
      <c r="R3035" s="512" t="str">
        <f t="shared" ref="R3035" si="233">IF(R$2989="DELETE","DELETE",IF(O3035=0,"DELETE"," "))</f>
        <v>DELETE</v>
      </c>
      <c r="S3035" s="517">
        <f>-O3035</f>
        <v>0</v>
      </c>
      <c r="T3035" s="521"/>
      <c r="U3035" s="517"/>
      <c r="V3035" s="517"/>
    </row>
    <row r="3036" spans="2:22" ht="9" customHeight="1" x14ac:dyDescent="0.45">
      <c r="B3036" s="468"/>
      <c r="C3036" s="450"/>
      <c r="J3036" s="451"/>
      <c r="K3036" s="451"/>
      <c r="L3036" s="452"/>
      <c r="M3036" s="527"/>
      <c r="N3036" s="451"/>
      <c r="O3036" s="531"/>
      <c r="P3036" s="459"/>
      <c r="Q3036" s="469"/>
      <c r="R3036" s="512" t="str">
        <f>R3035</f>
        <v>DELETE</v>
      </c>
      <c r="T3036" s="521"/>
    </row>
    <row r="3037" spans="2:22" ht="9" customHeight="1" x14ac:dyDescent="0.45">
      <c r="B3037" s="468"/>
      <c r="C3037" s="450"/>
      <c r="J3037" s="451"/>
      <c r="K3037" s="451"/>
      <c r="L3037" s="452"/>
      <c r="M3037" s="527"/>
      <c r="N3037" s="451"/>
      <c r="O3037" s="558"/>
      <c r="P3037" s="459"/>
      <c r="Q3037" s="469"/>
      <c r="R3037" s="512" t="str">
        <f>R3036</f>
        <v>DELETE</v>
      </c>
      <c r="T3037" s="521"/>
    </row>
    <row r="3038" spans="2:22" ht="31.5" customHeight="1" x14ac:dyDescent="0.45">
      <c r="B3038" s="468"/>
      <c r="C3038" s="450"/>
      <c r="D3038" s="449" t="s">
        <v>335</v>
      </c>
      <c r="J3038" s="451"/>
      <c r="K3038" s="451"/>
      <c r="L3038" s="452"/>
      <c r="M3038" s="527"/>
      <c r="N3038" s="451"/>
      <c r="O3038" s="559">
        <f>TrialBalanceB!I40</f>
        <v>0</v>
      </c>
      <c r="P3038" s="459"/>
      <c r="Q3038" s="469"/>
      <c r="R3038" s="512" t="str">
        <f t="shared" ref="R3038:R3064" si="234">IF(R$2989="DELETE","DELETE",IF(O3038=0,"DELETE"," "))</f>
        <v>DELETE</v>
      </c>
      <c r="T3038" s="521"/>
    </row>
    <row r="3039" spans="2:22" ht="31.5" customHeight="1" x14ac:dyDescent="0.45">
      <c r="B3039" s="468"/>
      <c r="C3039" s="450"/>
      <c r="D3039" s="449" t="s">
        <v>888</v>
      </c>
      <c r="J3039" s="451"/>
      <c r="K3039" s="451"/>
      <c r="L3039" s="452"/>
      <c r="M3039" s="527"/>
      <c r="N3039" s="451"/>
      <c r="O3039" s="559">
        <f>TrialBalanceB!I41</f>
        <v>0</v>
      </c>
      <c r="P3039" s="459"/>
      <c r="Q3039" s="469"/>
      <c r="R3039" s="512" t="str">
        <f t="shared" si="234"/>
        <v>DELETE</v>
      </c>
      <c r="T3039" s="521"/>
    </row>
    <row r="3040" spans="2:22" ht="31.5" customHeight="1" x14ac:dyDescent="0.45">
      <c r="B3040" s="468"/>
      <c r="C3040" s="450"/>
      <c r="D3040" s="449" t="s">
        <v>336</v>
      </c>
      <c r="J3040" s="451"/>
      <c r="K3040" s="451"/>
      <c r="L3040" s="452"/>
      <c r="M3040" s="527"/>
      <c r="N3040" s="451"/>
      <c r="O3040" s="559">
        <f>TrialBalanceB!I42</f>
        <v>0</v>
      </c>
      <c r="P3040" s="459"/>
      <c r="Q3040" s="469"/>
      <c r="R3040" s="512" t="str">
        <f t="shared" si="234"/>
        <v>DELETE</v>
      </c>
      <c r="T3040" s="521"/>
    </row>
    <row r="3041" spans="2:22" ht="31.5" customHeight="1" x14ac:dyDescent="0.45">
      <c r="B3041" s="468"/>
      <c r="C3041" s="450"/>
      <c r="D3041" s="449" t="s">
        <v>337</v>
      </c>
      <c r="J3041" s="451"/>
      <c r="K3041" s="451">
        <f>C$1164</f>
        <v>4.2999999999999989</v>
      </c>
      <c r="L3041" s="452"/>
      <c r="M3041" s="527"/>
      <c r="N3041" s="451"/>
      <c r="O3041" s="559">
        <f>SUM(TrialBalanceB!I44:I46)</f>
        <v>0</v>
      </c>
      <c r="P3041" s="459"/>
      <c r="Q3041" s="469"/>
      <c r="R3041" s="512" t="str">
        <f t="shared" si="234"/>
        <v>DELETE</v>
      </c>
      <c r="T3041" s="521"/>
    </row>
    <row r="3042" spans="2:22" ht="31.5" customHeight="1" x14ac:dyDescent="0.45">
      <c r="B3042" s="468"/>
      <c r="C3042" s="450"/>
      <c r="D3042" s="449" t="s">
        <v>610</v>
      </c>
      <c r="J3042" s="451"/>
      <c r="K3042" s="451"/>
      <c r="L3042" s="452"/>
      <c r="M3042" s="527"/>
      <c r="N3042" s="451"/>
      <c r="O3042" s="559">
        <f>TrialBalanceB!I47</f>
        <v>0</v>
      </c>
      <c r="P3042" s="459"/>
      <c r="Q3042" s="469"/>
      <c r="R3042" s="512" t="str">
        <f t="shared" si="234"/>
        <v>DELETE</v>
      </c>
      <c r="S3042" s="518"/>
      <c r="T3042" s="521"/>
      <c r="U3042" s="518"/>
      <c r="V3042" s="518"/>
    </row>
    <row r="3043" spans="2:22" ht="31.5" customHeight="1" x14ac:dyDescent="0.45">
      <c r="B3043" s="468"/>
      <c r="C3043" s="450"/>
      <c r="D3043" s="449" t="s">
        <v>933</v>
      </c>
      <c r="J3043" s="451"/>
      <c r="K3043" s="451"/>
      <c r="L3043" s="452"/>
      <c r="M3043" s="527"/>
      <c r="N3043" s="451"/>
      <c r="O3043" s="559">
        <f>TrialBalanceB!I48</f>
        <v>0</v>
      </c>
      <c r="P3043" s="459"/>
      <c r="Q3043" s="469"/>
      <c r="R3043" s="512" t="str">
        <f t="shared" si="234"/>
        <v>DELETE</v>
      </c>
      <c r="T3043" s="521"/>
    </row>
    <row r="3044" spans="2:22" ht="31.5" customHeight="1" x14ac:dyDescent="0.45">
      <c r="B3044" s="468"/>
      <c r="C3044" s="450"/>
      <c r="D3044" s="449" t="s">
        <v>74</v>
      </c>
      <c r="J3044" s="451"/>
      <c r="K3044" s="451"/>
      <c r="L3044" s="452"/>
      <c r="M3044" s="527"/>
      <c r="N3044" s="451"/>
      <c r="O3044" s="559">
        <f>TrialBalanceB!I49</f>
        <v>0</v>
      </c>
      <c r="P3044" s="459"/>
      <c r="Q3044" s="469"/>
      <c r="R3044" s="512" t="str">
        <f t="shared" si="234"/>
        <v>DELETE</v>
      </c>
      <c r="T3044" s="521"/>
    </row>
    <row r="3045" spans="2:22" ht="31.5" customHeight="1" x14ac:dyDescent="0.45">
      <c r="B3045" s="468"/>
      <c r="C3045" s="450"/>
      <c r="D3045" s="449" t="s">
        <v>338</v>
      </c>
      <c r="J3045" s="451"/>
      <c r="K3045" s="451"/>
      <c r="L3045" s="452"/>
      <c r="M3045" s="527"/>
      <c r="N3045" s="451"/>
      <c r="O3045" s="559">
        <f>TrialBalanceB!I50</f>
        <v>0</v>
      </c>
      <c r="P3045" s="459"/>
      <c r="Q3045" s="469"/>
      <c r="R3045" s="512" t="str">
        <f t="shared" si="234"/>
        <v>DELETE</v>
      </c>
      <c r="T3045" s="521"/>
    </row>
    <row r="3046" spans="2:22" ht="31.5" customHeight="1" x14ac:dyDescent="0.45">
      <c r="B3046" s="468"/>
      <c r="C3046" s="450"/>
      <c r="D3046" s="449" t="s">
        <v>632</v>
      </c>
      <c r="J3046" s="451"/>
      <c r="K3046" s="451"/>
      <c r="L3046" s="452"/>
      <c r="M3046" s="527"/>
      <c r="N3046" s="451"/>
      <c r="O3046" s="559">
        <f>SUM(TrialBalanceB!I51:I52)</f>
        <v>0</v>
      </c>
      <c r="P3046" s="459"/>
      <c r="Q3046" s="469"/>
      <c r="R3046" s="512" t="str">
        <f t="shared" si="234"/>
        <v>DELETE</v>
      </c>
      <c r="T3046" s="521"/>
    </row>
    <row r="3047" spans="2:22" ht="31.5" customHeight="1" x14ac:dyDescent="0.45">
      <c r="B3047" s="468"/>
      <c r="C3047" s="450"/>
      <c r="D3047" s="449" t="s">
        <v>630</v>
      </c>
      <c r="J3047" s="451"/>
      <c r="K3047" s="451"/>
      <c r="L3047" s="452"/>
      <c r="M3047" s="527"/>
      <c r="N3047" s="451"/>
      <c r="O3047" s="559">
        <f>TrialBalanceB!I53</f>
        <v>0</v>
      </c>
      <c r="P3047" s="459"/>
      <c r="Q3047" s="469"/>
      <c r="R3047" s="512" t="str">
        <f t="shared" si="234"/>
        <v>DELETE</v>
      </c>
      <c r="T3047" s="521"/>
    </row>
    <row r="3048" spans="2:22" ht="31.5" customHeight="1" x14ac:dyDescent="0.45">
      <c r="B3048" s="468"/>
      <c r="C3048" s="450"/>
      <c r="D3048" s="449" t="s">
        <v>611</v>
      </c>
      <c r="J3048" s="451"/>
      <c r="K3048" s="451"/>
      <c r="L3048" s="452"/>
      <c r="M3048" s="527"/>
      <c r="N3048" s="451"/>
      <c r="O3048" s="559">
        <f>SUM(TrialBalanceB!I55:I59)</f>
        <v>0</v>
      </c>
      <c r="P3048" s="459"/>
      <c r="Q3048" s="469"/>
      <c r="R3048" s="512" t="str">
        <f t="shared" si="234"/>
        <v>DELETE</v>
      </c>
      <c r="T3048" s="521"/>
    </row>
    <row r="3049" spans="2:22" ht="31.5" customHeight="1" x14ac:dyDescent="0.45">
      <c r="B3049" s="468"/>
      <c r="C3049" s="450"/>
      <c r="D3049" s="449" t="s">
        <v>590</v>
      </c>
      <c r="J3049" s="451"/>
      <c r="K3049" s="451">
        <f>'FS2'!C$1132</f>
        <v>4.1999999999999993</v>
      </c>
      <c r="L3049" s="452"/>
      <c r="M3049" s="527"/>
      <c r="N3049" s="451"/>
      <c r="O3049" s="559">
        <f>SUM(TrialBalanceB!I61:I63)</f>
        <v>0</v>
      </c>
      <c r="P3049" s="459"/>
      <c r="Q3049" s="469"/>
      <c r="R3049" s="512" t="str">
        <f t="shared" si="234"/>
        <v>DELETE</v>
      </c>
      <c r="T3049" s="521"/>
    </row>
    <row r="3050" spans="2:22" ht="31.5" customHeight="1" x14ac:dyDescent="0.45">
      <c r="B3050" s="468"/>
      <c r="C3050" s="450"/>
      <c r="D3050" s="449" t="s">
        <v>82</v>
      </c>
      <c r="J3050" s="451"/>
      <c r="K3050" s="451"/>
      <c r="L3050" s="452"/>
      <c r="M3050" s="527"/>
      <c r="N3050" s="451"/>
      <c r="O3050" s="559">
        <f>TrialBalanceB!I64</f>
        <v>0</v>
      </c>
      <c r="P3050" s="459"/>
      <c r="Q3050" s="469"/>
      <c r="R3050" s="512" t="str">
        <f t="shared" si="234"/>
        <v>DELETE</v>
      </c>
      <c r="T3050" s="521"/>
    </row>
    <row r="3051" spans="2:22" ht="31.5" customHeight="1" x14ac:dyDescent="0.45">
      <c r="B3051" s="468"/>
      <c r="C3051" s="450"/>
      <c r="D3051" s="449" t="s">
        <v>309</v>
      </c>
      <c r="J3051" s="451"/>
      <c r="K3051" s="451"/>
      <c r="L3051" s="452"/>
      <c r="M3051" s="527"/>
      <c r="N3051" s="451"/>
      <c r="O3051" s="559">
        <f>SUM(TrialBalanceB!I65:I67)</f>
        <v>0</v>
      </c>
      <c r="P3051" s="459"/>
      <c r="Q3051" s="469"/>
      <c r="R3051" s="512" t="str">
        <f t="shared" si="234"/>
        <v>DELETE</v>
      </c>
      <c r="T3051" s="521"/>
    </row>
    <row r="3052" spans="2:22" ht="31.5" customHeight="1" x14ac:dyDescent="0.45">
      <c r="B3052" s="468"/>
      <c r="C3052" s="450"/>
      <c r="D3052" s="449" t="s">
        <v>934</v>
      </c>
      <c r="J3052" s="451"/>
      <c r="K3052" s="451"/>
      <c r="L3052" s="452"/>
      <c r="M3052" s="527"/>
      <c r="N3052" s="451"/>
      <c r="O3052" s="559">
        <f>SUM(TrialBalanceB!I68:I69)</f>
        <v>0</v>
      </c>
      <c r="P3052" s="459"/>
      <c r="Q3052" s="469"/>
      <c r="R3052" s="512" t="str">
        <f t="shared" si="234"/>
        <v>DELETE</v>
      </c>
      <c r="T3052" s="521"/>
    </row>
    <row r="3053" spans="2:22" ht="31.5" customHeight="1" x14ac:dyDescent="0.45">
      <c r="B3053" s="468"/>
      <c r="C3053" s="450"/>
      <c r="D3053" s="449" t="s">
        <v>310</v>
      </c>
      <c r="J3053" s="451"/>
      <c r="K3053" s="451"/>
      <c r="L3053" s="452"/>
      <c r="M3053" s="527"/>
      <c r="N3053" s="451"/>
      <c r="O3053" s="559">
        <f>TrialBalanceB!I70</f>
        <v>0</v>
      </c>
      <c r="P3053" s="459"/>
      <c r="Q3053" s="469"/>
      <c r="R3053" s="512" t="str">
        <f t="shared" si="234"/>
        <v>DELETE</v>
      </c>
      <c r="T3053" s="521"/>
    </row>
    <row r="3054" spans="2:22" ht="31.5" customHeight="1" x14ac:dyDescent="0.45">
      <c r="B3054" s="468"/>
      <c r="C3054" s="450"/>
      <c r="D3054" s="449" t="s">
        <v>461</v>
      </c>
      <c r="J3054" s="451"/>
      <c r="K3054" s="451"/>
      <c r="L3054" s="452"/>
      <c r="M3054" s="527"/>
      <c r="N3054" s="451"/>
      <c r="O3054" s="559">
        <f>TrialBalanceB!I71</f>
        <v>0</v>
      </c>
      <c r="P3054" s="459"/>
      <c r="Q3054" s="469"/>
      <c r="R3054" s="512" t="str">
        <f t="shared" si="234"/>
        <v>DELETE</v>
      </c>
      <c r="T3054" s="521"/>
    </row>
    <row r="3055" spans="2:22" ht="31.5" customHeight="1" x14ac:dyDescent="0.45">
      <c r="B3055" s="468"/>
      <c r="C3055" s="450"/>
      <c r="D3055" s="449">
        <f>TrialBalanceB!C72</f>
        <v>0</v>
      </c>
      <c r="J3055" s="451"/>
      <c r="K3055" s="451"/>
      <c r="L3055" s="452"/>
      <c r="M3055" s="527"/>
      <c r="N3055" s="451"/>
      <c r="O3055" s="559">
        <f>TrialBalanceB!I72</f>
        <v>0</v>
      </c>
      <c r="P3055" s="459"/>
      <c r="Q3055" s="469"/>
      <c r="R3055" s="512" t="str">
        <f t="shared" si="234"/>
        <v>DELETE</v>
      </c>
      <c r="T3055" s="521"/>
    </row>
    <row r="3056" spans="2:22" ht="31.5" customHeight="1" x14ac:dyDescent="0.45">
      <c r="B3056" s="468"/>
      <c r="C3056" s="450"/>
      <c r="D3056" s="449">
        <f>TrialBalanceB!C73</f>
        <v>0</v>
      </c>
      <c r="J3056" s="451"/>
      <c r="K3056" s="451"/>
      <c r="L3056" s="452"/>
      <c r="M3056" s="527"/>
      <c r="N3056" s="451"/>
      <c r="O3056" s="559">
        <f>TrialBalanceB!I73</f>
        <v>0</v>
      </c>
      <c r="P3056" s="459"/>
      <c r="Q3056" s="469"/>
      <c r="R3056" s="512" t="str">
        <f t="shared" si="234"/>
        <v>DELETE</v>
      </c>
      <c r="T3056" s="521"/>
    </row>
    <row r="3057" spans="2:20" ht="31.5" customHeight="1" x14ac:dyDescent="0.45">
      <c r="B3057" s="468"/>
      <c r="C3057" s="450"/>
      <c r="D3057" s="449">
        <f>TrialBalanceB!C74</f>
        <v>0</v>
      </c>
      <c r="J3057" s="451"/>
      <c r="K3057" s="451"/>
      <c r="L3057" s="452"/>
      <c r="M3057" s="527"/>
      <c r="N3057" s="451"/>
      <c r="O3057" s="559">
        <f>TrialBalanceB!I74</f>
        <v>0</v>
      </c>
      <c r="P3057" s="459"/>
      <c r="Q3057" s="469"/>
      <c r="R3057" s="512" t="str">
        <f t="shared" si="234"/>
        <v>DELETE</v>
      </c>
      <c r="T3057" s="521"/>
    </row>
    <row r="3058" spans="2:20" ht="31.5" customHeight="1" x14ac:dyDescent="0.45">
      <c r="B3058" s="468"/>
      <c r="C3058" s="450"/>
      <c r="D3058" s="449">
        <f>TrialBalanceB!C75</f>
        <v>0</v>
      </c>
      <c r="J3058" s="451"/>
      <c r="K3058" s="451"/>
      <c r="L3058" s="452"/>
      <c r="M3058" s="527"/>
      <c r="N3058" s="451"/>
      <c r="O3058" s="559">
        <f>TrialBalanceB!I75</f>
        <v>0</v>
      </c>
      <c r="P3058" s="459"/>
      <c r="Q3058" s="469"/>
      <c r="R3058" s="512" t="str">
        <f t="shared" si="234"/>
        <v>DELETE</v>
      </c>
      <c r="T3058" s="521"/>
    </row>
    <row r="3059" spans="2:20" ht="31.5" customHeight="1" x14ac:dyDescent="0.45">
      <c r="B3059" s="468"/>
      <c r="C3059" s="450"/>
      <c r="D3059" s="449">
        <f>TrialBalanceB!C76</f>
        <v>0</v>
      </c>
      <c r="J3059" s="451"/>
      <c r="K3059" s="451"/>
      <c r="L3059" s="452"/>
      <c r="M3059" s="527"/>
      <c r="N3059" s="451"/>
      <c r="O3059" s="559">
        <f>TrialBalanceB!I76</f>
        <v>0</v>
      </c>
      <c r="P3059" s="459"/>
      <c r="Q3059" s="469"/>
      <c r="R3059" s="512" t="str">
        <f t="shared" si="234"/>
        <v>DELETE</v>
      </c>
      <c r="T3059" s="521"/>
    </row>
    <row r="3060" spans="2:20" ht="31.5" customHeight="1" x14ac:dyDescent="0.45">
      <c r="B3060" s="468"/>
      <c r="C3060" s="450"/>
      <c r="D3060" s="449">
        <f>TrialBalanceB!C77</f>
        <v>0</v>
      </c>
      <c r="J3060" s="451"/>
      <c r="K3060" s="451"/>
      <c r="L3060" s="452"/>
      <c r="M3060" s="527"/>
      <c r="N3060" s="451"/>
      <c r="O3060" s="559">
        <f>TrialBalanceB!I77</f>
        <v>0</v>
      </c>
      <c r="P3060" s="459"/>
      <c r="Q3060" s="469"/>
      <c r="R3060" s="512" t="str">
        <f t="shared" si="234"/>
        <v>DELETE</v>
      </c>
      <c r="T3060" s="521"/>
    </row>
    <row r="3061" spans="2:20" ht="31.5" customHeight="1" x14ac:dyDescent="0.45">
      <c r="B3061" s="468"/>
      <c r="C3061" s="450"/>
      <c r="D3061" s="449">
        <f>TrialBalanceB!C78</f>
        <v>0</v>
      </c>
      <c r="J3061" s="451"/>
      <c r="K3061" s="451"/>
      <c r="L3061" s="452"/>
      <c r="M3061" s="527"/>
      <c r="N3061" s="451"/>
      <c r="O3061" s="559">
        <f>TrialBalanceB!I78</f>
        <v>0</v>
      </c>
      <c r="P3061" s="459"/>
      <c r="Q3061" s="469"/>
      <c r="R3061" s="512" t="str">
        <f t="shared" si="234"/>
        <v>DELETE</v>
      </c>
      <c r="T3061" s="521"/>
    </row>
    <row r="3062" spans="2:20" ht="31.5" customHeight="1" x14ac:dyDescent="0.45">
      <c r="B3062" s="468"/>
      <c r="C3062" s="450"/>
      <c r="D3062" s="449">
        <f>TrialBalanceB!C79</f>
        <v>0</v>
      </c>
      <c r="J3062" s="451"/>
      <c r="K3062" s="451"/>
      <c r="L3062" s="452"/>
      <c r="M3062" s="527"/>
      <c r="N3062" s="451"/>
      <c r="O3062" s="559">
        <f>TrialBalanceB!I79</f>
        <v>0</v>
      </c>
      <c r="P3062" s="459"/>
      <c r="Q3062" s="469"/>
      <c r="R3062" s="512" t="str">
        <f t="shared" si="234"/>
        <v>DELETE</v>
      </c>
      <c r="T3062" s="521"/>
    </row>
    <row r="3063" spans="2:20" ht="31.5" customHeight="1" x14ac:dyDescent="0.45">
      <c r="B3063" s="468"/>
      <c r="C3063" s="450"/>
      <c r="D3063" s="449">
        <f>TrialBalanceB!C80</f>
        <v>0</v>
      </c>
      <c r="J3063" s="451"/>
      <c r="K3063" s="451"/>
      <c r="L3063" s="452"/>
      <c r="M3063" s="527"/>
      <c r="N3063" s="451"/>
      <c r="O3063" s="559">
        <f>TrialBalanceB!I80</f>
        <v>0</v>
      </c>
      <c r="P3063" s="459"/>
      <c r="Q3063" s="469"/>
      <c r="R3063" s="512" t="str">
        <f t="shared" si="234"/>
        <v>DELETE</v>
      </c>
      <c r="T3063" s="521"/>
    </row>
    <row r="3064" spans="2:20" ht="31.5" customHeight="1" x14ac:dyDescent="0.45">
      <c r="B3064" s="468"/>
      <c r="C3064" s="450"/>
      <c r="D3064" s="449">
        <f>TrialBalanceB!C81</f>
        <v>0</v>
      </c>
      <c r="J3064" s="451"/>
      <c r="K3064" s="451"/>
      <c r="L3064" s="452"/>
      <c r="M3064" s="527"/>
      <c r="N3064" s="451"/>
      <c r="O3064" s="559">
        <f>TrialBalanceB!I81</f>
        <v>0</v>
      </c>
      <c r="P3064" s="459"/>
      <c r="Q3064" s="469"/>
      <c r="R3064" s="512" t="str">
        <f t="shared" si="234"/>
        <v>DELETE</v>
      </c>
      <c r="T3064" s="521"/>
    </row>
    <row r="3065" spans="2:20" ht="9" customHeight="1" x14ac:dyDescent="0.45">
      <c r="B3065" s="468"/>
      <c r="C3065" s="450"/>
      <c r="J3065" s="451"/>
      <c r="K3065" s="451"/>
      <c r="L3065" s="452"/>
      <c r="M3065" s="527"/>
      <c r="N3065" s="451"/>
      <c r="O3065" s="560"/>
      <c r="P3065" s="459"/>
      <c r="Q3065" s="469"/>
      <c r="R3065" s="512" t="str">
        <f>R3035</f>
        <v>DELETE</v>
      </c>
      <c r="T3065" s="521"/>
    </row>
    <row r="3066" spans="2:20" ht="9" customHeight="1" x14ac:dyDescent="0.45">
      <c r="B3066" s="468"/>
      <c r="C3066" s="450"/>
      <c r="J3066" s="451"/>
      <c r="K3066" s="451"/>
      <c r="L3066" s="452"/>
      <c r="M3066" s="527"/>
      <c r="N3066" s="451"/>
      <c r="O3066" s="535"/>
      <c r="P3066" s="459"/>
      <c r="Q3066" s="469"/>
      <c r="R3066" s="512" t="str">
        <f t="shared" ref="R3066:R3086" si="235">R$2989</f>
        <v>DELETE</v>
      </c>
      <c r="T3066" s="521"/>
    </row>
    <row r="3067" spans="2:20" ht="9" customHeight="1" x14ac:dyDescent="0.45">
      <c r="B3067" s="468"/>
      <c r="C3067" s="450"/>
      <c r="J3067" s="451"/>
      <c r="K3067" s="451"/>
      <c r="L3067" s="452"/>
      <c r="M3067" s="527"/>
      <c r="N3067" s="451"/>
      <c r="O3067" s="531"/>
      <c r="P3067" s="459"/>
      <c r="Q3067" s="469"/>
      <c r="R3067" s="512" t="str">
        <f t="shared" si="235"/>
        <v>DELETE</v>
      </c>
      <c r="T3067" s="521"/>
    </row>
    <row r="3068" spans="2:20" ht="31.5" customHeight="1" x14ac:dyDescent="0.45">
      <c r="B3068" s="468"/>
      <c r="C3068" s="492" t="str">
        <f>IF(O3068&lt;0,"OPERATING LOSS","OPERATING PROFIT")</f>
        <v>OPERATING PROFIT</v>
      </c>
      <c r="J3068" s="451"/>
      <c r="K3068" s="451"/>
      <c r="L3068" s="452"/>
      <c r="M3068" s="527"/>
      <c r="N3068" s="451"/>
      <c r="O3068" s="531">
        <f>SUM(S3001:S3066)</f>
        <v>0</v>
      </c>
      <c r="P3068" s="459"/>
      <c r="Q3068" s="469"/>
      <c r="R3068" s="512" t="str">
        <f t="shared" si="235"/>
        <v>DELETE</v>
      </c>
      <c r="T3068" s="521"/>
    </row>
    <row r="3069" spans="2:20" ht="31.5" customHeight="1" x14ac:dyDescent="0.45">
      <c r="B3069" s="468"/>
      <c r="C3069" s="450"/>
      <c r="D3069" s="449" t="s">
        <v>312</v>
      </c>
      <c r="J3069" s="451"/>
      <c r="K3069" s="451"/>
      <c r="L3069" s="452"/>
      <c r="M3069" s="527"/>
      <c r="N3069" s="451"/>
      <c r="O3069" s="531"/>
      <c r="P3069" s="459"/>
      <c r="Q3069" s="469"/>
      <c r="R3069" s="512" t="str">
        <f t="shared" si="235"/>
        <v>DELETE</v>
      </c>
      <c r="T3069" s="521"/>
    </row>
    <row r="3070" spans="2:20" ht="31.5" customHeight="1" x14ac:dyDescent="0.45">
      <c r="B3070" s="468"/>
      <c r="C3070" s="450"/>
      <c r="J3070" s="451"/>
      <c r="K3070" s="451"/>
      <c r="L3070" s="452"/>
      <c r="M3070" s="527"/>
      <c r="N3070" s="451"/>
      <c r="O3070" s="531"/>
      <c r="P3070" s="459"/>
      <c r="Q3070" s="469"/>
      <c r="R3070" s="512" t="str">
        <f t="shared" si="235"/>
        <v>DELETE</v>
      </c>
      <c r="T3070" s="521"/>
    </row>
    <row r="3071" spans="2:20" ht="31.5" customHeight="1" x14ac:dyDescent="0.45">
      <c r="B3071" s="468"/>
      <c r="C3071" s="450"/>
      <c r="J3071" s="451"/>
      <c r="K3071" s="451"/>
      <c r="L3071" s="451"/>
      <c r="M3071" s="531"/>
      <c r="N3071" s="470"/>
      <c r="O3071" s="531"/>
      <c r="P3071" s="459"/>
      <c r="Q3071" s="469"/>
      <c r="R3071" s="512" t="str">
        <f t="shared" si="235"/>
        <v>DELETE</v>
      </c>
      <c r="T3071" s="521"/>
    </row>
    <row r="3072" spans="2:20" ht="31.5" customHeight="1" x14ac:dyDescent="0.45">
      <c r="B3072" s="477"/>
      <c r="C3072" s="502"/>
      <c r="D3072" s="461"/>
      <c r="E3072" s="461"/>
      <c r="F3072" s="461"/>
      <c r="G3072" s="461"/>
      <c r="H3072" s="461"/>
      <c r="I3072" s="461"/>
      <c r="J3072" s="483"/>
      <c r="K3072" s="483"/>
      <c r="L3072" s="483"/>
      <c r="M3072" s="535"/>
      <c r="N3072" s="473"/>
      <c r="O3072" s="535"/>
      <c r="P3072" s="484"/>
      <c r="Q3072" s="479"/>
      <c r="R3072" s="512" t="str">
        <f t="shared" si="235"/>
        <v>DELETE</v>
      </c>
      <c r="T3072" s="521"/>
    </row>
    <row r="3073" spans="2:22" ht="31.5" customHeight="1" x14ac:dyDescent="0.45">
      <c r="C3073" s="450"/>
      <c r="J3073" s="451"/>
      <c r="K3073" s="451"/>
      <c r="L3073" s="451"/>
      <c r="M3073" s="531"/>
      <c r="N3073" s="470"/>
      <c r="O3073" s="531"/>
      <c r="P3073" s="459"/>
      <c r="R3073" s="512" t="str">
        <f t="shared" si="235"/>
        <v>DELETE</v>
      </c>
      <c r="T3073" s="521"/>
    </row>
    <row r="3074" spans="2:22" ht="31.5" customHeight="1" x14ac:dyDescent="0.45">
      <c r="C3074" s="450"/>
      <c r="J3074" s="451"/>
      <c r="K3074" s="451"/>
      <c r="L3074" s="451"/>
      <c r="M3074" s="531"/>
      <c r="N3074" s="470"/>
      <c r="O3074" s="531"/>
      <c r="P3074" s="459"/>
      <c r="R3074" s="512" t="str">
        <f t="shared" si="235"/>
        <v>DELETE</v>
      </c>
      <c r="T3074" s="521"/>
    </row>
    <row r="3075" spans="2:22" ht="31.5" customHeight="1" x14ac:dyDescent="0.45">
      <c r="C3075" s="450"/>
      <c r="D3075" s="450" t="str">
        <f>Criteria!E9</f>
        <v>ABC COMPANY (PROPRIETARY) LIMITED</v>
      </c>
      <c r="J3075" s="451"/>
      <c r="K3075" s="451"/>
      <c r="L3075" s="451"/>
      <c r="M3075" s="531"/>
      <c r="N3075" s="470"/>
      <c r="O3075" s="531" t="s">
        <v>121</v>
      </c>
      <c r="P3075" s="459"/>
      <c r="Q3075" s="451">
        <f>MAX($Q$2992:Q3074)+1</f>
        <v>2</v>
      </c>
      <c r="R3075" s="512" t="str">
        <f t="shared" si="235"/>
        <v>DELETE</v>
      </c>
      <c r="T3075" s="521"/>
    </row>
    <row r="3076" spans="2:22" ht="31.5" customHeight="1" x14ac:dyDescent="0.45">
      <c r="C3076" s="450"/>
      <c r="D3076" s="450" t="str">
        <f>CONCATENATE("T/A ",Criteria!E15)</f>
        <v>T/A RENTAL PROPERTIES</v>
      </c>
      <c r="J3076" s="451"/>
      <c r="K3076" s="451"/>
      <c r="L3076" s="451"/>
      <c r="M3076" s="531"/>
      <c r="N3076" s="470"/>
      <c r="O3076" s="531"/>
      <c r="P3076" s="459"/>
      <c r="R3076" s="512" t="str">
        <f t="shared" si="235"/>
        <v>DELETE</v>
      </c>
      <c r="T3076" s="521"/>
    </row>
    <row r="3077" spans="2:22" ht="31.5" customHeight="1" x14ac:dyDescent="0.45">
      <c r="C3077" s="450"/>
      <c r="J3077" s="451"/>
      <c r="K3077" s="451"/>
      <c r="L3077" s="451"/>
      <c r="M3077" s="531"/>
      <c r="N3077" s="470"/>
      <c r="O3077" s="531"/>
      <c r="P3077" s="459"/>
      <c r="R3077" s="512" t="str">
        <f t="shared" si="235"/>
        <v>DELETE</v>
      </c>
      <c r="T3077" s="521"/>
    </row>
    <row r="3078" spans="2:22" ht="31.5" customHeight="1" x14ac:dyDescent="0.45">
      <c r="C3078" s="450"/>
      <c r="D3078" s="450" t="s">
        <v>115</v>
      </c>
      <c r="J3078" s="451"/>
      <c r="K3078" s="451"/>
      <c r="L3078" s="451"/>
      <c r="M3078" s="531"/>
      <c r="N3078" s="470"/>
      <c r="O3078" s="531"/>
      <c r="P3078" s="459"/>
      <c r="R3078" s="512" t="str">
        <f t="shared" si="235"/>
        <v>DELETE</v>
      </c>
      <c r="T3078" s="521"/>
    </row>
    <row r="3079" spans="2:22" ht="31.5" customHeight="1" x14ac:dyDescent="0.45">
      <c r="C3079" s="450"/>
      <c r="D3079" s="450" t="str">
        <f>D2996</f>
        <v>29 FEBRUARY 2024</v>
      </c>
      <c r="H3079" s="449" t="s">
        <v>127</v>
      </c>
      <c r="J3079" s="451"/>
      <c r="K3079" s="451"/>
      <c r="L3079" s="451"/>
      <c r="M3079" s="531"/>
      <c r="N3079" s="470"/>
      <c r="O3079" s="531"/>
      <c r="P3079" s="459"/>
      <c r="R3079" s="512" t="str">
        <f t="shared" si="235"/>
        <v>DELETE</v>
      </c>
      <c r="T3079" s="521"/>
    </row>
    <row r="3080" spans="2:22" ht="31.5" customHeight="1" x14ac:dyDescent="0.45">
      <c r="C3080" s="450"/>
      <c r="J3080" s="451"/>
      <c r="K3080" s="483"/>
      <c r="L3080" s="483"/>
      <c r="M3080" s="535"/>
      <c r="N3080" s="473"/>
      <c r="O3080" s="535"/>
      <c r="P3080" s="459"/>
      <c r="R3080" s="512" t="str">
        <f t="shared" si="235"/>
        <v>DELETE</v>
      </c>
      <c r="T3080" s="521"/>
    </row>
    <row r="3081" spans="2:22" ht="31.5" customHeight="1" x14ac:dyDescent="0.45">
      <c r="B3081" s="465"/>
      <c r="C3081" s="503"/>
      <c r="D3081" s="466"/>
      <c r="E3081" s="466"/>
      <c r="F3081" s="466"/>
      <c r="G3081" s="466"/>
      <c r="H3081" s="466"/>
      <c r="I3081" s="466"/>
      <c r="J3081" s="511"/>
      <c r="M3081" s="635"/>
      <c r="N3081" s="621"/>
      <c r="O3081" s="635"/>
      <c r="P3081" s="506"/>
      <c r="Q3081" s="467"/>
      <c r="R3081" s="512" t="str">
        <f t="shared" si="235"/>
        <v>DELETE</v>
      </c>
      <c r="T3081" s="521"/>
    </row>
    <row r="3082" spans="2:22" ht="31.5" customHeight="1" x14ac:dyDescent="0.45">
      <c r="B3082" s="468"/>
      <c r="C3082" s="450"/>
      <c r="J3082" s="451"/>
      <c r="K3082" s="451"/>
      <c r="L3082" s="452"/>
      <c r="M3082" s="527"/>
      <c r="N3082" s="451"/>
      <c r="O3082" s="525">
        <f>Criteria!E22</f>
        <v>2024</v>
      </c>
      <c r="P3082" s="459"/>
      <c r="Q3082" s="469"/>
      <c r="R3082" s="512" t="str">
        <f t="shared" si="235"/>
        <v>DELETE</v>
      </c>
      <c r="T3082" s="521"/>
    </row>
    <row r="3083" spans="2:22" ht="31.5" customHeight="1" x14ac:dyDescent="0.45">
      <c r="B3083" s="468"/>
      <c r="C3083" s="450"/>
      <c r="J3083" s="451"/>
      <c r="K3083" s="451"/>
      <c r="L3083" s="452"/>
      <c r="M3083" s="527"/>
      <c r="N3083" s="451"/>
      <c r="O3083" s="531"/>
      <c r="P3083" s="459"/>
      <c r="Q3083" s="469"/>
      <c r="R3083" s="512" t="str">
        <f t="shared" si="235"/>
        <v>DELETE</v>
      </c>
      <c r="T3083" s="521"/>
    </row>
    <row r="3084" spans="2:22" ht="31.5" customHeight="1" x14ac:dyDescent="0.45">
      <c r="B3084" s="468"/>
      <c r="C3084" s="492" t="str">
        <f>IF(O3084&lt;0,"OPERATING LOSS","OPERATING PROFIT")</f>
        <v>OPERATING PROFIT</v>
      </c>
      <c r="J3084" s="451"/>
      <c r="K3084" s="451"/>
      <c r="L3084" s="452"/>
      <c r="M3084" s="527"/>
      <c r="N3084" s="451"/>
      <c r="O3084" s="531">
        <f>SUM(S3001:S3065)</f>
        <v>0</v>
      </c>
      <c r="P3084" s="459"/>
      <c r="Q3084" s="469"/>
      <c r="R3084" s="512" t="str">
        <f t="shared" si="235"/>
        <v>DELETE</v>
      </c>
      <c r="T3084" s="521"/>
      <c r="U3084" s="513" t="b">
        <f>O3084=O3068</f>
        <v>1</v>
      </c>
    </row>
    <row r="3085" spans="2:22" ht="31.5" customHeight="1" x14ac:dyDescent="0.45">
      <c r="B3085" s="468"/>
      <c r="C3085" s="450"/>
      <c r="D3085" s="449" t="s">
        <v>313</v>
      </c>
      <c r="J3085" s="451"/>
      <c r="K3085" s="451"/>
      <c r="L3085" s="452"/>
      <c r="M3085" s="527"/>
      <c r="N3085" s="451"/>
      <c r="O3085" s="531"/>
      <c r="P3085" s="459"/>
      <c r="Q3085" s="469"/>
      <c r="R3085" s="512" t="str">
        <f t="shared" si="235"/>
        <v>DELETE</v>
      </c>
      <c r="T3085" s="521"/>
    </row>
    <row r="3086" spans="2:22" ht="31.5" customHeight="1" x14ac:dyDescent="0.45">
      <c r="B3086" s="468"/>
      <c r="C3086" s="450"/>
      <c r="J3086" s="451"/>
      <c r="K3086" s="451"/>
      <c r="L3086" s="452"/>
      <c r="M3086" s="527"/>
      <c r="N3086" s="451"/>
      <c r="O3086" s="531"/>
      <c r="P3086" s="459"/>
      <c r="Q3086" s="469"/>
      <c r="R3086" s="512" t="str">
        <f t="shared" si="235"/>
        <v>DELETE</v>
      </c>
      <c r="T3086" s="521"/>
    </row>
    <row r="3087" spans="2:22" ht="31.5" customHeight="1" x14ac:dyDescent="0.45">
      <c r="B3087" s="468"/>
      <c r="C3087" s="450" t="s">
        <v>1307</v>
      </c>
      <c r="J3087" s="451"/>
      <c r="K3087" s="451"/>
      <c r="L3087" s="452"/>
      <c r="M3087" s="527"/>
      <c r="N3087" s="451"/>
      <c r="O3087" s="531">
        <f>SUM(O3090:O3123)</f>
        <v>0</v>
      </c>
      <c r="P3087" s="459"/>
      <c r="Q3087" s="469"/>
      <c r="R3087" s="512" t="str">
        <f t="shared" ref="R3087" si="236">IF(R$2989="DELETE","DELETE",IF(O3087=0,"DELETE"," "))</f>
        <v>DELETE</v>
      </c>
      <c r="S3087" s="517">
        <f>-O3087</f>
        <v>0</v>
      </c>
      <c r="T3087" s="521"/>
      <c r="U3087" s="517"/>
      <c r="V3087" s="517"/>
    </row>
    <row r="3088" spans="2:22" ht="9" customHeight="1" x14ac:dyDescent="0.45">
      <c r="B3088" s="468"/>
      <c r="C3088" s="450"/>
      <c r="J3088" s="451"/>
      <c r="K3088" s="451"/>
      <c r="L3088" s="452"/>
      <c r="M3088" s="527"/>
      <c r="N3088" s="451"/>
      <c r="O3088" s="531"/>
      <c r="P3088" s="459"/>
      <c r="Q3088" s="469"/>
      <c r="R3088" s="512" t="str">
        <f>R3087</f>
        <v>DELETE</v>
      </c>
      <c r="T3088" s="521"/>
    </row>
    <row r="3089" spans="2:20" ht="9" customHeight="1" x14ac:dyDescent="0.45">
      <c r="B3089" s="468"/>
      <c r="C3089" s="450"/>
      <c r="J3089" s="451"/>
      <c r="K3089" s="451"/>
      <c r="L3089" s="452"/>
      <c r="M3089" s="527"/>
      <c r="N3089" s="451"/>
      <c r="O3089" s="558"/>
      <c r="P3089" s="459"/>
      <c r="Q3089" s="469"/>
      <c r="R3089" s="512" t="str">
        <f>R3088</f>
        <v>DELETE</v>
      </c>
      <c r="T3089" s="521"/>
    </row>
    <row r="3090" spans="2:20" ht="31.5" customHeight="1" x14ac:dyDescent="0.45">
      <c r="B3090" s="468"/>
      <c r="C3090" s="450"/>
      <c r="D3090" s="449" t="s">
        <v>253</v>
      </c>
      <c r="J3090" s="451"/>
      <c r="K3090" s="451"/>
      <c r="L3090" s="452"/>
      <c r="M3090" s="527"/>
      <c r="N3090" s="451"/>
      <c r="O3090" s="559">
        <f>SUM(TrialBalanceB!I98:I101)</f>
        <v>0</v>
      </c>
      <c r="P3090" s="459"/>
      <c r="Q3090" s="469"/>
      <c r="R3090" s="512" t="str">
        <f t="shared" ref="R3090:R3121" si="237">IF(R$2989="DELETE","DELETE",IF(O3090=0,"DELETE"," "))</f>
        <v>DELETE</v>
      </c>
      <c r="T3090" s="521"/>
    </row>
    <row r="3091" spans="2:20" ht="31.5" customHeight="1" x14ac:dyDescent="0.45">
      <c r="B3091" s="468"/>
      <c r="C3091" s="450"/>
      <c r="D3091" s="449" t="s">
        <v>255</v>
      </c>
      <c r="J3091" s="451"/>
      <c r="K3091" s="451"/>
      <c r="L3091" s="452"/>
      <c r="M3091" s="527"/>
      <c r="N3091" s="451"/>
      <c r="O3091" s="559">
        <f>TrialBalanceB!I102</f>
        <v>0</v>
      </c>
      <c r="P3091" s="459"/>
      <c r="Q3091" s="469"/>
      <c r="R3091" s="512" t="str">
        <f t="shared" si="237"/>
        <v>DELETE</v>
      </c>
      <c r="T3091" s="521"/>
    </row>
    <row r="3092" spans="2:20" ht="31.5" customHeight="1" x14ac:dyDescent="0.45">
      <c r="B3092" s="468"/>
      <c r="C3092" s="450"/>
      <c r="D3092" s="449" t="s">
        <v>257</v>
      </c>
      <c r="J3092" s="451"/>
      <c r="K3092" s="451"/>
      <c r="L3092" s="452"/>
      <c r="M3092" s="527"/>
      <c r="N3092" s="451"/>
      <c r="O3092" s="559">
        <f>TrialBalanceB!I103</f>
        <v>0</v>
      </c>
      <c r="P3092" s="459"/>
      <c r="Q3092" s="469"/>
      <c r="R3092" s="512" t="str">
        <f t="shared" si="237"/>
        <v>DELETE</v>
      </c>
      <c r="T3092" s="521"/>
    </row>
    <row r="3093" spans="2:20" ht="31.5" customHeight="1" x14ac:dyDescent="0.45">
      <c r="B3093" s="468"/>
      <c r="C3093" s="450"/>
      <c r="D3093" s="449" t="s">
        <v>314</v>
      </c>
      <c r="J3093" s="451"/>
      <c r="K3093" s="451"/>
      <c r="L3093" s="452"/>
      <c r="M3093" s="527"/>
      <c r="N3093" s="451"/>
      <c r="O3093" s="559">
        <f>TrialBalanceB!I104</f>
        <v>0</v>
      </c>
      <c r="P3093" s="459"/>
      <c r="Q3093" s="469"/>
      <c r="R3093" s="512" t="str">
        <f t="shared" si="237"/>
        <v>DELETE</v>
      </c>
      <c r="T3093" s="521"/>
    </row>
    <row r="3094" spans="2:20" ht="31.5" customHeight="1" x14ac:dyDescent="0.45">
      <c r="B3094" s="468"/>
      <c r="C3094" s="450"/>
      <c r="D3094" s="449" t="s">
        <v>260</v>
      </c>
      <c r="J3094" s="451"/>
      <c r="K3094" s="451"/>
      <c r="L3094" s="452"/>
      <c r="M3094" s="527"/>
      <c r="N3094" s="451"/>
      <c r="O3094" s="559">
        <f>TrialBalanceB!I105</f>
        <v>0</v>
      </c>
      <c r="P3094" s="459"/>
      <c r="Q3094" s="469"/>
      <c r="R3094" s="512" t="str">
        <f t="shared" si="237"/>
        <v>DELETE</v>
      </c>
      <c r="T3094" s="521"/>
    </row>
    <row r="3095" spans="2:20" ht="31.5" customHeight="1" x14ac:dyDescent="0.45">
      <c r="B3095" s="468"/>
      <c r="C3095" s="450"/>
      <c r="D3095" s="449" t="s">
        <v>935</v>
      </c>
      <c r="J3095" s="451"/>
      <c r="K3095" s="451"/>
      <c r="L3095" s="452"/>
      <c r="M3095" s="527"/>
      <c r="N3095" s="451"/>
      <c r="O3095" s="559">
        <f>TrialBalanceB!I106</f>
        <v>0</v>
      </c>
      <c r="P3095" s="459"/>
      <c r="Q3095" s="469"/>
      <c r="R3095" s="512" t="str">
        <f t="shared" si="237"/>
        <v>DELETE</v>
      </c>
      <c r="T3095" s="521"/>
    </row>
    <row r="3096" spans="2:20" ht="31.5" customHeight="1" x14ac:dyDescent="0.45">
      <c r="B3096" s="468"/>
      <c r="C3096" s="450"/>
      <c r="D3096" s="449" t="s">
        <v>337</v>
      </c>
      <c r="J3096" s="451"/>
      <c r="K3096" s="451">
        <f>C$1164</f>
        <v>4.2999999999999989</v>
      </c>
      <c r="L3096" s="452"/>
      <c r="M3096" s="527"/>
      <c r="N3096" s="451"/>
      <c r="O3096" s="559">
        <f>SUM(TrialBalanceB!I108:I109)</f>
        <v>0</v>
      </c>
      <c r="P3096" s="459"/>
      <c r="Q3096" s="469"/>
      <c r="R3096" s="512" t="str">
        <f t="shared" si="237"/>
        <v>DELETE</v>
      </c>
      <c r="T3096" s="521"/>
    </row>
    <row r="3097" spans="2:20" ht="31.5" customHeight="1" x14ac:dyDescent="0.45">
      <c r="B3097" s="468"/>
      <c r="C3097" s="450"/>
      <c r="D3097" s="449" t="str">
        <f>IF(MAX(Criteria!I41:I45)&gt;1,"Directors' remuneration","Director's remuneration")</f>
        <v>Directors' remuneration</v>
      </c>
      <c r="J3097" s="451"/>
      <c r="K3097" s="451">
        <f>C$1105</f>
        <v>4.0999999999999996</v>
      </c>
      <c r="L3097" s="452"/>
      <c r="M3097" s="527"/>
      <c r="N3097" s="451"/>
      <c r="O3097" s="559">
        <f>SUM(TrialBalanceB!I111:I115)</f>
        <v>0</v>
      </c>
      <c r="P3097" s="459"/>
      <c r="Q3097" s="469"/>
      <c r="R3097" s="512" t="str">
        <f t="shared" si="237"/>
        <v>DELETE</v>
      </c>
      <c r="T3097" s="521"/>
    </row>
    <row r="3098" spans="2:20" ht="31.5" customHeight="1" x14ac:dyDescent="0.45">
      <c r="B3098" s="468"/>
      <c r="C3098" s="450"/>
      <c r="D3098" s="449" t="s">
        <v>315</v>
      </c>
      <c r="J3098" s="451"/>
      <c r="K3098" s="451"/>
      <c r="L3098" s="452"/>
      <c r="M3098" s="527"/>
      <c r="N3098" s="451"/>
      <c r="O3098" s="559">
        <f>TrialBalanceB!I116</f>
        <v>0</v>
      </c>
      <c r="P3098" s="459"/>
      <c r="Q3098" s="469"/>
      <c r="R3098" s="512" t="str">
        <f t="shared" si="237"/>
        <v>DELETE</v>
      </c>
      <c r="T3098" s="521"/>
    </row>
    <row r="3099" spans="2:20" ht="31.5" customHeight="1" x14ac:dyDescent="0.45">
      <c r="B3099" s="468"/>
      <c r="C3099" s="450"/>
      <c r="D3099" s="449" t="s">
        <v>443</v>
      </c>
      <c r="J3099" s="451"/>
      <c r="K3099" s="451"/>
      <c r="L3099" s="452"/>
      <c r="M3099" s="527"/>
      <c r="N3099" s="451"/>
      <c r="O3099" s="559">
        <f>TrialBalanceB!I117</f>
        <v>0</v>
      </c>
      <c r="P3099" s="459"/>
      <c r="Q3099" s="469"/>
      <c r="R3099" s="512" t="str">
        <f t="shared" si="237"/>
        <v>DELETE</v>
      </c>
      <c r="T3099" s="521"/>
    </row>
    <row r="3100" spans="2:20" ht="31.5" customHeight="1" x14ac:dyDescent="0.45">
      <c r="B3100" s="468"/>
      <c r="C3100" s="450"/>
      <c r="D3100" s="449" t="s">
        <v>392</v>
      </c>
      <c r="J3100" s="451"/>
      <c r="K3100" s="451"/>
      <c r="L3100" s="452"/>
      <c r="M3100" s="527"/>
      <c r="N3100" s="451"/>
      <c r="O3100" s="559">
        <f>TrialBalanceB!I118</f>
        <v>0</v>
      </c>
      <c r="P3100" s="459"/>
      <c r="Q3100" s="469"/>
      <c r="R3100" s="512" t="str">
        <f t="shared" si="237"/>
        <v>DELETE</v>
      </c>
      <c r="T3100" s="521"/>
    </row>
    <row r="3101" spans="2:20" ht="31.5" customHeight="1" x14ac:dyDescent="0.45">
      <c r="B3101" s="468"/>
      <c r="C3101" s="450"/>
      <c r="D3101" s="449" t="s">
        <v>445</v>
      </c>
      <c r="J3101" s="451"/>
      <c r="K3101" s="451"/>
      <c r="L3101" s="452"/>
      <c r="M3101" s="527"/>
      <c r="N3101" s="451"/>
      <c r="O3101" s="559">
        <f>TrialBalanceB!I119</f>
        <v>0</v>
      </c>
      <c r="P3101" s="459"/>
      <c r="Q3101" s="469"/>
      <c r="R3101" s="512" t="str">
        <f t="shared" si="237"/>
        <v>DELETE</v>
      </c>
      <c r="T3101" s="521"/>
    </row>
    <row r="3102" spans="2:20" ht="31.5" customHeight="1" x14ac:dyDescent="0.45">
      <c r="B3102" s="468"/>
      <c r="C3102" s="450"/>
      <c r="D3102" s="449" t="s">
        <v>1486</v>
      </c>
      <c r="J3102" s="451"/>
      <c r="K3102" s="451"/>
      <c r="L3102" s="452"/>
      <c r="M3102" s="527"/>
      <c r="N3102" s="451"/>
      <c r="O3102" s="559">
        <f>TrialBalanceB!I154</f>
        <v>0</v>
      </c>
      <c r="P3102" s="459"/>
      <c r="Q3102" s="469"/>
      <c r="R3102" s="512" t="str">
        <f>IF(R$2989="DELETE","DELETE",IF(O3102=0,"DELETE"," "))</f>
        <v>DELETE</v>
      </c>
      <c r="T3102" s="521"/>
    </row>
    <row r="3103" spans="2:20" ht="31.5" customHeight="1" x14ac:dyDescent="0.45">
      <c r="B3103" s="468"/>
      <c r="C3103" s="450"/>
      <c r="D3103" s="449" t="s">
        <v>605</v>
      </c>
      <c r="J3103" s="451"/>
      <c r="K3103" s="451"/>
      <c r="L3103" s="452"/>
      <c r="M3103" s="527"/>
      <c r="N3103" s="451"/>
      <c r="O3103" s="559">
        <f>TrialBalanceB!I120+TrialBalanceB!I121</f>
        <v>0</v>
      </c>
      <c r="P3103" s="459"/>
      <c r="Q3103" s="469"/>
      <c r="R3103" s="512" t="str">
        <f t="shared" si="237"/>
        <v>DELETE</v>
      </c>
      <c r="T3103" s="521"/>
    </row>
    <row r="3104" spans="2:20" ht="31.5" customHeight="1" x14ac:dyDescent="0.45">
      <c r="B3104" s="468"/>
      <c r="C3104" s="450"/>
      <c r="D3104" s="449" t="s">
        <v>633</v>
      </c>
      <c r="J3104" s="451"/>
      <c r="K3104" s="451"/>
      <c r="L3104" s="452"/>
      <c r="M3104" s="527"/>
      <c r="N3104" s="451"/>
      <c r="O3104" s="559">
        <f>IF(TrialBalanceB!I93&gt;0,TrialBalanceB!I93,0)</f>
        <v>0</v>
      </c>
      <c r="P3104" s="459"/>
      <c r="Q3104" s="469"/>
      <c r="R3104" s="512" t="str">
        <f>IF(R$2989="DELETE","DELETE",IF(O3104=0,"DELETE"," "))</f>
        <v>DELETE</v>
      </c>
      <c r="T3104" s="521"/>
    </row>
    <row r="3105" spans="2:20" ht="31.5" customHeight="1" x14ac:dyDescent="0.45">
      <c r="B3105" s="468"/>
      <c r="C3105" s="450"/>
      <c r="D3105" s="449" t="s">
        <v>936</v>
      </c>
      <c r="J3105" s="451"/>
      <c r="K3105" s="451"/>
      <c r="L3105" s="452"/>
      <c r="M3105" s="527"/>
      <c r="N3105" s="451"/>
      <c r="O3105" s="559">
        <f>TrialBalanceB!I122</f>
        <v>0</v>
      </c>
      <c r="P3105" s="459"/>
      <c r="Q3105" s="469"/>
      <c r="R3105" s="512" t="str">
        <f t="shared" si="237"/>
        <v>DELETE</v>
      </c>
      <c r="T3105" s="521"/>
    </row>
    <row r="3106" spans="2:20" ht="31.5" customHeight="1" x14ac:dyDescent="0.45">
      <c r="B3106" s="468"/>
      <c r="C3106" s="450"/>
      <c r="D3106" s="449" t="s">
        <v>316</v>
      </c>
      <c r="J3106" s="451"/>
      <c r="K3106" s="451"/>
      <c r="L3106" s="452"/>
      <c r="M3106" s="527"/>
      <c r="N3106" s="451"/>
      <c r="O3106" s="559">
        <f>TrialBalanceB!I123</f>
        <v>0</v>
      </c>
      <c r="P3106" s="459"/>
      <c r="Q3106" s="469"/>
      <c r="R3106" s="512" t="str">
        <f t="shared" si="237"/>
        <v>DELETE</v>
      </c>
      <c r="T3106" s="521"/>
    </row>
    <row r="3107" spans="2:20" ht="31.5" customHeight="1" x14ac:dyDescent="0.45">
      <c r="B3107" s="468"/>
      <c r="C3107" s="450"/>
      <c r="D3107" s="449" t="s">
        <v>1554</v>
      </c>
      <c r="J3107" s="451"/>
      <c r="K3107" s="451"/>
      <c r="L3107" s="452"/>
      <c r="M3107" s="527"/>
      <c r="N3107" s="451"/>
      <c r="O3107" s="559">
        <f>TrialBalanceB!I155</f>
        <v>0</v>
      </c>
      <c r="P3107" s="459"/>
      <c r="Q3107" s="469"/>
      <c r="R3107" s="512" t="str">
        <f t="shared" si="237"/>
        <v>DELETE</v>
      </c>
      <c r="T3107" s="521"/>
    </row>
    <row r="3108" spans="2:20" ht="31.5" customHeight="1" x14ac:dyDescent="0.45">
      <c r="B3108" s="468"/>
      <c r="C3108" s="450"/>
      <c r="D3108" s="449" t="s">
        <v>309</v>
      </c>
      <c r="J3108" s="451"/>
      <c r="K3108" s="451"/>
      <c r="L3108" s="452"/>
      <c r="M3108" s="527"/>
      <c r="N3108" s="451"/>
      <c r="O3108" s="559">
        <f>SUM(TrialBalanceB!I124:I125)</f>
        <v>0</v>
      </c>
      <c r="P3108" s="459"/>
      <c r="Q3108" s="469"/>
      <c r="R3108" s="512" t="str">
        <f t="shared" si="237"/>
        <v>DELETE</v>
      </c>
      <c r="T3108" s="521"/>
    </row>
    <row r="3109" spans="2:20" ht="31.5" customHeight="1" x14ac:dyDescent="0.45">
      <c r="B3109" s="468"/>
      <c r="C3109" s="450"/>
      <c r="D3109" s="449" t="s">
        <v>317</v>
      </c>
      <c r="J3109" s="451"/>
      <c r="K3109" s="451"/>
      <c r="L3109" s="452"/>
      <c r="M3109" s="527"/>
      <c r="N3109" s="451"/>
      <c r="O3109" s="559">
        <f>TrialBalanceB!I126</f>
        <v>0</v>
      </c>
      <c r="P3109" s="459"/>
      <c r="Q3109" s="469"/>
      <c r="R3109" s="512" t="str">
        <f t="shared" si="237"/>
        <v>DELETE</v>
      </c>
      <c r="T3109" s="521"/>
    </row>
    <row r="3110" spans="2:20" ht="31.5" customHeight="1" x14ac:dyDescent="0.45">
      <c r="B3110" s="468"/>
      <c r="C3110" s="450"/>
      <c r="D3110" s="449" t="s">
        <v>937</v>
      </c>
      <c r="J3110" s="451"/>
      <c r="K3110" s="451"/>
      <c r="L3110" s="452"/>
      <c r="M3110" s="527"/>
      <c r="N3110" s="451"/>
      <c r="O3110" s="559">
        <f>TrialBalanceB!I127</f>
        <v>0</v>
      </c>
      <c r="P3110" s="459"/>
      <c r="Q3110" s="469"/>
      <c r="R3110" s="512" t="str">
        <f t="shared" si="237"/>
        <v>DELETE</v>
      </c>
      <c r="T3110" s="521"/>
    </row>
    <row r="3111" spans="2:20" ht="31.5" customHeight="1" x14ac:dyDescent="0.45">
      <c r="B3111" s="468"/>
      <c r="C3111" s="450"/>
      <c r="D3111" s="449" t="s">
        <v>99</v>
      </c>
      <c r="J3111" s="451"/>
      <c r="K3111" s="451"/>
      <c r="L3111" s="452"/>
      <c r="M3111" s="527"/>
      <c r="N3111" s="451"/>
      <c r="O3111" s="559">
        <f>TrialBalanceB!I128</f>
        <v>0</v>
      </c>
      <c r="P3111" s="459"/>
      <c r="Q3111" s="469"/>
      <c r="R3111" s="512" t="str">
        <f t="shared" si="237"/>
        <v>DELETE</v>
      </c>
      <c r="T3111" s="521"/>
    </row>
    <row r="3112" spans="2:20" ht="31.5" customHeight="1" x14ac:dyDescent="0.45">
      <c r="B3112" s="468"/>
      <c r="C3112" s="450"/>
      <c r="D3112" s="449">
        <f>TrialBalanceB!C129</f>
        <v>0</v>
      </c>
      <c r="J3112" s="451"/>
      <c r="K3112" s="451"/>
      <c r="L3112" s="452"/>
      <c r="M3112" s="527"/>
      <c r="N3112" s="451"/>
      <c r="O3112" s="559">
        <f>TrialBalanceB!I129</f>
        <v>0</v>
      </c>
      <c r="P3112" s="459"/>
      <c r="Q3112" s="469"/>
      <c r="R3112" s="512" t="str">
        <f t="shared" si="237"/>
        <v>DELETE</v>
      </c>
      <c r="T3112" s="521"/>
    </row>
    <row r="3113" spans="2:20" ht="31.5" customHeight="1" x14ac:dyDescent="0.45">
      <c r="B3113" s="468"/>
      <c r="C3113" s="450"/>
      <c r="D3113" s="449">
        <f>TrialBalanceB!C130</f>
        <v>0</v>
      </c>
      <c r="J3113" s="451"/>
      <c r="K3113" s="451"/>
      <c r="L3113" s="452"/>
      <c r="M3113" s="527"/>
      <c r="N3113" s="451"/>
      <c r="O3113" s="559">
        <f>TrialBalanceB!I130</f>
        <v>0</v>
      </c>
      <c r="P3113" s="459"/>
      <c r="Q3113" s="469"/>
      <c r="R3113" s="512" t="str">
        <f t="shared" si="237"/>
        <v>DELETE</v>
      </c>
      <c r="T3113" s="521"/>
    </row>
    <row r="3114" spans="2:20" ht="31.5" customHeight="1" x14ac:dyDescent="0.45">
      <c r="B3114" s="468"/>
      <c r="C3114" s="450"/>
      <c r="D3114" s="449">
        <f>TrialBalanceB!C131</f>
        <v>0</v>
      </c>
      <c r="J3114" s="451"/>
      <c r="K3114" s="451"/>
      <c r="L3114" s="452"/>
      <c r="M3114" s="527"/>
      <c r="N3114" s="451"/>
      <c r="O3114" s="559">
        <f>TrialBalanceB!I131</f>
        <v>0</v>
      </c>
      <c r="P3114" s="459"/>
      <c r="Q3114" s="469"/>
      <c r="R3114" s="512" t="str">
        <f t="shared" si="237"/>
        <v>DELETE</v>
      </c>
      <c r="T3114" s="521"/>
    </row>
    <row r="3115" spans="2:20" ht="31.5" customHeight="1" x14ac:dyDescent="0.45">
      <c r="B3115" s="468"/>
      <c r="C3115" s="450"/>
      <c r="D3115" s="449">
        <f>TrialBalanceB!C132</f>
        <v>0</v>
      </c>
      <c r="J3115" s="451"/>
      <c r="K3115" s="451"/>
      <c r="L3115" s="452"/>
      <c r="M3115" s="527"/>
      <c r="N3115" s="451"/>
      <c r="O3115" s="559">
        <f>TrialBalanceB!I132</f>
        <v>0</v>
      </c>
      <c r="P3115" s="459"/>
      <c r="Q3115" s="469"/>
      <c r="R3115" s="512" t="str">
        <f t="shared" si="237"/>
        <v>DELETE</v>
      </c>
      <c r="T3115" s="521"/>
    </row>
    <row r="3116" spans="2:20" ht="31.5" customHeight="1" x14ac:dyDescent="0.45">
      <c r="B3116" s="468"/>
      <c r="C3116" s="450"/>
      <c r="D3116" s="449">
        <f>TrialBalanceB!C133</f>
        <v>0</v>
      </c>
      <c r="J3116" s="451"/>
      <c r="K3116" s="451"/>
      <c r="L3116" s="452"/>
      <c r="M3116" s="527"/>
      <c r="N3116" s="451"/>
      <c r="O3116" s="559">
        <f>TrialBalanceB!I133</f>
        <v>0</v>
      </c>
      <c r="P3116" s="459"/>
      <c r="Q3116" s="469"/>
      <c r="R3116" s="512" t="str">
        <f t="shared" si="237"/>
        <v>DELETE</v>
      </c>
      <c r="T3116" s="521"/>
    </row>
    <row r="3117" spans="2:20" ht="31.5" customHeight="1" x14ac:dyDescent="0.45">
      <c r="B3117" s="468"/>
      <c r="C3117" s="450"/>
      <c r="D3117" s="449">
        <f>TrialBalanceB!C134</f>
        <v>0</v>
      </c>
      <c r="J3117" s="451"/>
      <c r="K3117" s="451"/>
      <c r="L3117" s="452"/>
      <c r="M3117" s="527"/>
      <c r="N3117" s="451"/>
      <c r="O3117" s="559">
        <f>TrialBalanceB!I134</f>
        <v>0</v>
      </c>
      <c r="P3117" s="459"/>
      <c r="Q3117" s="469"/>
      <c r="R3117" s="512" t="str">
        <f t="shared" si="237"/>
        <v>DELETE</v>
      </c>
      <c r="T3117" s="521"/>
    </row>
    <row r="3118" spans="2:20" ht="31.5" customHeight="1" x14ac:dyDescent="0.45">
      <c r="B3118" s="468"/>
      <c r="C3118" s="450"/>
      <c r="D3118" s="449">
        <f>TrialBalanceB!C135</f>
        <v>0</v>
      </c>
      <c r="J3118" s="451"/>
      <c r="K3118" s="451"/>
      <c r="L3118" s="452"/>
      <c r="M3118" s="527"/>
      <c r="N3118" s="451"/>
      <c r="O3118" s="559">
        <f>TrialBalanceB!I135</f>
        <v>0</v>
      </c>
      <c r="P3118" s="459"/>
      <c r="Q3118" s="469"/>
      <c r="R3118" s="512" t="str">
        <f t="shared" si="237"/>
        <v>DELETE</v>
      </c>
      <c r="T3118" s="521"/>
    </row>
    <row r="3119" spans="2:20" ht="31.5" customHeight="1" x14ac:dyDescent="0.45">
      <c r="B3119" s="468"/>
      <c r="C3119" s="450"/>
      <c r="D3119" s="449">
        <f>TrialBalanceB!C136</f>
        <v>0</v>
      </c>
      <c r="J3119" s="451"/>
      <c r="K3119" s="451"/>
      <c r="L3119" s="452"/>
      <c r="M3119" s="527"/>
      <c r="N3119" s="451"/>
      <c r="O3119" s="559">
        <f>TrialBalanceB!I136</f>
        <v>0</v>
      </c>
      <c r="P3119" s="459"/>
      <c r="Q3119" s="469"/>
      <c r="R3119" s="512" t="str">
        <f t="shared" si="237"/>
        <v>DELETE</v>
      </c>
      <c r="T3119" s="521"/>
    </row>
    <row r="3120" spans="2:20" ht="31.5" customHeight="1" x14ac:dyDescent="0.45">
      <c r="B3120" s="468"/>
      <c r="C3120" s="450"/>
      <c r="D3120" s="449">
        <f>TrialBalanceB!C137</f>
        <v>0</v>
      </c>
      <c r="J3120" s="451"/>
      <c r="K3120" s="451"/>
      <c r="L3120" s="452"/>
      <c r="M3120" s="527"/>
      <c r="N3120" s="451"/>
      <c r="O3120" s="559">
        <f>TrialBalanceB!I137</f>
        <v>0</v>
      </c>
      <c r="P3120" s="459"/>
      <c r="Q3120" s="469"/>
      <c r="R3120" s="512" t="str">
        <f t="shared" si="237"/>
        <v>DELETE</v>
      </c>
      <c r="T3120" s="521"/>
    </row>
    <row r="3121" spans="2:22" ht="31.5" customHeight="1" x14ac:dyDescent="0.45">
      <c r="B3121" s="468"/>
      <c r="C3121" s="450"/>
      <c r="D3121" s="449" t="str">
        <f>TrialBalanceB!C138</f>
        <v>Amortisation of prepaid lease agreement</v>
      </c>
      <c r="J3121" s="451"/>
      <c r="K3121" s="451"/>
      <c r="L3121" s="452"/>
      <c r="M3121" s="527"/>
      <c r="N3121" s="451"/>
      <c r="O3121" s="559">
        <f>TrialBalanceB!I138</f>
        <v>0</v>
      </c>
      <c r="P3121" s="459"/>
      <c r="Q3121" s="469"/>
      <c r="R3121" s="512" t="str">
        <f t="shared" si="237"/>
        <v>DELETE</v>
      </c>
      <c r="T3121" s="521"/>
    </row>
    <row r="3122" spans="2:22" ht="31.5" customHeight="1" x14ac:dyDescent="0.45">
      <c r="B3122" s="468"/>
      <c r="C3122" s="450"/>
      <c r="D3122" s="449" t="str">
        <f>TrialBalanceB!C139</f>
        <v>Amortisation of goodwill</v>
      </c>
      <c r="J3122" s="451"/>
      <c r="K3122" s="451"/>
      <c r="L3122" s="452"/>
      <c r="M3122" s="527"/>
      <c r="N3122" s="451"/>
      <c r="O3122" s="559">
        <f>TrialBalanceB!I139</f>
        <v>0</v>
      </c>
      <c r="P3122" s="459"/>
      <c r="Q3122" s="469"/>
      <c r="R3122" s="512" t="str">
        <f t="shared" ref="R3122" si="238">IF(R$2989="DELETE","DELETE",IF(O3122=0,"DELETE"," "))</f>
        <v>DELETE</v>
      </c>
      <c r="T3122" s="521"/>
    </row>
    <row r="3123" spans="2:22" ht="9" customHeight="1" x14ac:dyDescent="0.45">
      <c r="B3123" s="468"/>
      <c r="C3123" s="450"/>
      <c r="J3123" s="451"/>
      <c r="K3123" s="451"/>
      <c r="L3123" s="452"/>
      <c r="M3123" s="527"/>
      <c r="N3123" s="451"/>
      <c r="O3123" s="560"/>
      <c r="P3123" s="459"/>
      <c r="Q3123" s="469"/>
      <c r="R3123" s="512" t="str">
        <f>R3087</f>
        <v>DELETE</v>
      </c>
      <c r="T3123" s="521"/>
    </row>
    <row r="3124" spans="2:22" ht="9" customHeight="1" x14ac:dyDescent="0.45">
      <c r="B3124" s="468"/>
      <c r="C3124" s="450"/>
      <c r="J3124" s="451"/>
      <c r="K3124" s="451"/>
      <c r="L3124" s="452"/>
      <c r="M3124" s="527"/>
      <c r="N3124" s="451"/>
      <c r="O3124" s="535"/>
      <c r="P3124" s="459"/>
      <c r="Q3124" s="469"/>
      <c r="R3124" s="512" t="str">
        <f t="shared" ref="R3124:R3127" si="239">R$2989</f>
        <v>DELETE</v>
      </c>
      <c r="T3124" s="521"/>
    </row>
    <row r="3125" spans="2:22" ht="9" customHeight="1" x14ac:dyDescent="0.45">
      <c r="B3125" s="468"/>
      <c r="C3125" s="450"/>
      <c r="J3125" s="451"/>
      <c r="K3125" s="451"/>
      <c r="L3125" s="452"/>
      <c r="M3125" s="527"/>
      <c r="N3125" s="451"/>
      <c r="O3125" s="531"/>
      <c r="P3125" s="459"/>
      <c r="Q3125" s="469"/>
      <c r="R3125" s="512" t="str">
        <f t="shared" si="239"/>
        <v>DELETE</v>
      </c>
      <c r="T3125" s="521"/>
    </row>
    <row r="3126" spans="2:22" ht="31.5" customHeight="1" x14ac:dyDescent="0.45">
      <c r="B3126" s="468"/>
      <c r="C3126" s="492" t="str">
        <f>IF(O3126&lt;0,"OPERATING LOSS FOR THE YEAR","OPERATING PROFIT FOR THE YEAR")</f>
        <v>OPERATING PROFIT FOR THE YEAR</v>
      </c>
      <c r="J3126" s="451"/>
      <c r="K3126" s="451">
        <f>'FS2'!B1102</f>
        <v>4</v>
      </c>
      <c r="L3126" s="452"/>
      <c r="M3126" s="527"/>
      <c r="N3126" s="451"/>
      <c r="O3126" s="531">
        <f>SUM(S3001:S3123)</f>
        <v>0</v>
      </c>
      <c r="P3126" s="459"/>
      <c r="Q3126" s="469"/>
      <c r="R3126" s="512" t="str">
        <f t="shared" si="239"/>
        <v>DELETE</v>
      </c>
      <c r="T3126" s="521"/>
    </row>
    <row r="3127" spans="2:22" ht="31.5" customHeight="1" x14ac:dyDescent="0.45">
      <c r="B3127" s="468"/>
      <c r="C3127" s="450"/>
      <c r="J3127" s="451"/>
      <c r="K3127" s="451"/>
      <c r="L3127" s="452"/>
      <c r="M3127" s="527"/>
      <c r="N3127" s="451"/>
      <c r="O3127" s="531"/>
      <c r="P3127" s="459"/>
      <c r="Q3127" s="469"/>
      <c r="R3127" s="512" t="str">
        <f t="shared" si="239"/>
        <v>DELETE</v>
      </c>
      <c r="T3127" s="521"/>
    </row>
    <row r="3128" spans="2:22" ht="31.5" customHeight="1" x14ac:dyDescent="0.45">
      <c r="B3128" s="468"/>
      <c r="C3128" s="450" t="s">
        <v>139</v>
      </c>
      <c r="J3128" s="451"/>
      <c r="K3128" s="451">
        <f>'FS2'!B1189</f>
        <v>5</v>
      </c>
      <c r="L3128" s="452"/>
      <c r="M3128" s="527"/>
      <c r="N3128" s="451"/>
      <c r="O3128" s="531">
        <f>SUM(O3131:O3138)</f>
        <v>0</v>
      </c>
      <c r="P3128" s="459"/>
      <c r="Q3128" s="469"/>
      <c r="R3128" s="512" t="str">
        <f t="shared" ref="R3128" si="240">IF(R$2989="DELETE","DELETE",IF(O3128=0,"DELETE"," "))</f>
        <v>DELETE</v>
      </c>
      <c r="S3128" s="517">
        <f>O3128</f>
        <v>0</v>
      </c>
      <c r="T3128" s="521"/>
      <c r="U3128" s="517"/>
      <c r="V3128" s="517"/>
    </row>
    <row r="3129" spans="2:22" ht="9" customHeight="1" x14ac:dyDescent="0.45">
      <c r="B3129" s="468"/>
      <c r="C3129" s="450"/>
      <c r="J3129" s="451"/>
      <c r="K3129" s="451"/>
      <c r="L3129" s="452"/>
      <c r="M3129" s="527"/>
      <c r="N3129" s="451"/>
      <c r="O3129" s="531"/>
      <c r="P3129" s="459"/>
      <c r="Q3129" s="469"/>
      <c r="R3129" s="512" t="str">
        <f>R3128</f>
        <v>DELETE</v>
      </c>
      <c r="T3129" s="521"/>
    </row>
    <row r="3130" spans="2:22" ht="9" customHeight="1" x14ac:dyDescent="0.45">
      <c r="B3130" s="468"/>
      <c r="C3130" s="450"/>
      <c r="J3130" s="451"/>
      <c r="K3130" s="451"/>
      <c r="L3130" s="452"/>
      <c r="M3130" s="527"/>
      <c r="N3130" s="451"/>
      <c r="O3130" s="558"/>
      <c r="P3130" s="459"/>
      <c r="Q3130" s="469"/>
      <c r="R3130" s="512" t="str">
        <f>R3129</f>
        <v>DELETE</v>
      </c>
      <c r="T3130" s="521"/>
    </row>
    <row r="3131" spans="2:22" ht="31.5" customHeight="1" x14ac:dyDescent="0.45">
      <c r="B3131" s="468"/>
      <c r="C3131" s="450"/>
      <c r="D3131" s="449" t="s">
        <v>243</v>
      </c>
      <c r="J3131" s="451"/>
      <c r="K3131" s="451"/>
      <c r="L3131" s="452"/>
      <c r="M3131" s="527"/>
      <c r="N3131" s="451"/>
      <c r="O3131" s="559">
        <f>-TrialBalanceB!I94</f>
        <v>0</v>
      </c>
      <c r="P3131" s="459"/>
      <c r="Q3131" s="469"/>
      <c r="R3131" s="512" t="str">
        <f t="shared" ref="R3131:R3136" si="241">IF(R$2989="DELETE","DELETE",IF(O3131=0,"DELETE"," "))</f>
        <v>DELETE</v>
      </c>
      <c r="T3131" s="521"/>
    </row>
    <row r="3132" spans="2:22" ht="31.5" customHeight="1" x14ac:dyDescent="0.45">
      <c r="B3132" s="468"/>
      <c r="C3132" s="450"/>
      <c r="D3132" s="449" t="s">
        <v>612</v>
      </c>
      <c r="J3132" s="451"/>
      <c r="K3132" s="451"/>
      <c r="L3132" s="452"/>
      <c r="M3132" s="527"/>
      <c r="N3132" s="451"/>
      <c r="O3132" s="559">
        <f>-SUM(TrialBalanceB!I90:I92)</f>
        <v>0</v>
      </c>
      <c r="P3132" s="459"/>
      <c r="Q3132" s="469"/>
      <c r="R3132" s="512" t="str">
        <f t="shared" si="241"/>
        <v>DELETE</v>
      </c>
      <c r="T3132" s="521"/>
    </row>
    <row r="3133" spans="2:22" ht="31.5" customHeight="1" x14ac:dyDescent="0.45">
      <c r="B3133" s="468"/>
      <c r="C3133" s="450"/>
      <c r="D3133" s="449" t="s">
        <v>613</v>
      </c>
      <c r="J3133" s="451"/>
      <c r="K3133" s="451"/>
      <c r="L3133" s="452"/>
      <c r="M3133" s="527"/>
      <c r="N3133" s="451"/>
      <c r="O3133" s="561">
        <f>-SUM(TrialBalanceB!I85:I88)</f>
        <v>0</v>
      </c>
      <c r="P3133" s="459"/>
      <c r="Q3133" s="469"/>
      <c r="R3133" s="512" t="str">
        <f t="shared" si="241"/>
        <v>DELETE</v>
      </c>
      <c r="T3133" s="521"/>
    </row>
    <row r="3134" spans="2:22" ht="31.5" customHeight="1" x14ac:dyDescent="0.45">
      <c r="B3134" s="468"/>
      <c r="C3134" s="450"/>
      <c r="D3134" s="449" t="s">
        <v>245</v>
      </c>
      <c r="J3134" s="451"/>
      <c r="K3134" s="451"/>
      <c r="L3134" s="452"/>
      <c r="M3134" s="527"/>
      <c r="N3134" s="451"/>
      <c r="O3134" s="561">
        <f>-SUM(TrialBalanceB!I95)</f>
        <v>0</v>
      </c>
      <c r="P3134" s="459"/>
      <c r="Q3134" s="469"/>
      <c r="R3134" s="512" t="str">
        <f t="shared" si="241"/>
        <v>DELETE</v>
      </c>
      <c r="T3134" s="521"/>
    </row>
    <row r="3135" spans="2:22" ht="31.5" customHeight="1" x14ac:dyDescent="0.45">
      <c r="B3135" s="468"/>
      <c r="C3135" s="450"/>
      <c r="D3135" s="449" t="s">
        <v>634</v>
      </c>
      <c r="J3135" s="451"/>
      <c r="K3135" s="451"/>
      <c r="L3135" s="452"/>
      <c r="M3135" s="527"/>
      <c r="N3135" s="451"/>
      <c r="O3135" s="559">
        <f>IF(TrialBalanceB!I93&lt;0,-TrialBalanceB!I93,0)</f>
        <v>0</v>
      </c>
      <c r="P3135" s="459"/>
      <c r="Q3135" s="469"/>
      <c r="R3135" s="512" t="str">
        <f t="shared" si="241"/>
        <v>DELETE</v>
      </c>
      <c r="T3135" s="521"/>
    </row>
    <row r="3136" spans="2:22" ht="31.5" customHeight="1" x14ac:dyDescent="0.45">
      <c r="B3136" s="468"/>
      <c r="C3136" s="450"/>
      <c r="D3136" s="449" t="s">
        <v>433</v>
      </c>
      <c r="J3136" s="451"/>
      <c r="K3136" s="451"/>
      <c r="L3136" s="452"/>
      <c r="M3136" s="527"/>
      <c r="N3136" s="451"/>
      <c r="O3136" s="559">
        <f>-TrialBalanceB!I83</f>
        <v>0</v>
      </c>
      <c r="P3136" s="459"/>
      <c r="Q3136" s="469"/>
      <c r="R3136" s="512" t="str">
        <f t="shared" si="241"/>
        <v>DELETE</v>
      </c>
      <c r="T3136" s="521"/>
    </row>
    <row r="3137" spans="2:22" ht="31.5" customHeight="1" x14ac:dyDescent="0.45">
      <c r="B3137" s="468"/>
      <c r="C3137" s="450"/>
      <c r="D3137" s="449" t="str">
        <f>TrialBalance!C96</f>
        <v>Revaluation of investment property</v>
      </c>
      <c r="J3137" s="451"/>
      <c r="K3137" s="451"/>
      <c r="L3137" s="452"/>
      <c r="M3137" s="527"/>
      <c r="N3137" s="451"/>
      <c r="O3137" s="559">
        <f>-TrialBalanceB!I96</f>
        <v>0</v>
      </c>
      <c r="P3137" s="459"/>
      <c r="Q3137" s="469"/>
      <c r="R3137" s="512" t="str">
        <f>IF(R$2989="DELETE","DELETE",IF(O3137=0,"DELETE"," "))</f>
        <v>DELETE</v>
      </c>
      <c r="T3137" s="521"/>
    </row>
    <row r="3138" spans="2:22" ht="9" customHeight="1" x14ac:dyDescent="0.45">
      <c r="B3138" s="468"/>
      <c r="C3138" s="450"/>
      <c r="J3138" s="451"/>
      <c r="K3138" s="451"/>
      <c r="L3138" s="452"/>
      <c r="M3138" s="527"/>
      <c r="N3138" s="451"/>
      <c r="O3138" s="560"/>
      <c r="P3138" s="459"/>
      <c r="Q3138" s="469"/>
      <c r="R3138" s="512" t="str">
        <f>R3128</f>
        <v>DELETE</v>
      </c>
      <c r="T3138" s="521"/>
    </row>
    <row r="3139" spans="2:22" ht="9" customHeight="1" x14ac:dyDescent="0.45">
      <c r="B3139" s="468"/>
      <c r="C3139" s="450"/>
      <c r="J3139" s="451"/>
      <c r="K3139" s="451"/>
      <c r="L3139" s="452"/>
      <c r="M3139" s="527"/>
      <c r="N3139" s="451"/>
      <c r="O3139" s="535"/>
      <c r="P3139" s="459"/>
      <c r="Q3139" s="469"/>
      <c r="R3139" s="512" t="str">
        <f>R3138</f>
        <v>DELETE</v>
      </c>
      <c r="T3139" s="521"/>
    </row>
    <row r="3140" spans="2:22" ht="9" customHeight="1" x14ac:dyDescent="0.45">
      <c r="B3140" s="468"/>
      <c r="C3140" s="450"/>
      <c r="J3140" s="451"/>
      <c r="K3140" s="451"/>
      <c r="L3140" s="452"/>
      <c r="M3140" s="527"/>
      <c r="N3140" s="451"/>
      <c r="O3140" s="531"/>
      <c r="P3140" s="459"/>
      <c r="Q3140" s="469"/>
      <c r="R3140" s="512" t="str">
        <f>R3139</f>
        <v>DELETE</v>
      </c>
      <c r="T3140" s="521"/>
    </row>
    <row r="3141" spans="2:22" ht="31.5" customHeight="1" x14ac:dyDescent="0.45">
      <c r="B3141" s="468"/>
      <c r="C3141" s="450"/>
      <c r="J3141" s="451"/>
      <c r="K3141" s="451"/>
      <c r="L3141" s="452"/>
      <c r="M3141" s="527"/>
      <c r="N3141" s="451"/>
      <c r="O3141" s="531">
        <f>SUM(S3001:S3138)</f>
        <v>0</v>
      </c>
      <c r="P3141" s="459"/>
      <c r="Q3141" s="469"/>
      <c r="R3141" s="512" t="str">
        <f>R3140</f>
        <v>DELETE</v>
      </c>
      <c r="T3141" s="521"/>
    </row>
    <row r="3142" spans="2:22" ht="31.5" customHeight="1" x14ac:dyDescent="0.45">
      <c r="B3142" s="468"/>
      <c r="C3142" s="450"/>
      <c r="J3142" s="451"/>
      <c r="K3142" s="451"/>
      <c r="L3142" s="452"/>
      <c r="M3142" s="527"/>
      <c r="N3142" s="451"/>
      <c r="O3142" s="531"/>
      <c r="P3142" s="459"/>
      <c r="Q3142" s="469"/>
      <c r="R3142" s="512" t="str">
        <f>R3141</f>
        <v>DELETE</v>
      </c>
      <c r="T3142" s="521"/>
    </row>
    <row r="3143" spans="2:22" ht="31.5" customHeight="1" x14ac:dyDescent="0.45">
      <c r="B3143" s="468"/>
      <c r="C3143" s="450" t="s">
        <v>318</v>
      </c>
      <c r="J3143" s="451"/>
      <c r="K3143" s="451">
        <f>'FS2'!B1248</f>
        <v>6</v>
      </c>
      <c r="L3143" s="452"/>
      <c r="M3143" s="527"/>
      <c r="N3143" s="451"/>
      <c r="O3143" s="531">
        <f>SUM(TrialBalanceB!I142:I152)</f>
        <v>0</v>
      </c>
      <c r="P3143" s="459"/>
      <c r="Q3143" s="469"/>
      <c r="R3143" s="512" t="str">
        <f t="shared" ref="R3143" si="242">IF(R$2989="DELETE","DELETE",IF(O3143=0,"DELETE"," "))</f>
        <v>DELETE</v>
      </c>
      <c r="S3143" s="517">
        <f>-O3143</f>
        <v>0</v>
      </c>
      <c r="T3143" s="521"/>
      <c r="U3143" s="517"/>
      <c r="V3143" s="517"/>
    </row>
    <row r="3144" spans="2:22" ht="9" customHeight="1" x14ac:dyDescent="0.45">
      <c r="B3144" s="468"/>
      <c r="C3144" s="450"/>
      <c r="J3144" s="451"/>
      <c r="K3144" s="451"/>
      <c r="L3144" s="452"/>
      <c r="M3144" s="527"/>
      <c r="N3144" s="451"/>
      <c r="O3144" s="535"/>
      <c r="P3144" s="459"/>
      <c r="Q3144" s="469"/>
      <c r="R3144" s="512" t="str">
        <f t="shared" ref="R3144:R3152" si="243">R$2989</f>
        <v>DELETE</v>
      </c>
      <c r="T3144" s="521"/>
    </row>
    <row r="3145" spans="2:22" ht="9" customHeight="1" x14ac:dyDescent="0.45">
      <c r="B3145" s="468"/>
      <c r="C3145" s="450"/>
      <c r="J3145" s="451"/>
      <c r="K3145" s="451"/>
      <c r="L3145" s="452"/>
      <c r="M3145" s="527"/>
      <c r="N3145" s="451"/>
      <c r="O3145" s="531"/>
      <c r="P3145" s="459"/>
      <c r="Q3145" s="469"/>
      <c r="R3145" s="512" t="str">
        <f t="shared" si="243"/>
        <v>DELETE</v>
      </c>
      <c r="T3145" s="521"/>
    </row>
    <row r="3146" spans="2:22" ht="31.5" customHeight="1" x14ac:dyDescent="0.45">
      <c r="B3146" s="468"/>
      <c r="C3146" s="492" t="str">
        <f>IF(O3146&lt;0,"LOSS BEFORE TAXATION","PROFIT BEFORE TAXATION")</f>
        <v>PROFIT BEFORE TAXATION</v>
      </c>
      <c r="J3146" s="451"/>
      <c r="K3146" s="451"/>
      <c r="L3146" s="452"/>
      <c r="M3146" s="527"/>
      <c r="N3146" s="451"/>
      <c r="O3146" s="531">
        <f>SUM(S3001:S3145)</f>
        <v>0</v>
      </c>
      <c r="P3146" s="459"/>
      <c r="Q3146" s="469"/>
      <c r="R3146" s="512" t="str">
        <f t="shared" si="243"/>
        <v>DELETE</v>
      </c>
      <c r="T3146" s="521"/>
      <c r="U3146" s="513" t="b">
        <f>O3146='FS2'!O2670</f>
        <v>1</v>
      </c>
    </row>
    <row r="3147" spans="2:22" ht="9" customHeight="1" thickBot="1" x14ac:dyDescent="0.5">
      <c r="B3147" s="468"/>
      <c r="C3147" s="450"/>
      <c r="J3147" s="451"/>
      <c r="K3147" s="451"/>
      <c r="L3147" s="452"/>
      <c r="M3147" s="527"/>
      <c r="N3147" s="451"/>
      <c r="O3147" s="536"/>
      <c r="P3147" s="459"/>
      <c r="Q3147" s="469"/>
      <c r="R3147" s="512" t="str">
        <f t="shared" si="243"/>
        <v>DELETE</v>
      </c>
      <c r="T3147" s="521"/>
    </row>
    <row r="3148" spans="2:22" ht="9" customHeight="1" thickTop="1" x14ac:dyDescent="0.45">
      <c r="B3148" s="468"/>
      <c r="C3148" s="450"/>
      <c r="J3148" s="451"/>
      <c r="K3148" s="451"/>
      <c r="L3148" s="452"/>
      <c r="M3148" s="527"/>
      <c r="N3148" s="451"/>
      <c r="O3148" s="531"/>
      <c r="P3148" s="459"/>
      <c r="Q3148" s="469"/>
      <c r="R3148" s="512" t="str">
        <f t="shared" si="243"/>
        <v>DELETE</v>
      </c>
      <c r="T3148" s="521"/>
    </row>
    <row r="3149" spans="2:22" ht="31.5" customHeight="1" x14ac:dyDescent="0.45">
      <c r="B3149" s="468"/>
      <c r="C3149" s="450"/>
      <c r="J3149" s="451"/>
      <c r="K3149" s="451"/>
      <c r="L3149" s="452"/>
      <c r="M3149" s="527"/>
      <c r="N3149" s="451"/>
      <c r="O3149" s="531"/>
      <c r="P3149" s="459"/>
      <c r="Q3149" s="469"/>
      <c r="R3149" s="512" t="str">
        <f t="shared" si="243"/>
        <v>DELETE</v>
      </c>
      <c r="T3149" s="521"/>
    </row>
    <row r="3150" spans="2:22" ht="31.5" customHeight="1" x14ac:dyDescent="0.45">
      <c r="B3150" s="468"/>
      <c r="C3150" s="450"/>
      <c r="J3150" s="451"/>
      <c r="K3150" s="451"/>
      <c r="L3150" s="451"/>
      <c r="M3150" s="531"/>
      <c r="N3150" s="470"/>
      <c r="O3150" s="531"/>
      <c r="P3150" s="459"/>
      <c r="Q3150" s="469"/>
      <c r="R3150" s="512" t="str">
        <f t="shared" si="243"/>
        <v>DELETE</v>
      </c>
      <c r="T3150" s="521"/>
    </row>
    <row r="3151" spans="2:22" ht="31.5" customHeight="1" x14ac:dyDescent="0.45">
      <c r="B3151" s="477"/>
      <c r="C3151" s="461"/>
      <c r="D3151" s="461"/>
      <c r="E3151" s="461"/>
      <c r="F3151" s="461"/>
      <c r="G3151" s="461"/>
      <c r="H3151" s="461"/>
      <c r="I3151" s="461"/>
      <c r="J3151" s="461"/>
      <c r="K3151" s="461"/>
      <c r="L3151" s="461"/>
      <c r="M3151" s="640"/>
      <c r="N3151" s="646"/>
      <c r="O3151" s="640"/>
      <c r="P3151" s="631"/>
      <c r="Q3151" s="479"/>
      <c r="R3151" s="512" t="str">
        <f t="shared" si="243"/>
        <v>DELETE</v>
      </c>
      <c r="T3151" s="521"/>
    </row>
    <row r="3152" spans="2:22" ht="31.5" customHeight="1" x14ac:dyDescent="0.45">
      <c r="M3152" s="635"/>
      <c r="N3152" s="621"/>
      <c r="O3152" s="635"/>
      <c r="R3152" s="512" t="str">
        <f t="shared" si="243"/>
        <v>DELETE</v>
      </c>
      <c r="T3152" s="521"/>
    </row>
    <row r="3153" spans="2:51" ht="31.5" customHeight="1" x14ac:dyDescent="0.45">
      <c r="M3153" s="635"/>
      <c r="N3153" s="621"/>
      <c r="O3153" s="635"/>
      <c r="R3153" s="512" t="str">
        <f>IF(SUM(S3165:S3167)+SUM(S3185:S3192)+SUM(S3292:S3302)+O3310=0,"DELETE"," ")</f>
        <v>DELETE</v>
      </c>
      <c r="U3153" s="516"/>
      <c r="V3153" s="516"/>
    </row>
    <row r="3154" spans="2:51" ht="31.5" customHeight="1" x14ac:dyDescent="0.45">
      <c r="D3154" s="450" t="s">
        <v>760</v>
      </c>
      <c r="M3154" s="635"/>
      <c r="N3154" s="621"/>
      <c r="O3154" s="635"/>
      <c r="R3154" s="512" t="str">
        <f>R$3153</f>
        <v>DELETE</v>
      </c>
      <c r="U3154" s="515"/>
    </row>
    <row r="3155" spans="2:51" ht="31.5" customHeight="1" x14ac:dyDescent="0.45">
      <c r="M3155" s="635"/>
      <c r="N3155" s="621"/>
      <c r="O3155" s="635"/>
      <c r="R3155" s="512" t="str">
        <f t="shared" ref="R3155:R3164" si="244">R$3153</f>
        <v>DELETE</v>
      </c>
    </row>
    <row r="3156" spans="2:51" ht="31.5" customHeight="1" x14ac:dyDescent="0.45">
      <c r="D3156" s="450" t="str">
        <f>Criteria!E9</f>
        <v>ABC COMPANY (PROPRIETARY) LIMITED</v>
      </c>
      <c r="M3156" s="635"/>
      <c r="N3156" s="621"/>
      <c r="O3156" s="531" t="s">
        <v>121</v>
      </c>
      <c r="Q3156" s="451">
        <v>1</v>
      </c>
      <c r="R3156" s="512" t="str">
        <f t="shared" si="244"/>
        <v>DELETE</v>
      </c>
    </row>
    <row r="3157" spans="2:51" s="449" customFormat="1" ht="31.5" customHeight="1" x14ac:dyDescent="0.45">
      <c r="D3157" s="450" t="str">
        <f>CONCATENATE("T/A ",Criteria!E16)</f>
        <v xml:space="preserve">T/A </v>
      </c>
      <c r="M3157" s="635"/>
      <c r="N3157" s="621"/>
      <c r="O3157" s="635"/>
      <c r="P3157" s="620"/>
      <c r="R3157" s="512" t="str">
        <f t="shared" si="244"/>
        <v>DELETE</v>
      </c>
      <c r="S3157" s="513"/>
      <c r="T3157" s="513"/>
      <c r="U3157" s="513"/>
      <c r="V3157" s="513"/>
      <c r="W3157" s="513"/>
      <c r="X3157" s="513"/>
      <c r="Y3157" s="521"/>
      <c r="Z3157" s="521"/>
      <c r="AA3157" s="514"/>
      <c r="AB3157" s="39"/>
      <c r="AC3157" s="39"/>
      <c r="AD3157" s="39"/>
      <c r="AE3157" s="39"/>
      <c r="AF3157" s="39"/>
      <c r="AG3157" s="39"/>
      <c r="AH3157" s="39"/>
      <c r="AI3157" s="39"/>
      <c r="AJ3157" s="39"/>
      <c r="AK3157" s="39"/>
      <c r="AL3157" s="39"/>
      <c r="AM3157" s="39"/>
      <c r="AN3157" s="39"/>
      <c r="AO3157" s="39"/>
      <c r="AP3157" s="39"/>
      <c r="AQ3157" s="39"/>
      <c r="AR3157" s="39"/>
      <c r="AS3157" s="39"/>
      <c r="AT3157" s="39"/>
      <c r="AU3157" s="39"/>
      <c r="AV3157" s="39"/>
      <c r="AW3157" s="39"/>
      <c r="AX3157" s="39"/>
      <c r="AY3157" s="39"/>
    </row>
    <row r="3158" spans="2:51" s="449" customFormat="1" ht="31.5" customHeight="1" x14ac:dyDescent="0.45">
      <c r="M3158" s="635"/>
      <c r="N3158" s="621"/>
      <c r="O3158" s="635"/>
      <c r="P3158" s="620"/>
      <c r="R3158" s="512" t="str">
        <f t="shared" si="244"/>
        <v>DELETE</v>
      </c>
      <c r="S3158" s="513"/>
      <c r="T3158" s="513"/>
      <c r="U3158" s="513"/>
      <c r="V3158" s="513"/>
      <c r="W3158" s="513"/>
      <c r="X3158" s="513"/>
      <c r="Y3158" s="521"/>
      <c r="Z3158" s="521"/>
      <c r="AA3158" s="514"/>
      <c r="AB3158" s="39"/>
      <c r="AC3158" s="39"/>
      <c r="AD3158" s="39"/>
      <c r="AE3158" s="39"/>
      <c r="AF3158" s="39"/>
      <c r="AG3158" s="39"/>
      <c r="AH3158" s="39"/>
      <c r="AI3158" s="39"/>
      <c r="AJ3158" s="39"/>
      <c r="AK3158" s="39"/>
      <c r="AL3158" s="39"/>
      <c r="AM3158" s="39"/>
      <c r="AN3158" s="39"/>
      <c r="AO3158" s="39"/>
      <c r="AP3158" s="39"/>
      <c r="AQ3158" s="39"/>
      <c r="AR3158" s="39"/>
      <c r="AS3158" s="39"/>
      <c r="AT3158" s="39"/>
      <c r="AU3158" s="39"/>
      <c r="AV3158" s="39"/>
      <c r="AW3158" s="39"/>
      <c r="AX3158" s="39"/>
      <c r="AY3158" s="39"/>
    </row>
    <row r="3159" spans="2:51" s="449" customFormat="1" ht="31.5" customHeight="1" x14ac:dyDescent="0.45">
      <c r="D3159" s="450" t="s">
        <v>115</v>
      </c>
      <c r="M3159" s="635"/>
      <c r="N3159" s="621"/>
      <c r="O3159" s="635"/>
      <c r="P3159" s="620"/>
      <c r="R3159" s="512" t="str">
        <f t="shared" si="244"/>
        <v>DELETE</v>
      </c>
      <c r="S3159" s="513"/>
      <c r="T3159" s="513"/>
      <c r="U3159" s="513"/>
      <c r="V3159" s="513"/>
      <c r="W3159" s="513"/>
      <c r="X3159" s="513"/>
      <c r="Y3159" s="521"/>
      <c r="Z3159" s="521"/>
      <c r="AA3159" s="514"/>
      <c r="AB3159" s="39"/>
      <c r="AC3159" s="39"/>
      <c r="AD3159" s="39"/>
      <c r="AE3159" s="39"/>
      <c r="AF3159" s="39"/>
      <c r="AG3159" s="39"/>
      <c r="AH3159" s="39"/>
      <c r="AI3159" s="39"/>
      <c r="AJ3159" s="39"/>
      <c r="AK3159" s="39"/>
      <c r="AL3159" s="39"/>
      <c r="AM3159" s="39"/>
      <c r="AN3159" s="39"/>
      <c r="AO3159" s="39"/>
      <c r="AP3159" s="39"/>
      <c r="AQ3159" s="39"/>
      <c r="AR3159" s="39"/>
      <c r="AS3159" s="39"/>
      <c r="AT3159" s="39"/>
      <c r="AU3159" s="39"/>
      <c r="AV3159" s="39"/>
      <c r="AW3159" s="39"/>
      <c r="AX3159" s="39"/>
      <c r="AY3159" s="39"/>
    </row>
    <row r="3160" spans="2:51" s="449" customFormat="1" ht="31.5" customHeight="1" x14ac:dyDescent="0.45">
      <c r="D3160" s="450" t="str">
        <f>Criteria!E20</f>
        <v>29 FEBRUARY 2024</v>
      </c>
      <c r="M3160" s="635"/>
      <c r="N3160" s="621"/>
      <c r="O3160" s="635"/>
      <c r="P3160" s="620"/>
      <c r="R3160" s="512" t="str">
        <f t="shared" si="244"/>
        <v>DELETE</v>
      </c>
      <c r="S3160" s="513"/>
      <c r="T3160" s="513"/>
      <c r="U3160" s="513"/>
      <c r="V3160" s="513"/>
      <c r="W3160" s="513"/>
      <c r="X3160" s="513"/>
      <c r="Y3160" s="521"/>
      <c r="Z3160" s="521"/>
      <c r="AA3160" s="514"/>
      <c r="AB3160" s="39"/>
      <c r="AC3160" s="39"/>
      <c r="AD3160" s="39"/>
      <c r="AE3160" s="39"/>
      <c r="AF3160" s="39"/>
      <c r="AG3160" s="39"/>
      <c r="AH3160" s="39"/>
      <c r="AI3160" s="39"/>
      <c r="AJ3160" s="39"/>
      <c r="AK3160" s="39"/>
      <c r="AL3160" s="39"/>
      <c r="AM3160" s="39"/>
      <c r="AN3160" s="39"/>
      <c r="AO3160" s="39"/>
      <c r="AP3160" s="39"/>
      <c r="AQ3160" s="39"/>
      <c r="AR3160" s="39"/>
      <c r="AS3160" s="39"/>
      <c r="AT3160" s="39"/>
      <c r="AU3160" s="39"/>
      <c r="AV3160" s="39"/>
      <c r="AW3160" s="39"/>
      <c r="AX3160" s="39"/>
      <c r="AY3160" s="39"/>
    </row>
    <row r="3161" spans="2:51" s="449" customFormat="1" ht="31.5" customHeight="1" x14ac:dyDescent="0.45">
      <c r="M3161" s="635"/>
      <c r="N3161" s="621"/>
      <c r="O3161" s="635"/>
      <c r="P3161" s="620"/>
      <c r="R3161" s="512" t="str">
        <f t="shared" si="244"/>
        <v>DELETE</v>
      </c>
      <c r="S3161" s="513"/>
      <c r="T3161" s="513"/>
      <c r="U3161" s="513"/>
      <c r="V3161" s="513"/>
      <c r="W3161" s="513"/>
      <c r="X3161" s="513"/>
      <c r="Y3161" s="521"/>
      <c r="Z3161" s="521"/>
      <c r="AA3161" s="514"/>
      <c r="AB3161" s="39"/>
      <c r="AC3161" s="39"/>
      <c r="AD3161" s="39"/>
      <c r="AE3161" s="39"/>
      <c r="AF3161" s="39"/>
      <c r="AG3161" s="39"/>
      <c r="AH3161" s="39"/>
      <c r="AI3161" s="39"/>
      <c r="AJ3161" s="39"/>
      <c r="AK3161" s="39"/>
      <c r="AL3161" s="39"/>
      <c r="AM3161" s="39"/>
      <c r="AN3161" s="39"/>
      <c r="AO3161" s="39"/>
      <c r="AP3161" s="39"/>
      <c r="AQ3161" s="39"/>
      <c r="AR3161" s="39"/>
      <c r="AS3161" s="39"/>
      <c r="AT3161" s="39"/>
      <c r="AU3161" s="39"/>
      <c r="AV3161" s="39"/>
      <c r="AW3161" s="39"/>
      <c r="AX3161" s="39"/>
      <c r="AY3161" s="39"/>
    </row>
    <row r="3162" spans="2:51" s="449" customFormat="1" ht="31.5" customHeight="1" x14ac:dyDescent="0.45">
      <c r="B3162" s="465"/>
      <c r="C3162" s="466"/>
      <c r="D3162" s="466"/>
      <c r="E3162" s="466"/>
      <c r="F3162" s="466"/>
      <c r="G3162" s="466"/>
      <c r="H3162" s="466"/>
      <c r="I3162" s="466"/>
      <c r="J3162" s="466"/>
      <c r="K3162" s="466"/>
      <c r="L3162" s="466"/>
      <c r="M3162" s="648"/>
      <c r="N3162" s="649"/>
      <c r="O3162" s="648"/>
      <c r="P3162" s="643"/>
      <c r="Q3162" s="467"/>
      <c r="R3162" s="512" t="str">
        <f t="shared" si="244"/>
        <v>DELETE</v>
      </c>
      <c r="S3162" s="513"/>
      <c r="T3162" s="513"/>
      <c r="U3162" s="513"/>
      <c r="V3162" s="513"/>
      <c r="W3162" s="513"/>
      <c r="X3162" s="513"/>
      <c r="Y3162" s="521"/>
      <c r="Z3162" s="521"/>
      <c r="AA3162" s="514"/>
      <c r="AB3162" s="39"/>
      <c r="AC3162" s="39"/>
      <c r="AD3162" s="39"/>
      <c r="AE3162" s="39"/>
      <c r="AF3162" s="39"/>
      <c r="AG3162" s="39"/>
      <c r="AH3162" s="39"/>
      <c r="AI3162" s="39"/>
      <c r="AJ3162" s="39"/>
      <c r="AK3162" s="39"/>
      <c r="AL3162" s="39"/>
      <c r="AM3162" s="39"/>
      <c r="AN3162" s="39"/>
      <c r="AO3162" s="39"/>
      <c r="AP3162" s="39"/>
      <c r="AQ3162" s="39"/>
      <c r="AR3162" s="39"/>
      <c r="AS3162" s="39"/>
      <c r="AT3162" s="39"/>
      <c r="AU3162" s="39"/>
      <c r="AV3162" s="39"/>
      <c r="AW3162" s="39"/>
      <c r="AX3162" s="39"/>
      <c r="AY3162" s="39"/>
    </row>
    <row r="3163" spans="2:51" s="449" customFormat="1" ht="31.5" customHeight="1" x14ac:dyDescent="0.45">
      <c r="B3163" s="468"/>
      <c r="J3163" s="451"/>
      <c r="K3163" s="451" t="s">
        <v>129</v>
      </c>
      <c r="L3163" s="452"/>
      <c r="M3163" s="527"/>
      <c r="N3163" s="451"/>
      <c r="O3163" s="525">
        <f>Criteria!E22</f>
        <v>2024</v>
      </c>
      <c r="P3163" s="459"/>
      <c r="Q3163" s="469"/>
      <c r="R3163" s="512" t="str">
        <f t="shared" si="244"/>
        <v>DELETE</v>
      </c>
      <c r="S3163" s="513"/>
      <c r="T3163" s="513"/>
      <c r="U3163" s="513"/>
      <c r="V3163" s="513"/>
      <c r="W3163" s="513"/>
      <c r="X3163" s="513"/>
      <c r="Y3163" s="521"/>
      <c r="Z3163" s="521"/>
      <c r="AA3163" s="514"/>
      <c r="AB3163" s="39"/>
      <c r="AC3163" s="39"/>
      <c r="AD3163" s="39"/>
      <c r="AE3163" s="39"/>
      <c r="AF3163" s="39"/>
      <c r="AG3163" s="39"/>
      <c r="AH3163" s="39"/>
      <c r="AI3163" s="39"/>
      <c r="AJ3163" s="39"/>
      <c r="AK3163" s="39"/>
      <c r="AL3163" s="39"/>
      <c r="AM3163" s="39"/>
      <c r="AN3163" s="39"/>
      <c r="AO3163" s="39"/>
      <c r="AP3163" s="39"/>
      <c r="AQ3163" s="39"/>
      <c r="AR3163" s="39"/>
      <c r="AS3163" s="39"/>
      <c r="AT3163" s="39"/>
      <c r="AU3163" s="39"/>
      <c r="AV3163" s="39"/>
      <c r="AW3163" s="39"/>
      <c r="AX3163" s="39"/>
      <c r="AY3163" s="39"/>
    </row>
    <row r="3164" spans="2:51" s="449" customFormat="1" ht="31.5" customHeight="1" x14ac:dyDescent="0.45">
      <c r="B3164" s="468"/>
      <c r="J3164" s="451"/>
      <c r="K3164" s="451"/>
      <c r="L3164" s="452"/>
      <c r="M3164" s="527"/>
      <c r="N3164" s="451"/>
      <c r="O3164" s="531"/>
      <c r="P3164" s="459"/>
      <c r="Q3164" s="469"/>
      <c r="R3164" s="512" t="str">
        <f t="shared" si="244"/>
        <v>DELETE</v>
      </c>
      <c r="S3164" s="513"/>
      <c r="T3164" s="513"/>
      <c r="U3164" s="513"/>
      <c r="V3164" s="513"/>
      <c r="W3164" s="513"/>
      <c r="X3164" s="513"/>
      <c r="Y3164" s="521"/>
      <c r="Z3164" s="521"/>
      <c r="AA3164" s="514"/>
      <c r="AB3164" s="39"/>
      <c r="AC3164" s="39"/>
      <c r="AD3164" s="39"/>
      <c r="AE3164" s="39"/>
      <c r="AF3164" s="39"/>
      <c r="AG3164" s="39"/>
      <c r="AH3164" s="39"/>
      <c r="AI3164" s="39"/>
      <c r="AJ3164" s="39"/>
      <c r="AK3164" s="39"/>
      <c r="AL3164" s="39"/>
      <c r="AM3164" s="39"/>
      <c r="AN3164" s="39"/>
      <c r="AO3164" s="39"/>
      <c r="AP3164" s="39"/>
      <c r="AQ3164" s="39"/>
      <c r="AR3164" s="39"/>
      <c r="AS3164" s="39"/>
      <c r="AT3164" s="39"/>
      <c r="AU3164" s="39"/>
      <c r="AV3164" s="39"/>
      <c r="AW3164" s="39"/>
      <c r="AX3164" s="39"/>
      <c r="AY3164" s="39"/>
    </row>
    <row r="3165" spans="2:51" s="449" customFormat="1" ht="31.5" customHeight="1" x14ac:dyDescent="0.45">
      <c r="B3165" s="468"/>
      <c r="C3165" s="450" t="s">
        <v>137</v>
      </c>
      <c r="J3165" s="451"/>
      <c r="K3165" s="451"/>
      <c r="L3165" s="452"/>
      <c r="M3165" s="527"/>
      <c r="N3165" s="451"/>
      <c r="O3165" s="531">
        <f>-SUM(TrialBalanceC!I5:I10)</f>
        <v>0</v>
      </c>
      <c r="P3165" s="459"/>
      <c r="Q3165" s="469"/>
      <c r="R3165" s="512" t="str">
        <f>IF(R3153="DELETE","DELETE",IF(O3165=0,IF(O3167=0," ","DELETE")," "))</f>
        <v>DELETE</v>
      </c>
      <c r="S3165" s="517">
        <f>O3165</f>
        <v>0</v>
      </c>
      <c r="T3165" s="517"/>
      <c r="U3165" s="517"/>
      <c r="V3165" s="517"/>
      <c r="W3165" s="513"/>
      <c r="X3165" s="513"/>
      <c r="Y3165" s="521"/>
      <c r="Z3165" s="521"/>
      <c r="AA3165" s="514"/>
      <c r="AB3165" s="39"/>
      <c r="AC3165" s="39"/>
      <c r="AD3165" s="39"/>
      <c r="AE3165" s="39"/>
      <c r="AF3165" s="39"/>
      <c r="AG3165" s="39"/>
      <c r="AH3165" s="39"/>
      <c r="AI3165" s="39"/>
      <c r="AJ3165" s="39"/>
      <c r="AK3165" s="39"/>
      <c r="AL3165" s="39"/>
      <c r="AM3165" s="39"/>
      <c r="AN3165" s="39"/>
      <c r="AO3165" s="39"/>
      <c r="AP3165" s="39"/>
      <c r="AQ3165" s="39"/>
      <c r="AR3165" s="39"/>
      <c r="AS3165" s="39"/>
      <c r="AT3165" s="39"/>
      <c r="AU3165" s="39"/>
      <c r="AV3165" s="39"/>
      <c r="AW3165" s="39"/>
      <c r="AX3165" s="39"/>
      <c r="AY3165" s="39"/>
    </row>
    <row r="3166" spans="2:51" s="449" customFormat="1" ht="31.5" customHeight="1" x14ac:dyDescent="0.45">
      <c r="B3166" s="468"/>
      <c r="C3166" s="450"/>
      <c r="J3166" s="451"/>
      <c r="K3166" s="451"/>
      <c r="L3166" s="452"/>
      <c r="M3166" s="527"/>
      <c r="N3166" s="451"/>
      <c r="O3166" s="531"/>
      <c r="P3166" s="459"/>
      <c r="Q3166" s="469"/>
      <c r="R3166" s="512" t="str">
        <f>R3165</f>
        <v>DELETE</v>
      </c>
      <c r="S3166" s="517"/>
      <c r="T3166" s="517"/>
      <c r="U3166" s="517"/>
      <c r="V3166" s="517"/>
      <c r="W3166" s="513"/>
      <c r="X3166" s="513"/>
      <c r="Y3166" s="521"/>
      <c r="Z3166" s="521"/>
      <c r="AA3166" s="514"/>
      <c r="AB3166" s="39"/>
      <c r="AC3166" s="39"/>
      <c r="AD3166" s="39"/>
      <c r="AE3166" s="39"/>
      <c r="AF3166" s="39"/>
      <c r="AG3166" s="39"/>
      <c r="AH3166" s="39"/>
      <c r="AI3166" s="39"/>
      <c r="AJ3166" s="39"/>
      <c r="AK3166" s="39"/>
      <c r="AL3166" s="39"/>
      <c r="AM3166" s="39"/>
      <c r="AN3166" s="39"/>
      <c r="AO3166" s="39"/>
      <c r="AP3166" s="39"/>
      <c r="AQ3166" s="39"/>
      <c r="AR3166" s="39"/>
      <c r="AS3166" s="39"/>
      <c r="AT3166" s="39"/>
      <c r="AU3166" s="39"/>
      <c r="AV3166" s="39"/>
      <c r="AW3166" s="39"/>
      <c r="AX3166" s="39"/>
      <c r="AY3166" s="39"/>
    </row>
    <row r="3167" spans="2:51" s="449" customFormat="1" ht="31.5" customHeight="1" x14ac:dyDescent="0.45">
      <c r="B3167" s="468"/>
      <c r="C3167" s="450" t="s">
        <v>606</v>
      </c>
      <c r="J3167" s="451"/>
      <c r="K3167" s="451"/>
      <c r="L3167" s="452"/>
      <c r="M3167" s="527"/>
      <c r="N3167" s="451"/>
      <c r="O3167" s="531">
        <f>-TrialBalanceC!I11</f>
        <v>0</v>
      </c>
      <c r="P3167" s="459"/>
      <c r="Q3167" s="469"/>
      <c r="R3167" s="512" t="str">
        <f>IF(R3153="DELETE","DELETE",IF(O3167=0,"DELETE"," "))</f>
        <v>DELETE</v>
      </c>
      <c r="S3167" s="517">
        <f>O3167</f>
        <v>0</v>
      </c>
      <c r="T3167" s="517"/>
      <c r="U3167" s="517"/>
      <c r="V3167" s="517"/>
      <c r="W3167" s="513"/>
      <c r="X3167" s="513"/>
      <c r="Y3167" s="521"/>
      <c r="Z3167" s="521"/>
      <c r="AA3167" s="514"/>
      <c r="AB3167" s="39"/>
      <c r="AC3167" s="39"/>
      <c r="AD3167" s="39"/>
      <c r="AE3167" s="39"/>
      <c r="AF3167" s="39"/>
      <c r="AG3167" s="39"/>
      <c r="AH3167" s="39"/>
      <c r="AI3167" s="39"/>
      <c r="AJ3167" s="39"/>
      <c r="AK3167" s="39"/>
      <c r="AL3167" s="39"/>
      <c r="AM3167" s="39"/>
      <c r="AN3167" s="39"/>
      <c r="AO3167" s="39"/>
      <c r="AP3167" s="39"/>
      <c r="AQ3167" s="39"/>
      <c r="AR3167" s="39"/>
      <c r="AS3167" s="39"/>
      <c r="AT3167" s="39"/>
      <c r="AU3167" s="39"/>
      <c r="AV3167" s="39"/>
      <c r="AW3167" s="39"/>
      <c r="AX3167" s="39"/>
      <c r="AY3167" s="39"/>
    </row>
    <row r="3168" spans="2:51" s="449" customFormat="1" ht="31.5" customHeight="1" x14ac:dyDescent="0.45">
      <c r="B3168" s="468"/>
      <c r="C3168" s="450"/>
      <c r="J3168" s="451"/>
      <c r="K3168" s="451"/>
      <c r="L3168" s="452"/>
      <c r="M3168" s="527"/>
      <c r="N3168" s="451"/>
      <c r="O3168" s="531"/>
      <c r="P3168" s="459"/>
      <c r="Q3168" s="469"/>
      <c r="R3168" s="512" t="str">
        <f>R3167</f>
        <v>DELETE</v>
      </c>
      <c r="S3168" s="513"/>
      <c r="T3168" s="513"/>
      <c r="U3168" s="513"/>
      <c r="V3168" s="513"/>
      <c r="W3168" s="513"/>
      <c r="X3168" s="513"/>
      <c r="Y3168" s="521"/>
      <c r="Z3168" s="521"/>
      <c r="AA3168" s="514"/>
      <c r="AB3168" s="39"/>
      <c r="AC3168" s="39"/>
      <c r="AD3168" s="39"/>
      <c r="AE3168" s="39"/>
      <c r="AF3168" s="39"/>
      <c r="AG3168" s="39"/>
      <c r="AH3168" s="39"/>
      <c r="AI3168" s="39"/>
      <c r="AJ3168" s="39"/>
      <c r="AK3168" s="39"/>
      <c r="AL3168" s="39"/>
      <c r="AM3168" s="39"/>
      <c r="AN3168" s="39"/>
      <c r="AO3168" s="39"/>
      <c r="AP3168" s="39"/>
      <c r="AQ3168" s="39"/>
      <c r="AR3168" s="39"/>
      <c r="AS3168" s="39"/>
      <c r="AT3168" s="39"/>
      <c r="AU3168" s="39"/>
      <c r="AV3168" s="39"/>
      <c r="AW3168" s="39"/>
      <c r="AX3168" s="39"/>
      <c r="AY3168" s="39"/>
    </row>
    <row r="3169" spans="2:51" s="449" customFormat="1" ht="31.5" customHeight="1" x14ac:dyDescent="0.45">
      <c r="B3169" s="468"/>
      <c r="C3169" s="450" t="s">
        <v>333</v>
      </c>
      <c r="J3169" s="451"/>
      <c r="K3169" s="451"/>
      <c r="L3169" s="452"/>
      <c r="M3169" s="527"/>
      <c r="N3169" s="451"/>
      <c r="O3169" s="531">
        <f>SUM(O3172:O3179)</f>
        <v>0</v>
      </c>
      <c r="P3169" s="459"/>
      <c r="Q3169" s="469"/>
      <c r="R3169" s="512" t="str">
        <f>IF(R$3153="DELETE","DELETE",IF(O3169=0,"DELETE"," "))</f>
        <v>DELETE</v>
      </c>
      <c r="S3169" s="517">
        <f>-O3169</f>
        <v>0</v>
      </c>
      <c r="T3169" s="517"/>
      <c r="U3169" s="517"/>
      <c r="V3169" s="517"/>
      <c r="W3169" s="513"/>
      <c r="X3169" s="513"/>
      <c r="Y3169" s="521"/>
      <c r="Z3169" s="521"/>
      <c r="AA3169" s="514"/>
      <c r="AB3169" s="39"/>
      <c r="AC3169" s="39"/>
      <c r="AD3169" s="39"/>
      <c r="AE3169" s="39"/>
      <c r="AF3169" s="39"/>
      <c r="AG3169" s="39"/>
      <c r="AH3169" s="39"/>
      <c r="AI3169" s="39"/>
      <c r="AJ3169" s="39"/>
      <c r="AK3169" s="39"/>
      <c r="AL3169" s="39"/>
      <c r="AM3169" s="39"/>
      <c r="AN3169" s="39"/>
      <c r="AO3169" s="39"/>
      <c r="AP3169" s="39"/>
      <c r="AQ3169" s="39"/>
      <c r="AR3169" s="39"/>
      <c r="AS3169" s="39"/>
      <c r="AT3169" s="39"/>
      <c r="AU3169" s="39"/>
      <c r="AV3169" s="39"/>
      <c r="AW3169" s="39"/>
      <c r="AX3169" s="39"/>
      <c r="AY3169" s="39"/>
    </row>
    <row r="3170" spans="2:51" s="449" customFormat="1" ht="9" customHeight="1" x14ac:dyDescent="0.45">
      <c r="B3170" s="468"/>
      <c r="C3170" s="450"/>
      <c r="J3170" s="451"/>
      <c r="K3170" s="451"/>
      <c r="L3170" s="452"/>
      <c r="M3170" s="527"/>
      <c r="N3170" s="451"/>
      <c r="O3170" s="531"/>
      <c r="P3170" s="459"/>
      <c r="Q3170" s="469"/>
      <c r="R3170" s="512" t="str">
        <f>R3169</f>
        <v>DELETE</v>
      </c>
      <c r="S3170" s="513"/>
      <c r="T3170" s="513"/>
      <c r="U3170" s="513"/>
      <c r="V3170" s="513"/>
      <c r="W3170" s="513"/>
      <c r="X3170" s="513"/>
      <c r="Y3170" s="521"/>
      <c r="Z3170" s="521"/>
      <c r="AA3170" s="514"/>
      <c r="AB3170" s="39"/>
      <c r="AC3170" s="39"/>
      <c r="AD3170" s="39"/>
      <c r="AE3170" s="39"/>
      <c r="AF3170" s="39"/>
      <c r="AG3170" s="39"/>
      <c r="AH3170" s="39"/>
      <c r="AI3170" s="39"/>
      <c r="AJ3170" s="39"/>
      <c r="AK3170" s="39"/>
      <c r="AL3170" s="39"/>
      <c r="AM3170" s="39"/>
      <c r="AN3170" s="39"/>
      <c r="AO3170" s="39"/>
      <c r="AP3170" s="39"/>
      <c r="AQ3170" s="39"/>
      <c r="AR3170" s="39"/>
      <c r="AS3170" s="39"/>
      <c r="AT3170" s="39"/>
      <c r="AU3170" s="39"/>
      <c r="AV3170" s="39"/>
      <c r="AW3170" s="39"/>
      <c r="AX3170" s="39"/>
      <c r="AY3170" s="39"/>
    </row>
    <row r="3171" spans="2:51" s="449" customFormat="1" ht="9" customHeight="1" x14ac:dyDescent="0.45">
      <c r="B3171" s="468"/>
      <c r="C3171" s="450"/>
      <c r="J3171" s="451"/>
      <c r="K3171" s="451"/>
      <c r="L3171" s="452"/>
      <c r="M3171" s="527"/>
      <c r="N3171" s="451"/>
      <c r="O3171" s="558"/>
      <c r="P3171" s="459"/>
      <c r="Q3171" s="469"/>
      <c r="R3171" s="512" t="str">
        <f>R3170</f>
        <v>DELETE</v>
      </c>
      <c r="S3171" s="513"/>
      <c r="T3171" s="513"/>
      <c r="U3171" s="513"/>
      <c r="V3171" s="513"/>
      <c r="W3171" s="513"/>
      <c r="X3171" s="513"/>
      <c r="Y3171" s="521"/>
      <c r="Z3171" s="521"/>
      <c r="AA3171" s="514"/>
      <c r="AB3171" s="39"/>
      <c r="AC3171" s="39"/>
      <c r="AD3171" s="39"/>
      <c r="AE3171" s="39"/>
      <c r="AF3171" s="39"/>
      <c r="AG3171" s="39"/>
      <c r="AH3171" s="39"/>
      <c r="AI3171" s="39"/>
      <c r="AJ3171" s="39"/>
      <c r="AK3171" s="39"/>
      <c r="AL3171" s="39"/>
      <c r="AM3171" s="39"/>
      <c r="AN3171" s="39"/>
      <c r="AO3171" s="39"/>
      <c r="AP3171" s="39"/>
      <c r="AQ3171" s="39"/>
      <c r="AR3171" s="39"/>
      <c r="AS3171" s="39"/>
      <c r="AT3171" s="39"/>
      <c r="AU3171" s="39"/>
      <c r="AV3171" s="39"/>
      <c r="AW3171" s="39"/>
      <c r="AX3171" s="39"/>
      <c r="AY3171" s="39"/>
    </row>
    <row r="3172" spans="2:51" s="449" customFormat="1" ht="31.5" customHeight="1" x14ac:dyDescent="0.45">
      <c r="B3172" s="468"/>
      <c r="C3172" s="450"/>
      <c r="D3172" s="449" t="s">
        <v>608</v>
      </c>
      <c r="J3172" s="451"/>
      <c r="K3172" s="451"/>
      <c r="L3172" s="452"/>
      <c r="M3172" s="527"/>
      <c r="N3172" s="451"/>
      <c r="O3172" s="559">
        <f>SUM(TrialBalanceC!I13:I16)</f>
        <v>0</v>
      </c>
      <c r="P3172" s="459"/>
      <c r="Q3172" s="469"/>
      <c r="R3172" s="512" t="str">
        <f t="shared" ref="R3172:R3179" si="245">IF(R$3153="DELETE","DELETE",IF(O3172=0,"DELETE"," "))</f>
        <v>DELETE</v>
      </c>
      <c r="S3172" s="513"/>
      <c r="T3172" s="513"/>
      <c r="U3172" s="513"/>
      <c r="V3172" s="513"/>
      <c r="W3172" s="513"/>
      <c r="X3172" s="513"/>
      <c r="Y3172" s="521"/>
      <c r="Z3172" s="521"/>
      <c r="AA3172" s="514"/>
      <c r="AB3172" s="39"/>
      <c r="AC3172" s="39"/>
      <c r="AD3172" s="39"/>
      <c r="AE3172" s="39"/>
      <c r="AF3172" s="39"/>
      <c r="AG3172" s="39"/>
      <c r="AH3172" s="39"/>
      <c r="AI3172" s="39"/>
      <c r="AJ3172" s="39"/>
      <c r="AK3172" s="39"/>
      <c r="AL3172" s="39"/>
      <c r="AM3172" s="39"/>
      <c r="AN3172" s="39"/>
      <c r="AO3172" s="39"/>
      <c r="AP3172" s="39"/>
      <c r="AQ3172" s="39"/>
      <c r="AR3172" s="39"/>
      <c r="AS3172" s="39"/>
      <c r="AT3172" s="39"/>
      <c r="AU3172" s="39"/>
      <c r="AV3172" s="39"/>
      <c r="AW3172" s="39"/>
      <c r="AX3172" s="39"/>
      <c r="AY3172" s="39"/>
    </row>
    <row r="3173" spans="2:51" s="449" customFormat="1" ht="31.5" customHeight="1" x14ac:dyDescent="0.45">
      <c r="B3173" s="468"/>
      <c r="C3173" s="450"/>
      <c r="D3173" s="449" t="s">
        <v>334</v>
      </c>
      <c r="J3173" s="451"/>
      <c r="K3173" s="451"/>
      <c r="L3173" s="452"/>
      <c r="M3173" s="527"/>
      <c r="N3173" s="451"/>
      <c r="O3173" s="559">
        <f>TrialBalanceC!I17</f>
        <v>0</v>
      </c>
      <c r="P3173" s="459"/>
      <c r="Q3173" s="469"/>
      <c r="R3173" s="512" t="str">
        <f t="shared" si="245"/>
        <v>DELETE</v>
      </c>
      <c r="S3173" s="513"/>
      <c r="T3173" s="513"/>
      <c r="U3173" s="513"/>
      <c r="V3173" s="513"/>
      <c r="W3173" s="513"/>
      <c r="X3173" s="513"/>
      <c r="Y3173" s="521"/>
      <c r="Z3173" s="521"/>
      <c r="AA3173" s="514"/>
      <c r="AB3173" s="39"/>
      <c r="AC3173" s="39"/>
      <c r="AD3173" s="39"/>
      <c r="AE3173" s="39"/>
      <c r="AF3173" s="39"/>
      <c r="AG3173" s="39"/>
      <c r="AH3173" s="39"/>
      <c r="AI3173" s="39"/>
      <c r="AJ3173" s="39"/>
      <c r="AK3173" s="39"/>
      <c r="AL3173" s="39"/>
      <c r="AM3173" s="39"/>
      <c r="AN3173" s="39"/>
      <c r="AO3173" s="39"/>
      <c r="AP3173" s="39"/>
      <c r="AQ3173" s="39"/>
      <c r="AR3173" s="39"/>
      <c r="AS3173" s="39"/>
      <c r="AT3173" s="39"/>
      <c r="AU3173" s="39"/>
      <c r="AV3173" s="39"/>
      <c r="AW3173" s="39"/>
      <c r="AX3173" s="39"/>
      <c r="AY3173" s="39"/>
    </row>
    <row r="3174" spans="2:51" s="449" customFormat="1" ht="31.5" customHeight="1" x14ac:dyDescent="0.45">
      <c r="B3174" s="468"/>
      <c r="C3174" s="450"/>
      <c r="D3174" s="449">
        <f>TrialBalanceC!C18</f>
        <v>0</v>
      </c>
      <c r="J3174" s="451"/>
      <c r="K3174" s="451"/>
      <c r="L3174" s="452"/>
      <c r="M3174" s="527"/>
      <c r="N3174" s="451"/>
      <c r="O3174" s="559">
        <f>TrialBalanceC!I18</f>
        <v>0</v>
      </c>
      <c r="P3174" s="459"/>
      <c r="Q3174" s="469"/>
      <c r="R3174" s="512" t="str">
        <f t="shared" si="245"/>
        <v>DELETE</v>
      </c>
      <c r="S3174" s="513"/>
      <c r="T3174" s="513"/>
      <c r="U3174" s="513"/>
      <c r="V3174" s="513"/>
      <c r="W3174" s="513"/>
      <c r="X3174" s="513"/>
      <c r="Y3174" s="521"/>
      <c r="Z3174" s="521"/>
      <c r="AA3174" s="514"/>
      <c r="AB3174" s="39"/>
      <c r="AC3174" s="39"/>
      <c r="AD3174" s="39"/>
      <c r="AE3174" s="39"/>
      <c r="AF3174" s="39"/>
      <c r="AG3174" s="39"/>
      <c r="AH3174" s="39"/>
      <c r="AI3174" s="39"/>
      <c r="AJ3174" s="39"/>
      <c r="AK3174" s="39"/>
      <c r="AL3174" s="39"/>
      <c r="AM3174" s="39"/>
      <c r="AN3174" s="39"/>
      <c r="AO3174" s="39"/>
      <c r="AP3174" s="39"/>
      <c r="AQ3174" s="39"/>
      <c r="AR3174" s="39"/>
      <c r="AS3174" s="39"/>
      <c r="AT3174" s="39"/>
      <c r="AU3174" s="39"/>
      <c r="AV3174" s="39"/>
      <c r="AW3174" s="39"/>
      <c r="AX3174" s="39"/>
      <c r="AY3174" s="39"/>
    </row>
    <row r="3175" spans="2:51" s="449" customFormat="1" ht="31.5" customHeight="1" x14ac:dyDescent="0.45">
      <c r="B3175" s="468"/>
      <c r="C3175" s="450"/>
      <c r="D3175" s="449">
        <f>TrialBalanceC!C19</f>
        <v>0</v>
      </c>
      <c r="J3175" s="451"/>
      <c r="K3175" s="451"/>
      <c r="L3175" s="452"/>
      <c r="M3175" s="527"/>
      <c r="N3175" s="451"/>
      <c r="O3175" s="559">
        <f>TrialBalanceC!I19</f>
        <v>0</v>
      </c>
      <c r="P3175" s="459"/>
      <c r="Q3175" s="469"/>
      <c r="R3175" s="512" t="str">
        <f t="shared" si="245"/>
        <v>DELETE</v>
      </c>
      <c r="S3175" s="513"/>
      <c r="T3175" s="513"/>
      <c r="U3175" s="513"/>
      <c r="V3175" s="513"/>
      <c r="W3175" s="513"/>
      <c r="X3175" s="513"/>
      <c r="Y3175" s="521"/>
      <c r="Z3175" s="521"/>
      <c r="AA3175" s="514"/>
      <c r="AB3175" s="39"/>
      <c r="AC3175" s="39"/>
      <c r="AD3175" s="39"/>
      <c r="AE3175" s="39"/>
      <c r="AF3175" s="39"/>
      <c r="AG3175" s="39"/>
      <c r="AH3175" s="39"/>
      <c r="AI3175" s="39"/>
      <c r="AJ3175" s="39"/>
      <c r="AK3175" s="39"/>
      <c r="AL3175" s="39"/>
      <c r="AM3175" s="39"/>
      <c r="AN3175" s="39"/>
      <c r="AO3175" s="39"/>
      <c r="AP3175" s="39"/>
      <c r="AQ3175" s="39"/>
      <c r="AR3175" s="39"/>
      <c r="AS3175" s="39"/>
      <c r="AT3175" s="39"/>
      <c r="AU3175" s="39"/>
      <c r="AV3175" s="39"/>
      <c r="AW3175" s="39"/>
      <c r="AX3175" s="39"/>
      <c r="AY3175" s="39"/>
    </row>
    <row r="3176" spans="2:51" s="449" customFormat="1" ht="31.5" customHeight="1" x14ac:dyDescent="0.45">
      <c r="B3176" s="468"/>
      <c r="C3176" s="450"/>
      <c r="D3176" s="449">
        <f>TrialBalanceC!C20</f>
        <v>0</v>
      </c>
      <c r="J3176" s="451"/>
      <c r="K3176" s="451"/>
      <c r="L3176" s="452"/>
      <c r="M3176" s="527"/>
      <c r="N3176" s="451"/>
      <c r="O3176" s="559">
        <f>TrialBalanceC!I20</f>
        <v>0</v>
      </c>
      <c r="P3176" s="459"/>
      <c r="Q3176" s="469"/>
      <c r="R3176" s="512" t="str">
        <f t="shared" si="245"/>
        <v>DELETE</v>
      </c>
      <c r="S3176" s="513"/>
      <c r="T3176" s="513"/>
      <c r="U3176" s="513"/>
      <c r="V3176" s="513"/>
      <c r="W3176" s="513"/>
      <c r="X3176" s="513"/>
      <c r="Y3176" s="521"/>
      <c r="Z3176" s="521"/>
      <c r="AA3176" s="514"/>
      <c r="AB3176" s="39"/>
      <c r="AC3176" s="39"/>
      <c r="AD3176" s="39"/>
      <c r="AE3176" s="39"/>
      <c r="AF3176" s="39"/>
      <c r="AG3176" s="39"/>
      <c r="AH3176" s="39"/>
      <c r="AI3176" s="39"/>
      <c r="AJ3176" s="39"/>
      <c r="AK3176" s="39"/>
      <c r="AL3176" s="39"/>
      <c r="AM3176" s="39"/>
      <c r="AN3176" s="39"/>
      <c r="AO3176" s="39"/>
      <c r="AP3176" s="39"/>
      <c r="AQ3176" s="39"/>
      <c r="AR3176" s="39"/>
      <c r="AS3176" s="39"/>
      <c r="AT3176" s="39"/>
      <c r="AU3176" s="39"/>
      <c r="AV3176" s="39"/>
      <c r="AW3176" s="39"/>
      <c r="AX3176" s="39"/>
      <c r="AY3176" s="39"/>
    </row>
    <row r="3177" spans="2:51" s="449" customFormat="1" ht="31.5" customHeight="1" x14ac:dyDescent="0.45">
      <c r="B3177" s="468"/>
      <c r="C3177" s="450"/>
      <c r="D3177" s="449">
        <f>TrialBalanceC!C21</f>
        <v>0</v>
      </c>
      <c r="J3177" s="451"/>
      <c r="K3177" s="451"/>
      <c r="L3177" s="452"/>
      <c r="M3177" s="527"/>
      <c r="N3177" s="451"/>
      <c r="O3177" s="559">
        <f>TrialBalanceC!I21</f>
        <v>0</v>
      </c>
      <c r="P3177" s="459"/>
      <c r="Q3177" s="469"/>
      <c r="R3177" s="512" t="str">
        <f t="shared" si="245"/>
        <v>DELETE</v>
      </c>
      <c r="S3177" s="513"/>
      <c r="T3177" s="513"/>
      <c r="U3177" s="513"/>
      <c r="V3177" s="513"/>
      <c r="W3177" s="513"/>
      <c r="X3177" s="513"/>
      <c r="Y3177" s="521"/>
      <c r="Z3177" s="521"/>
      <c r="AA3177" s="514"/>
      <c r="AB3177" s="39"/>
      <c r="AC3177" s="39"/>
      <c r="AD3177" s="39"/>
      <c r="AE3177" s="39"/>
      <c r="AF3177" s="39"/>
      <c r="AG3177" s="39"/>
      <c r="AH3177" s="39"/>
      <c r="AI3177" s="39"/>
      <c r="AJ3177" s="39"/>
      <c r="AK3177" s="39"/>
      <c r="AL3177" s="39"/>
      <c r="AM3177" s="39"/>
      <c r="AN3177" s="39"/>
      <c r="AO3177" s="39"/>
      <c r="AP3177" s="39"/>
      <c r="AQ3177" s="39"/>
      <c r="AR3177" s="39"/>
      <c r="AS3177" s="39"/>
      <c r="AT3177" s="39"/>
      <c r="AU3177" s="39"/>
      <c r="AV3177" s="39"/>
      <c r="AW3177" s="39"/>
      <c r="AX3177" s="39"/>
      <c r="AY3177" s="39"/>
    </row>
    <row r="3178" spans="2:51" s="449" customFormat="1" ht="31.5" customHeight="1" x14ac:dyDescent="0.45">
      <c r="B3178" s="468"/>
      <c r="C3178" s="450"/>
      <c r="D3178" s="449">
        <f>TrialBalanceC!C22</f>
        <v>0</v>
      </c>
      <c r="J3178" s="451"/>
      <c r="K3178" s="451"/>
      <c r="L3178" s="452"/>
      <c r="M3178" s="527"/>
      <c r="N3178" s="451"/>
      <c r="O3178" s="559">
        <f>TrialBalanceC!I22</f>
        <v>0</v>
      </c>
      <c r="P3178" s="459"/>
      <c r="Q3178" s="469"/>
      <c r="R3178" s="512" t="str">
        <f t="shared" si="245"/>
        <v>DELETE</v>
      </c>
      <c r="S3178" s="513"/>
      <c r="T3178" s="513"/>
      <c r="U3178" s="513"/>
      <c r="V3178" s="513"/>
      <c r="W3178" s="513"/>
      <c r="X3178" s="513"/>
      <c r="Y3178" s="521"/>
      <c r="Z3178" s="521"/>
      <c r="AA3178" s="514"/>
      <c r="AB3178" s="39"/>
      <c r="AC3178" s="39"/>
      <c r="AD3178" s="39"/>
      <c r="AE3178" s="39"/>
      <c r="AF3178" s="39"/>
      <c r="AG3178" s="39"/>
      <c r="AH3178" s="39"/>
      <c r="AI3178" s="39"/>
      <c r="AJ3178" s="39"/>
      <c r="AK3178" s="39"/>
      <c r="AL3178" s="39"/>
      <c r="AM3178" s="39"/>
      <c r="AN3178" s="39"/>
      <c r="AO3178" s="39"/>
      <c r="AP3178" s="39"/>
      <c r="AQ3178" s="39"/>
      <c r="AR3178" s="39"/>
      <c r="AS3178" s="39"/>
      <c r="AT3178" s="39"/>
      <c r="AU3178" s="39"/>
      <c r="AV3178" s="39"/>
      <c r="AW3178" s="39"/>
      <c r="AX3178" s="39"/>
      <c r="AY3178" s="39"/>
    </row>
    <row r="3179" spans="2:51" s="449" customFormat="1" ht="31.5" customHeight="1" x14ac:dyDescent="0.45">
      <c r="B3179" s="468"/>
      <c r="C3179" s="450"/>
      <c r="D3179" s="449" t="s">
        <v>609</v>
      </c>
      <c r="J3179" s="451"/>
      <c r="K3179" s="451"/>
      <c r="L3179" s="452"/>
      <c r="M3179" s="527"/>
      <c r="N3179" s="451"/>
      <c r="O3179" s="559">
        <f>SUM(TrialBalanceC!I23:I26)</f>
        <v>0</v>
      </c>
      <c r="P3179" s="459"/>
      <c r="Q3179" s="469"/>
      <c r="R3179" s="512" t="str">
        <f t="shared" si="245"/>
        <v>DELETE</v>
      </c>
      <c r="S3179" s="513"/>
      <c r="T3179" s="513"/>
      <c r="U3179" s="513"/>
      <c r="V3179" s="513"/>
      <c r="W3179" s="513"/>
      <c r="X3179" s="513"/>
      <c r="Y3179" s="521"/>
      <c r="Z3179" s="521"/>
      <c r="AA3179" s="514"/>
      <c r="AB3179" s="39"/>
      <c r="AC3179" s="39"/>
      <c r="AD3179" s="39"/>
      <c r="AE3179" s="39"/>
      <c r="AF3179" s="39"/>
      <c r="AG3179" s="39"/>
      <c r="AH3179" s="39"/>
      <c r="AI3179" s="39"/>
      <c r="AJ3179" s="39"/>
      <c r="AK3179" s="39"/>
      <c r="AL3179" s="39"/>
      <c r="AM3179" s="39"/>
      <c r="AN3179" s="39"/>
      <c r="AO3179" s="39"/>
      <c r="AP3179" s="39"/>
      <c r="AQ3179" s="39"/>
      <c r="AR3179" s="39"/>
      <c r="AS3179" s="39"/>
      <c r="AT3179" s="39"/>
      <c r="AU3179" s="39"/>
      <c r="AV3179" s="39"/>
      <c r="AW3179" s="39"/>
      <c r="AX3179" s="39"/>
      <c r="AY3179" s="39"/>
    </row>
    <row r="3180" spans="2:51" s="449" customFormat="1" ht="9" customHeight="1" x14ac:dyDescent="0.45">
      <c r="B3180" s="468"/>
      <c r="C3180" s="450"/>
      <c r="J3180" s="451"/>
      <c r="K3180" s="451"/>
      <c r="L3180" s="452"/>
      <c r="M3180" s="527"/>
      <c r="N3180" s="451"/>
      <c r="O3180" s="560"/>
      <c r="P3180" s="459"/>
      <c r="Q3180" s="469"/>
      <c r="R3180" s="512" t="str">
        <f>R3169</f>
        <v>DELETE</v>
      </c>
      <c r="S3180" s="513"/>
      <c r="T3180" s="513"/>
      <c r="U3180" s="513"/>
      <c r="V3180" s="513"/>
      <c r="W3180" s="513"/>
      <c r="X3180" s="513"/>
      <c r="Y3180" s="521"/>
      <c r="Z3180" s="521"/>
      <c r="AA3180" s="514"/>
      <c r="AB3180" s="39"/>
      <c r="AC3180" s="39"/>
      <c r="AD3180" s="39"/>
      <c r="AE3180" s="39"/>
      <c r="AF3180" s="39"/>
      <c r="AG3180" s="39"/>
      <c r="AH3180" s="39"/>
      <c r="AI3180" s="39"/>
      <c r="AJ3180" s="39"/>
      <c r="AK3180" s="39"/>
      <c r="AL3180" s="39"/>
      <c r="AM3180" s="39"/>
      <c r="AN3180" s="39"/>
      <c r="AO3180" s="39"/>
      <c r="AP3180" s="39"/>
      <c r="AQ3180" s="39"/>
      <c r="AR3180" s="39"/>
      <c r="AS3180" s="39"/>
      <c r="AT3180" s="39"/>
      <c r="AU3180" s="39"/>
      <c r="AV3180" s="39"/>
      <c r="AW3180" s="39"/>
      <c r="AX3180" s="39"/>
      <c r="AY3180" s="39"/>
    </row>
    <row r="3181" spans="2:51" s="449" customFormat="1" ht="9" customHeight="1" x14ac:dyDescent="0.45">
      <c r="B3181" s="468"/>
      <c r="C3181" s="450"/>
      <c r="J3181" s="451"/>
      <c r="K3181" s="451"/>
      <c r="L3181" s="452"/>
      <c r="M3181" s="527"/>
      <c r="N3181" s="451"/>
      <c r="O3181" s="535"/>
      <c r="P3181" s="459"/>
      <c r="Q3181" s="469"/>
      <c r="R3181" s="512" t="str">
        <f>R3169</f>
        <v>DELETE</v>
      </c>
      <c r="S3181" s="513"/>
      <c r="T3181" s="513"/>
      <c r="U3181" s="513"/>
      <c r="V3181" s="513"/>
      <c r="W3181" s="513"/>
      <c r="X3181" s="513"/>
      <c r="Y3181" s="521"/>
      <c r="Z3181" s="521"/>
      <c r="AA3181" s="514"/>
      <c r="AB3181" s="39"/>
      <c r="AC3181" s="39"/>
      <c r="AD3181" s="39"/>
      <c r="AE3181" s="39"/>
      <c r="AF3181" s="39"/>
      <c r="AG3181" s="39"/>
      <c r="AH3181" s="39"/>
      <c r="AI3181" s="39"/>
      <c r="AJ3181" s="39"/>
      <c r="AK3181" s="39"/>
      <c r="AL3181" s="39"/>
      <c r="AM3181" s="39"/>
      <c r="AN3181" s="39"/>
      <c r="AO3181" s="39"/>
      <c r="AP3181" s="39"/>
      <c r="AQ3181" s="39"/>
      <c r="AR3181" s="39"/>
      <c r="AS3181" s="39"/>
      <c r="AT3181" s="39"/>
      <c r="AU3181" s="39"/>
      <c r="AV3181" s="39"/>
      <c r="AW3181" s="39"/>
      <c r="AX3181" s="39"/>
      <c r="AY3181" s="39"/>
    </row>
    <row r="3182" spans="2:51" s="449" customFormat="1" ht="9" customHeight="1" x14ac:dyDescent="0.45">
      <c r="B3182" s="468"/>
      <c r="C3182" s="450"/>
      <c r="J3182" s="451"/>
      <c r="K3182" s="451"/>
      <c r="L3182" s="452"/>
      <c r="M3182" s="527"/>
      <c r="N3182" s="451"/>
      <c r="O3182" s="531"/>
      <c r="P3182" s="459"/>
      <c r="Q3182" s="469"/>
      <c r="R3182" s="512" t="str">
        <f>R3181</f>
        <v>DELETE</v>
      </c>
      <c r="S3182" s="513"/>
      <c r="T3182" s="513"/>
      <c r="U3182" s="513"/>
      <c r="V3182" s="513"/>
      <c r="W3182" s="513"/>
      <c r="X3182" s="513"/>
      <c r="Y3182" s="521"/>
      <c r="Z3182" s="521"/>
      <c r="AA3182" s="514"/>
      <c r="AB3182" s="39"/>
      <c r="AC3182" s="39"/>
      <c r="AD3182" s="39"/>
      <c r="AE3182" s="39"/>
      <c r="AF3182" s="39"/>
      <c r="AG3182" s="39"/>
      <c r="AH3182" s="39"/>
      <c r="AI3182" s="39"/>
      <c r="AJ3182" s="39"/>
      <c r="AK3182" s="39"/>
      <c r="AL3182" s="39"/>
      <c r="AM3182" s="39"/>
      <c r="AN3182" s="39"/>
      <c r="AO3182" s="39"/>
      <c r="AP3182" s="39"/>
      <c r="AQ3182" s="39"/>
      <c r="AR3182" s="39"/>
      <c r="AS3182" s="39"/>
      <c r="AT3182" s="39"/>
      <c r="AU3182" s="39"/>
      <c r="AV3182" s="39"/>
      <c r="AW3182" s="39"/>
      <c r="AX3182" s="39"/>
      <c r="AY3182" s="39"/>
    </row>
    <row r="3183" spans="2:51" s="449" customFormat="1" ht="31.5" customHeight="1" x14ac:dyDescent="0.45">
      <c r="B3183" s="468"/>
      <c r="C3183" s="492" t="str">
        <f>IF(O3183&lt;0,"GROSS LOSS","GROSS PROFIT")</f>
        <v>GROSS PROFIT</v>
      </c>
      <c r="J3183" s="451"/>
      <c r="K3183" s="451"/>
      <c r="L3183" s="452"/>
      <c r="M3183" s="527"/>
      <c r="N3183" s="451"/>
      <c r="O3183" s="531">
        <f>SUM(S3165:S3180)</f>
        <v>0</v>
      </c>
      <c r="P3183" s="459"/>
      <c r="Q3183" s="469"/>
      <c r="R3183" s="512" t="str">
        <f>R3182</f>
        <v>DELETE</v>
      </c>
      <c r="S3183" s="513"/>
      <c r="T3183" s="513"/>
      <c r="U3183" s="513"/>
      <c r="V3183" s="513"/>
      <c r="W3183" s="513"/>
      <c r="X3183" s="513"/>
      <c r="Y3183" s="521"/>
      <c r="Z3183" s="521"/>
      <c r="AA3183" s="514"/>
      <c r="AB3183" s="39"/>
      <c r="AC3183" s="39"/>
      <c r="AD3183" s="39"/>
      <c r="AE3183" s="39"/>
      <c r="AF3183" s="39"/>
      <c r="AG3183" s="39"/>
      <c r="AH3183" s="39"/>
      <c r="AI3183" s="39"/>
      <c r="AJ3183" s="39"/>
      <c r="AK3183" s="39"/>
      <c r="AL3183" s="39"/>
      <c r="AM3183" s="39"/>
      <c r="AN3183" s="39"/>
      <c r="AO3183" s="39"/>
      <c r="AP3183" s="39"/>
      <c r="AQ3183" s="39"/>
      <c r="AR3183" s="39"/>
      <c r="AS3183" s="39"/>
      <c r="AT3183" s="39"/>
      <c r="AU3183" s="39"/>
      <c r="AV3183" s="39"/>
      <c r="AW3183" s="39"/>
      <c r="AX3183" s="39"/>
      <c r="AY3183" s="39"/>
    </row>
    <row r="3184" spans="2:51" s="449" customFormat="1" ht="31.5" customHeight="1" x14ac:dyDescent="0.45">
      <c r="B3184" s="468"/>
      <c r="C3184" s="450"/>
      <c r="J3184" s="451"/>
      <c r="K3184" s="451"/>
      <c r="L3184" s="452"/>
      <c r="M3184" s="527"/>
      <c r="N3184" s="451"/>
      <c r="O3184" s="531"/>
      <c r="P3184" s="459"/>
      <c r="Q3184" s="469"/>
      <c r="R3184" s="512" t="str">
        <f>R3183</f>
        <v>DELETE</v>
      </c>
      <c r="S3184" s="513"/>
      <c r="T3184" s="513"/>
      <c r="U3184" s="513"/>
      <c r="V3184" s="513"/>
      <c r="W3184" s="513"/>
      <c r="X3184" s="513"/>
      <c r="Y3184" s="521"/>
      <c r="Z3184" s="521"/>
      <c r="AA3184" s="514"/>
      <c r="AB3184" s="39"/>
      <c r="AC3184" s="39"/>
      <c r="AD3184" s="39"/>
      <c r="AE3184" s="39"/>
      <c r="AF3184" s="39"/>
      <c r="AG3184" s="39"/>
      <c r="AH3184" s="39"/>
      <c r="AI3184" s="39"/>
      <c r="AJ3184" s="39"/>
      <c r="AK3184" s="39"/>
      <c r="AL3184" s="39"/>
      <c r="AM3184" s="39"/>
      <c r="AN3184" s="39"/>
      <c r="AO3184" s="39"/>
      <c r="AP3184" s="39"/>
      <c r="AQ3184" s="39"/>
      <c r="AR3184" s="39"/>
      <c r="AS3184" s="39"/>
      <c r="AT3184" s="39"/>
      <c r="AU3184" s="39"/>
      <c r="AV3184" s="39"/>
      <c r="AW3184" s="39"/>
      <c r="AX3184" s="39"/>
      <c r="AY3184" s="39"/>
    </row>
    <row r="3185" spans="2:51" s="449" customFormat="1" ht="31.5" customHeight="1" x14ac:dyDescent="0.45">
      <c r="B3185" s="468"/>
      <c r="C3185" s="450" t="s">
        <v>385</v>
      </c>
      <c r="J3185" s="451"/>
      <c r="K3185" s="451"/>
      <c r="L3185" s="452"/>
      <c r="M3185" s="527"/>
      <c r="N3185" s="451"/>
      <c r="O3185" s="531">
        <f>SUM(O3187:O3194)</f>
        <v>0</v>
      </c>
      <c r="P3185" s="459"/>
      <c r="Q3185" s="469"/>
      <c r="R3185" s="512" t="str">
        <f t="shared" ref="R3185" si="246">IF(R$3153="DELETE","DELETE",IF(O3185=0,"DELETE"," "))</f>
        <v>DELETE</v>
      </c>
      <c r="S3185" s="517">
        <f>O3185</f>
        <v>0</v>
      </c>
      <c r="T3185" s="517"/>
      <c r="U3185" s="513"/>
      <c r="V3185" s="513"/>
      <c r="W3185" s="513"/>
      <c r="X3185" s="513"/>
      <c r="Y3185" s="521"/>
      <c r="Z3185" s="521"/>
      <c r="AA3185" s="514"/>
      <c r="AB3185" s="39"/>
      <c r="AC3185" s="39"/>
      <c r="AD3185" s="39"/>
      <c r="AE3185" s="39"/>
      <c r="AF3185" s="39"/>
      <c r="AG3185" s="39"/>
      <c r="AH3185" s="39"/>
      <c r="AI3185" s="39"/>
      <c r="AJ3185" s="39"/>
      <c r="AK3185" s="39"/>
      <c r="AL3185" s="39"/>
      <c r="AM3185" s="39"/>
      <c r="AN3185" s="39"/>
      <c r="AO3185" s="39"/>
      <c r="AP3185" s="39"/>
      <c r="AQ3185" s="39"/>
      <c r="AR3185" s="39"/>
      <c r="AS3185" s="39"/>
      <c r="AT3185" s="39"/>
      <c r="AU3185" s="39"/>
      <c r="AV3185" s="39"/>
      <c r="AW3185" s="39"/>
      <c r="AX3185" s="39"/>
      <c r="AY3185" s="39"/>
    </row>
    <row r="3186" spans="2:51" s="449" customFormat="1" ht="9" customHeight="1" x14ac:dyDescent="0.45">
      <c r="B3186" s="468"/>
      <c r="C3186" s="450"/>
      <c r="J3186" s="451"/>
      <c r="K3186" s="451"/>
      <c r="L3186" s="452"/>
      <c r="M3186" s="527"/>
      <c r="N3186" s="451"/>
      <c r="O3186" s="531"/>
      <c r="P3186" s="459"/>
      <c r="Q3186" s="469"/>
      <c r="R3186" s="512" t="str">
        <f>R3185</f>
        <v>DELETE</v>
      </c>
      <c r="S3186" s="513"/>
      <c r="T3186" s="513"/>
      <c r="U3186" s="513"/>
      <c r="V3186" s="513"/>
      <c r="W3186" s="513"/>
      <c r="X3186" s="513"/>
      <c r="Y3186" s="521"/>
      <c r="Z3186" s="521"/>
      <c r="AA3186" s="514"/>
      <c r="AB3186" s="39"/>
      <c r="AC3186" s="39"/>
      <c r="AD3186" s="39"/>
      <c r="AE3186" s="39"/>
      <c r="AF3186" s="39"/>
      <c r="AG3186" s="39"/>
      <c r="AH3186" s="39"/>
      <c r="AI3186" s="39"/>
      <c r="AJ3186" s="39"/>
      <c r="AK3186" s="39"/>
      <c r="AL3186" s="39"/>
      <c r="AM3186" s="39"/>
      <c r="AN3186" s="39"/>
      <c r="AO3186" s="39"/>
      <c r="AP3186" s="39"/>
      <c r="AQ3186" s="39"/>
      <c r="AR3186" s="39"/>
      <c r="AS3186" s="39"/>
      <c r="AT3186" s="39"/>
      <c r="AU3186" s="39"/>
      <c r="AV3186" s="39"/>
      <c r="AW3186" s="39"/>
      <c r="AX3186" s="39"/>
      <c r="AY3186" s="39"/>
    </row>
    <row r="3187" spans="2:51" s="449" customFormat="1" ht="9" customHeight="1" x14ac:dyDescent="0.45">
      <c r="B3187" s="468"/>
      <c r="C3187" s="450"/>
      <c r="J3187" s="451"/>
      <c r="K3187" s="451"/>
      <c r="L3187" s="452"/>
      <c r="M3187" s="527"/>
      <c r="N3187" s="451"/>
      <c r="O3187" s="558"/>
      <c r="P3187" s="459"/>
      <c r="Q3187" s="469"/>
      <c r="R3187" s="512" t="str">
        <f>R3185</f>
        <v>DELETE</v>
      </c>
      <c r="S3187" s="513"/>
      <c r="T3187" s="513"/>
      <c r="U3187" s="513"/>
      <c r="V3187" s="513"/>
      <c r="W3187" s="513"/>
      <c r="X3187" s="513"/>
      <c r="Y3187" s="521"/>
      <c r="Z3187" s="521"/>
      <c r="AA3187" s="514"/>
      <c r="AB3187" s="39"/>
      <c r="AC3187" s="39"/>
      <c r="AD3187" s="39"/>
      <c r="AE3187" s="39"/>
      <c r="AF3187" s="39"/>
      <c r="AG3187" s="39"/>
      <c r="AH3187" s="39"/>
      <c r="AI3187" s="39"/>
      <c r="AJ3187" s="39"/>
      <c r="AK3187" s="39"/>
      <c r="AL3187" s="39"/>
      <c r="AM3187" s="39"/>
      <c r="AN3187" s="39"/>
      <c r="AO3187" s="39"/>
      <c r="AP3187" s="39"/>
      <c r="AQ3187" s="39"/>
      <c r="AR3187" s="39"/>
      <c r="AS3187" s="39"/>
      <c r="AT3187" s="39"/>
      <c r="AU3187" s="39"/>
      <c r="AV3187" s="39"/>
      <c r="AW3187" s="39"/>
      <c r="AX3187" s="39"/>
      <c r="AY3187" s="39"/>
    </row>
    <row r="3188" spans="2:51" s="449" customFormat="1" ht="31.5" customHeight="1" x14ac:dyDescent="0.45">
      <c r="B3188" s="468"/>
      <c r="C3188" s="450"/>
      <c r="D3188" s="449" t="str">
        <f>TrialBalanceC!C28</f>
        <v xml:space="preserve">Insurance claims - </v>
      </c>
      <c r="J3188" s="451"/>
      <c r="K3188" s="451"/>
      <c r="L3188" s="452"/>
      <c r="M3188" s="527"/>
      <c r="N3188" s="451"/>
      <c r="O3188" s="559">
        <f>-TrialBalanceC!I28</f>
        <v>0</v>
      </c>
      <c r="P3188" s="459"/>
      <c r="Q3188" s="469"/>
      <c r="R3188" s="512" t="str">
        <f t="shared" ref="R3188:R3192" si="247">IF(R$3153="DELETE","DELETE",IF(O3188=0,"DELETE"," "))</f>
        <v>DELETE</v>
      </c>
      <c r="S3188" s="513"/>
      <c r="T3188" s="513"/>
      <c r="U3188" s="513"/>
      <c r="V3188" s="513"/>
      <c r="W3188" s="513"/>
      <c r="X3188" s="513"/>
      <c r="Y3188" s="521"/>
      <c r="Z3188" s="521"/>
      <c r="AA3188" s="514"/>
      <c r="AB3188" s="39"/>
      <c r="AC3188" s="39"/>
      <c r="AD3188" s="39"/>
      <c r="AE3188" s="39"/>
      <c r="AF3188" s="39"/>
      <c r="AG3188" s="39"/>
      <c r="AH3188" s="39"/>
      <c r="AI3188" s="39"/>
      <c r="AJ3188" s="39"/>
      <c r="AK3188" s="39"/>
      <c r="AL3188" s="39"/>
      <c r="AM3188" s="39"/>
      <c r="AN3188" s="39"/>
      <c r="AO3188" s="39"/>
      <c r="AP3188" s="39"/>
      <c r="AQ3188" s="39"/>
      <c r="AR3188" s="39"/>
      <c r="AS3188" s="39"/>
      <c r="AT3188" s="39"/>
      <c r="AU3188" s="39"/>
      <c r="AV3188" s="39"/>
      <c r="AW3188" s="39"/>
      <c r="AX3188" s="39"/>
      <c r="AY3188" s="39"/>
    </row>
    <row r="3189" spans="2:51" s="449" customFormat="1" ht="31.5" customHeight="1" x14ac:dyDescent="0.45">
      <c r="B3189" s="468"/>
      <c r="C3189" s="450"/>
      <c r="D3189" s="449" t="str">
        <f>TrialBalanceC!C29</f>
        <v>Government grants received</v>
      </c>
      <c r="J3189" s="451"/>
      <c r="K3189" s="451"/>
      <c r="L3189" s="452"/>
      <c r="M3189" s="527"/>
      <c r="N3189" s="451"/>
      <c r="O3189" s="559">
        <f>-TrialBalanceC!I29</f>
        <v>0</v>
      </c>
      <c r="P3189" s="459"/>
      <c r="Q3189" s="469"/>
      <c r="R3189" s="512" t="str">
        <f t="shared" si="247"/>
        <v>DELETE</v>
      </c>
      <c r="S3189" s="513"/>
      <c r="T3189" s="513"/>
      <c r="U3189" s="513"/>
      <c r="V3189" s="513"/>
      <c r="W3189" s="513"/>
      <c r="X3189" s="513"/>
      <c r="Y3189" s="521"/>
      <c r="Z3189" s="521"/>
      <c r="AA3189" s="514"/>
      <c r="AB3189" s="39"/>
      <c r="AC3189" s="39"/>
      <c r="AD3189" s="39"/>
      <c r="AE3189" s="39"/>
      <c r="AF3189" s="39"/>
      <c r="AG3189" s="39"/>
      <c r="AH3189" s="39"/>
      <c r="AI3189" s="39"/>
      <c r="AJ3189" s="39"/>
      <c r="AK3189" s="39"/>
      <c r="AL3189" s="39"/>
      <c r="AM3189" s="39"/>
      <c r="AN3189" s="39"/>
      <c r="AO3189" s="39"/>
      <c r="AP3189" s="39"/>
      <c r="AQ3189" s="39"/>
      <c r="AR3189" s="39"/>
      <c r="AS3189" s="39"/>
      <c r="AT3189" s="39"/>
      <c r="AU3189" s="39"/>
      <c r="AV3189" s="39"/>
      <c r="AW3189" s="39"/>
      <c r="AX3189" s="39"/>
      <c r="AY3189" s="39"/>
    </row>
    <row r="3190" spans="2:51" s="449" customFormat="1" ht="31.5" customHeight="1" x14ac:dyDescent="0.45">
      <c r="B3190" s="468"/>
      <c r="C3190" s="450"/>
      <c r="D3190" s="449">
        <f>TrialBalanceC!C30</f>
        <v>0</v>
      </c>
      <c r="J3190" s="451"/>
      <c r="K3190" s="451"/>
      <c r="L3190" s="452"/>
      <c r="M3190" s="527"/>
      <c r="N3190" s="451"/>
      <c r="O3190" s="559">
        <f>-TrialBalanceC!I30</f>
        <v>0</v>
      </c>
      <c r="P3190" s="459"/>
      <c r="Q3190" s="469"/>
      <c r="R3190" s="512" t="str">
        <f t="shared" si="247"/>
        <v>DELETE</v>
      </c>
      <c r="S3190" s="513"/>
      <c r="T3190" s="513"/>
      <c r="U3190" s="513"/>
      <c r="V3190" s="513"/>
      <c r="W3190" s="513"/>
      <c r="X3190" s="513"/>
      <c r="Y3190" s="521"/>
      <c r="Z3190" s="521"/>
      <c r="AA3190" s="514"/>
      <c r="AB3190" s="39"/>
      <c r="AC3190" s="39"/>
      <c r="AD3190" s="39"/>
      <c r="AE3190" s="39"/>
      <c r="AF3190" s="39"/>
      <c r="AG3190" s="39"/>
      <c r="AH3190" s="39"/>
      <c r="AI3190" s="39"/>
      <c r="AJ3190" s="39"/>
      <c r="AK3190" s="39"/>
      <c r="AL3190" s="39"/>
      <c r="AM3190" s="39"/>
      <c r="AN3190" s="39"/>
      <c r="AO3190" s="39"/>
      <c r="AP3190" s="39"/>
      <c r="AQ3190" s="39"/>
      <c r="AR3190" s="39"/>
      <c r="AS3190" s="39"/>
      <c r="AT3190" s="39"/>
      <c r="AU3190" s="39"/>
      <c r="AV3190" s="39"/>
      <c r="AW3190" s="39"/>
      <c r="AX3190" s="39"/>
      <c r="AY3190" s="39"/>
    </row>
    <row r="3191" spans="2:51" s="449" customFormat="1" ht="31.5" customHeight="1" x14ac:dyDescent="0.45">
      <c r="B3191" s="468"/>
      <c r="C3191" s="450"/>
      <c r="D3191" s="449">
        <f>TrialBalanceC!C31</f>
        <v>0</v>
      </c>
      <c r="J3191" s="451"/>
      <c r="K3191" s="451"/>
      <c r="L3191" s="452"/>
      <c r="M3191" s="527"/>
      <c r="N3191" s="451"/>
      <c r="O3191" s="559">
        <f>-TrialBalanceC!I31</f>
        <v>0</v>
      </c>
      <c r="P3191" s="459"/>
      <c r="Q3191" s="469"/>
      <c r="R3191" s="512" t="str">
        <f t="shared" si="247"/>
        <v>DELETE</v>
      </c>
      <c r="S3191" s="513"/>
      <c r="T3191" s="513"/>
      <c r="U3191" s="513"/>
      <c r="V3191" s="513"/>
      <c r="W3191" s="513"/>
      <c r="X3191" s="513"/>
      <c r="Y3191" s="521"/>
      <c r="Z3191" s="521"/>
      <c r="AA3191" s="514"/>
      <c r="AB3191" s="39"/>
      <c r="AC3191" s="39"/>
      <c r="AD3191" s="39"/>
      <c r="AE3191" s="39"/>
      <c r="AF3191" s="39"/>
      <c r="AG3191" s="39"/>
      <c r="AH3191" s="39"/>
      <c r="AI3191" s="39"/>
      <c r="AJ3191" s="39"/>
      <c r="AK3191" s="39"/>
      <c r="AL3191" s="39"/>
      <c r="AM3191" s="39"/>
      <c r="AN3191" s="39"/>
      <c r="AO3191" s="39"/>
      <c r="AP3191" s="39"/>
      <c r="AQ3191" s="39"/>
      <c r="AR3191" s="39"/>
      <c r="AS3191" s="39"/>
      <c r="AT3191" s="39"/>
      <c r="AU3191" s="39"/>
      <c r="AV3191" s="39"/>
      <c r="AW3191" s="39"/>
      <c r="AX3191" s="39"/>
      <c r="AY3191" s="39"/>
    </row>
    <row r="3192" spans="2:51" s="449" customFormat="1" ht="31.5" customHeight="1" x14ac:dyDescent="0.45">
      <c r="B3192" s="468"/>
      <c r="C3192" s="450"/>
      <c r="D3192" s="449">
        <f>TrialBalanceC!C32</f>
        <v>0</v>
      </c>
      <c r="J3192" s="451"/>
      <c r="K3192" s="451"/>
      <c r="L3192" s="452"/>
      <c r="M3192" s="527"/>
      <c r="N3192" s="451"/>
      <c r="O3192" s="559">
        <f>-TrialBalanceC!I32</f>
        <v>0</v>
      </c>
      <c r="P3192" s="459"/>
      <c r="Q3192" s="469"/>
      <c r="R3192" s="512" t="str">
        <f t="shared" si="247"/>
        <v>DELETE</v>
      </c>
      <c r="S3192" s="513"/>
      <c r="T3192" s="513"/>
      <c r="U3192" s="513"/>
      <c r="V3192" s="513"/>
      <c r="W3192" s="513"/>
      <c r="X3192" s="513"/>
      <c r="Y3192" s="521"/>
      <c r="Z3192" s="521"/>
      <c r="AA3192" s="514"/>
      <c r="AB3192" s="39"/>
      <c r="AC3192" s="39"/>
      <c r="AD3192" s="39"/>
      <c r="AE3192" s="39"/>
      <c r="AF3192" s="39"/>
      <c r="AG3192" s="39"/>
      <c r="AH3192" s="39"/>
      <c r="AI3192" s="39"/>
      <c r="AJ3192" s="39"/>
      <c r="AK3192" s="39"/>
      <c r="AL3192" s="39"/>
      <c r="AM3192" s="39"/>
      <c r="AN3192" s="39"/>
      <c r="AO3192" s="39"/>
      <c r="AP3192" s="39"/>
      <c r="AQ3192" s="39"/>
      <c r="AR3192" s="39"/>
      <c r="AS3192" s="39"/>
      <c r="AT3192" s="39"/>
      <c r="AU3192" s="39"/>
      <c r="AV3192" s="39"/>
      <c r="AW3192" s="39"/>
      <c r="AX3192" s="39"/>
      <c r="AY3192" s="39"/>
    </row>
    <row r="3193" spans="2:51" s="449" customFormat="1" ht="31.5" customHeight="1" x14ac:dyDescent="0.45">
      <c r="B3193" s="468"/>
      <c r="C3193" s="450"/>
      <c r="D3193" s="449" t="str">
        <f>TrialBalanceC!C33</f>
        <v>Recoupment of depreciation</v>
      </c>
      <c r="J3193" s="451"/>
      <c r="K3193" s="451"/>
      <c r="L3193" s="452"/>
      <c r="M3193" s="527"/>
      <c r="N3193" s="451"/>
      <c r="O3193" s="559">
        <f>-TrialBalanceC!I33</f>
        <v>0</v>
      </c>
      <c r="P3193" s="459"/>
      <c r="Q3193" s="469"/>
      <c r="R3193" s="512" t="str">
        <f t="shared" ref="R3193" si="248">IF(R$3153="DELETE","DELETE",IF(O3193=0,"DELETE"," "))</f>
        <v>DELETE</v>
      </c>
      <c r="S3193" s="513"/>
      <c r="T3193" s="513"/>
      <c r="U3193" s="513"/>
      <c r="V3193" s="513"/>
      <c r="W3193" s="513"/>
      <c r="X3193" s="513"/>
      <c r="Y3193" s="521"/>
      <c r="Z3193" s="521"/>
      <c r="AA3193" s="514"/>
      <c r="AB3193" s="39"/>
      <c r="AC3193" s="39"/>
      <c r="AD3193" s="39"/>
      <c r="AE3193" s="39"/>
      <c r="AF3193" s="39"/>
      <c r="AG3193" s="39"/>
      <c r="AH3193" s="39"/>
      <c r="AI3193" s="39"/>
      <c r="AJ3193" s="39"/>
      <c r="AK3193" s="39"/>
      <c r="AL3193" s="39"/>
      <c r="AM3193" s="39"/>
      <c r="AN3193" s="39"/>
      <c r="AO3193" s="39"/>
      <c r="AP3193" s="39"/>
      <c r="AQ3193" s="39"/>
      <c r="AR3193" s="39"/>
      <c r="AS3193" s="39"/>
      <c r="AT3193" s="39"/>
      <c r="AU3193" s="39"/>
      <c r="AV3193" s="39"/>
      <c r="AW3193" s="39"/>
      <c r="AX3193" s="39"/>
      <c r="AY3193" s="39"/>
    </row>
    <row r="3194" spans="2:51" s="449" customFormat="1" ht="9" customHeight="1" x14ac:dyDescent="0.45">
      <c r="B3194" s="468"/>
      <c r="C3194" s="450"/>
      <c r="J3194" s="451"/>
      <c r="K3194" s="451"/>
      <c r="L3194" s="452"/>
      <c r="M3194" s="527"/>
      <c r="N3194" s="451"/>
      <c r="O3194" s="560"/>
      <c r="P3194" s="459"/>
      <c r="Q3194" s="469"/>
      <c r="R3194" s="512" t="str">
        <f>R3185</f>
        <v>DELETE</v>
      </c>
      <c r="S3194" s="513"/>
      <c r="T3194" s="513"/>
      <c r="U3194" s="513"/>
      <c r="V3194" s="513"/>
      <c r="W3194" s="513"/>
      <c r="X3194" s="513"/>
      <c r="Y3194" s="521"/>
      <c r="Z3194" s="521"/>
      <c r="AA3194" s="514"/>
      <c r="AB3194" s="39"/>
      <c r="AC3194" s="39"/>
      <c r="AD3194" s="39"/>
      <c r="AE3194" s="39"/>
      <c r="AF3194" s="39"/>
      <c r="AG3194" s="39"/>
      <c r="AH3194" s="39"/>
      <c r="AI3194" s="39"/>
      <c r="AJ3194" s="39"/>
      <c r="AK3194" s="39"/>
      <c r="AL3194" s="39"/>
      <c r="AM3194" s="39"/>
      <c r="AN3194" s="39"/>
      <c r="AO3194" s="39"/>
      <c r="AP3194" s="39"/>
      <c r="AQ3194" s="39"/>
      <c r="AR3194" s="39"/>
      <c r="AS3194" s="39"/>
      <c r="AT3194" s="39"/>
      <c r="AU3194" s="39"/>
      <c r="AV3194" s="39"/>
      <c r="AW3194" s="39"/>
      <c r="AX3194" s="39"/>
      <c r="AY3194" s="39"/>
    </row>
    <row r="3195" spans="2:51" s="449" customFormat="1" ht="9" customHeight="1" x14ac:dyDescent="0.45">
      <c r="B3195" s="468"/>
      <c r="C3195" s="450"/>
      <c r="J3195" s="451"/>
      <c r="K3195" s="451"/>
      <c r="L3195" s="452"/>
      <c r="M3195" s="527"/>
      <c r="N3195" s="451"/>
      <c r="O3195" s="547"/>
      <c r="P3195" s="459"/>
      <c r="Q3195" s="469"/>
      <c r="R3195" s="512" t="str">
        <f>R3194</f>
        <v>DELETE</v>
      </c>
      <c r="S3195" s="513"/>
      <c r="T3195" s="513"/>
      <c r="U3195" s="513"/>
      <c r="V3195" s="513"/>
      <c r="W3195" s="513"/>
      <c r="X3195" s="513"/>
      <c r="Y3195" s="521"/>
      <c r="Z3195" s="521"/>
      <c r="AA3195" s="514"/>
      <c r="AB3195" s="39"/>
      <c r="AC3195" s="39"/>
      <c r="AD3195" s="39"/>
      <c r="AE3195" s="39"/>
      <c r="AF3195" s="39"/>
      <c r="AG3195" s="39"/>
      <c r="AH3195" s="39"/>
      <c r="AI3195" s="39"/>
      <c r="AJ3195" s="39"/>
      <c r="AK3195" s="39"/>
      <c r="AL3195" s="39"/>
      <c r="AM3195" s="39"/>
      <c r="AN3195" s="39"/>
      <c r="AO3195" s="39"/>
      <c r="AP3195" s="39"/>
      <c r="AQ3195" s="39"/>
      <c r="AR3195" s="39"/>
      <c r="AS3195" s="39"/>
      <c r="AT3195" s="39"/>
      <c r="AU3195" s="39"/>
      <c r="AV3195" s="39"/>
      <c r="AW3195" s="39"/>
      <c r="AX3195" s="39"/>
      <c r="AY3195" s="39"/>
    </row>
    <row r="3196" spans="2:51" s="449" customFormat="1" ht="9" customHeight="1" x14ac:dyDescent="0.45">
      <c r="B3196" s="468"/>
      <c r="C3196" s="450"/>
      <c r="J3196" s="451"/>
      <c r="K3196" s="451"/>
      <c r="L3196" s="452"/>
      <c r="M3196" s="527"/>
      <c r="N3196" s="451"/>
      <c r="O3196" s="531"/>
      <c r="P3196" s="459"/>
      <c r="Q3196" s="469"/>
      <c r="R3196" s="512" t="str">
        <f>R3195</f>
        <v>DELETE</v>
      </c>
      <c r="S3196" s="513"/>
      <c r="T3196" s="513"/>
      <c r="U3196" s="513"/>
      <c r="V3196" s="513"/>
      <c r="W3196" s="513"/>
      <c r="X3196" s="513"/>
      <c r="Y3196" s="521"/>
      <c r="Z3196" s="521"/>
      <c r="AA3196" s="514"/>
      <c r="AB3196" s="39"/>
      <c r="AC3196" s="39"/>
      <c r="AD3196" s="39"/>
      <c r="AE3196" s="39"/>
      <c r="AF3196" s="39"/>
      <c r="AG3196" s="39"/>
      <c r="AH3196" s="39"/>
      <c r="AI3196" s="39"/>
      <c r="AJ3196" s="39"/>
      <c r="AK3196" s="39"/>
      <c r="AL3196" s="39"/>
      <c r="AM3196" s="39"/>
      <c r="AN3196" s="39"/>
      <c r="AO3196" s="39"/>
      <c r="AP3196" s="39"/>
      <c r="AQ3196" s="39"/>
      <c r="AR3196" s="39"/>
      <c r="AS3196" s="39"/>
      <c r="AT3196" s="39"/>
      <c r="AU3196" s="39"/>
      <c r="AV3196" s="39"/>
      <c r="AW3196" s="39"/>
      <c r="AX3196" s="39"/>
      <c r="AY3196" s="39"/>
    </row>
    <row r="3197" spans="2:51" s="449" customFormat="1" ht="31.5" customHeight="1" x14ac:dyDescent="0.45">
      <c r="B3197" s="468"/>
      <c r="C3197" s="450"/>
      <c r="J3197" s="451"/>
      <c r="K3197" s="451"/>
      <c r="L3197" s="452"/>
      <c r="M3197" s="527"/>
      <c r="N3197" s="451"/>
      <c r="O3197" s="531">
        <f>SUM(S3165:S3185)</f>
        <v>0</v>
      </c>
      <c r="P3197" s="459"/>
      <c r="Q3197" s="469"/>
      <c r="R3197" s="512" t="str">
        <f>R3185</f>
        <v>DELETE</v>
      </c>
      <c r="S3197" s="513"/>
      <c r="T3197" s="513"/>
      <c r="U3197" s="513"/>
      <c r="V3197" s="513"/>
      <c r="W3197" s="513"/>
      <c r="X3197" s="513"/>
      <c r="Y3197" s="521"/>
      <c r="Z3197" s="521"/>
      <c r="AA3197" s="514"/>
      <c r="AB3197" s="39"/>
      <c r="AC3197" s="39"/>
      <c r="AD3197" s="39"/>
      <c r="AE3197" s="39"/>
      <c r="AF3197" s="39"/>
      <c r="AG3197" s="39"/>
      <c r="AH3197" s="39"/>
      <c r="AI3197" s="39"/>
      <c r="AJ3197" s="39"/>
      <c r="AK3197" s="39"/>
      <c r="AL3197" s="39"/>
      <c r="AM3197" s="39"/>
      <c r="AN3197" s="39"/>
      <c r="AO3197" s="39"/>
      <c r="AP3197" s="39"/>
      <c r="AQ3197" s="39"/>
      <c r="AR3197" s="39"/>
      <c r="AS3197" s="39"/>
      <c r="AT3197" s="39"/>
      <c r="AU3197" s="39"/>
      <c r="AV3197" s="39"/>
      <c r="AW3197" s="39"/>
      <c r="AX3197" s="39"/>
      <c r="AY3197" s="39"/>
    </row>
    <row r="3198" spans="2:51" s="449" customFormat="1" ht="31.5" customHeight="1" x14ac:dyDescent="0.45">
      <c r="B3198" s="468"/>
      <c r="C3198" s="450"/>
      <c r="J3198" s="451"/>
      <c r="K3198" s="451"/>
      <c r="L3198" s="452"/>
      <c r="M3198" s="527"/>
      <c r="N3198" s="451"/>
      <c r="O3198" s="531"/>
      <c r="P3198" s="459"/>
      <c r="Q3198" s="469"/>
      <c r="R3198" s="512" t="str">
        <f>R3197</f>
        <v>DELETE</v>
      </c>
      <c r="S3198" s="513"/>
      <c r="T3198" s="513"/>
      <c r="U3198" s="513"/>
      <c r="V3198" s="513"/>
      <c r="W3198" s="513"/>
      <c r="X3198" s="513"/>
      <c r="Y3198" s="521"/>
      <c r="Z3198" s="521"/>
      <c r="AA3198" s="514"/>
      <c r="AB3198" s="39"/>
      <c r="AC3198" s="39"/>
      <c r="AD3198" s="39"/>
      <c r="AE3198" s="39"/>
      <c r="AF3198" s="39"/>
      <c r="AG3198" s="39"/>
      <c r="AH3198" s="39"/>
      <c r="AI3198" s="39"/>
      <c r="AJ3198" s="39"/>
      <c r="AK3198" s="39"/>
      <c r="AL3198" s="39"/>
      <c r="AM3198" s="39"/>
      <c r="AN3198" s="39"/>
      <c r="AO3198" s="39"/>
      <c r="AP3198" s="39"/>
      <c r="AQ3198" s="39"/>
      <c r="AR3198" s="39"/>
      <c r="AS3198" s="39"/>
      <c r="AT3198" s="39"/>
      <c r="AU3198" s="39"/>
      <c r="AV3198" s="39"/>
      <c r="AW3198" s="39"/>
      <c r="AX3198" s="39"/>
      <c r="AY3198" s="39"/>
    </row>
    <row r="3199" spans="2:51" s="449" customFormat="1" ht="31.5" customHeight="1" x14ac:dyDescent="0.45">
      <c r="B3199" s="468"/>
      <c r="C3199" s="450" t="s">
        <v>1416</v>
      </c>
      <c r="J3199" s="451"/>
      <c r="K3199" s="451"/>
      <c r="L3199" s="452"/>
      <c r="M3199" s="527"/>
      <c r="N3199" s="451"/>
      <c r="O3199" s="531">
        <f>SUM(O3201:O3229)</f>
        <v>0</v>
      </c>
      <c r="P3199" s="459"/>
      <c r="Q3199" s="469"/>
      <c r="R3199" s="512" t="str">
        <f t="shared" ref="R3199" si="249">IF(R$3153="DELETE","DELETE",IF(O3199=0,"DELETE"," "))</f>
        <v>DELETE</v>
      </c>
      <c r="S3199" s="517">
        <f>-O3199</f>
        <v>0</v>
      </c>
      <c r="T3199" s="517"/>
      <c r="U3199" s="517"/>
      <c r="V3199" s="517"/>
      <c r="W3199" s="513"/>
      <c r="X3199" s="513"/>
      <c r="Y3199" s="521"/>
      <c r="Z3199" s="521"/>
      <c r="AA3199" s="514"/>
      <c r="AB3199" s="39"/>
      <c r="AC3199" s="39"/>
      <c r="AD3199" s="39"/>
      <c r="AE3199" s="39"/>
      <c r="AF3199" s="39"/>
      <c r="AG3199" s="39"/>
      <c r="AH3199" s="39"/>
      <c r="AI3199" s="39"/>
      <c r="AJ3199" s="39"/>
      <c r="AK3199" s="39"/>
      <c r="AL3199" s="39"/>
      <c r="AM3199" s="39"/>
      <c r="AN3199" s="39"/>
      <c r="AO3199" s="39"/>
      <c r="AP3199" s="39"/>
      <c r="AQ3199" s="39"/>
      <c r="AR3199" s="39"/>
      <c r="AS3199" s="39"/>
      <c r="AT3199" s="39"/>
      <c r="AU3199" s="39"/>
      <c r="AV3199" s="39"/>
      <c r="AW3199" s="39"/>
      <c r="AX3199" s="39"/>
      <c r="AY3199" s="39"/>
    </row>
    <row r="3200" spans="2:51" s="449" customFormat="1" ht="9" customHeight="1" x14ac:dyDescent="0.45">
      <c r="B3200" s="468"/>
      <c r="C3200" s="450"/>
      <c r="J3200" s="451"/>
      <c r="K3200" s="451"/>
      <c r="L3200" s="452"/>
      <c r="M3200" s="527"/>
      <c r="N3200" s="451"/>
      <c r="O3200" s="531"/>
      <c r="P3200" s="459"/>
      <c r="Q3200" s="469"/>
      <c r="R3200" s="512" t="str">
        <f>R3199</f>
        <v>DELETE</v>
      </c>
      <c r="S3200" s="513"/>
      <c r="T3200" s="513"/>
      <c r="U3200" s="513"/>
      <c r="V3200" s="513"/>
      <c r="W3200" s="513"/>
      <c r="X3200" s="513"/>
      <c r="Y3200" s="521"/>
      <c r="Z3200" s="521"/>
      <c r="AA3200" s="514"/>
      <c r="AB3200" s="39"/>
      <c r="AC3200" s="39"/>
      <c r="AD3200" s="39"/>
      <c r="AE3200" s="39"/>
      <c r="AF3200" s="39"/>
      <c r="AG3200" s="39"/>
      <c r="AH3200" s="39"/>
      <c r="AI3200" s="39"/>
      <c r="AJ3200" s="39"/>
      <c r="AK3200" s="39"/>
      <c r="AL3200" s="39"/>
      <c r="AM3200" s="39"/>
      <c r="AN3200" s="39"/>
      <c r="AO3200" s="39"/>
      <c r="AP3200" s="39"/>
      <c r="AQ3200" s="39"/>
      <c r="AR3200" s="39"/>
      <c r="AS3200" s="39"/>
      <c r="AT3200" s="39"/>
      <c r="AU3200" s="39"/>
      <c r="AV3200" s="39"/>
      <c r="AW3200" s="39"/>
      <c r="AX3200" s="39"/>
      <c r="AY3200" s="39"/>
    </row>
    <row r="3201" spans="2:51" s="449" customFormat="1" ht="9" customHeight="1" x14ac:dyDescent="0.45">
      <c r="B3201" s="468"/>
      <c r="C3201" s="450"/>
      <c r="J3201" s="451"/>
      <c r="K3201" s="451"/>
      <c r="L3201" s="452"/>
      <c r="M3201" s="527"/>
      <c r="N3201" s="451"/>
      <c r="O3201" s="558"/>
      <c r="P3201" s="459"/>
      <c r="Q3201" s="469"/>
      <c r="R3201" s="512" t="str">
        <f>R3200</f>
        <v>DELETE</v>
      </c>
      <c r="S3201" s="513"/>
      <c r="T3201" s="513"/>
      <c r="U3201" s="513"/>
      <c r="V3201" s="513"/>
      <c r="W3201" s="513"/>
      <c r="X3201" s="513"/>
      <c r="Y3201" s="521"/>
      <c r="Z3201" s="521"/>
      <c r="AA3201" s="514"/>
      <c r="AB3201" s="39"/>
      <c r="AC3201" s="39"/>
      <c r="AD3201" s="39"/>
      <c r="AE3201" s="39"/>
      <c r="AF3201" s="39"/>
      <c r="AG3201" s="39"/>
      <c r="AH3201" s="39"/>
      <c r="AI3201" s="39"/>
      <c r="AJ3201" s="39"/>
      <c r="AK3201" s="39"/>
      <c r="AL3201" s="39"/>
      <c r="AM3201" s="39"/>
      <c r="AN3201" s="39"/>
      <c r="AO3201" s="39"/>
      <c r="AP3201" s="39"/>
      <c r="AQ3201" s="39"/>
      <c r="AR3201" s="39"/>
      <c r="AS3201" s="39"/>
      <c r="AT3201" s="39"/>
      <c r="AU3201" s="39"/>
      <c r="AV3201" s="39"/>
      <c r="AW3201" s="39"/>
      <c r="AX3201" s="39"/>
      <c r="AY3201" s="39"/>
    </row>
    <row r="3202" spans="2:51" s="449" customFormat="1" ht="31.5" customHeight="1" x14ac:dyDescent="0.45">
      <c r="B3202" s="468"/>
      <c r="C3202" s="450"/>
      <c r="D3202" s="449" t="s">
        <v>335</v>
      </c>
      <c r="J3202" s="451"/>
      <c r="K3202" s="451"/>
      <c r="L3202" s="452"/>
      <c r="M3202" s="527"/>
      <c r="N3202" s="451"/>
      <c r="O3202" s="559">
        <f>TrialBalanceC!I40</f>
        <v>0</v>
      </c>
      <c r="P3202" s="459"/>
      <c r="Q3202" s="469"/>
      <c r="R3202" s="512" t="str">
        <f t="shared" ref="R3202:R3228" si="250">IF(R$3153="DELETE","DELETE",IF(O3202=0,"DELETE"," "))</f>
        <v>DELETE</v>
      </c>
      <c r="S3202" s="513"/>
      <c r="T3202" s="513"/>
      <c r="U3202" s="513"/>
      <c r="V3202" s="513"/>
      <c r="W3202" s="513"/>
      <c r="X3202" s="513"/>
      <c r="Y3202" s="521"/>
      <c r="Z3202" s="521"/>
      <c r="AA3202" s="514"/>
      <c r="AB3202" s="39"/>
      <c r="AC3202" s="39"/>
      <c r="AD3202" s="39"/>
      <c r="AE3202" s="39"/>
      <c r="AF3202" s="39"/>
      <c r="AG3202" s="39"/>
      <c r="AH3202" s="39"/>
      <c r="AI3202" s="39"/>
      <c r="AJ3202" s="39"/>
      <c r="AK3202" s="39"/>
      <c r="AL3202" s="39"/>
      <c r="AM3202" s="39"/>
      <c r="AN3202" s="39"/>
      <c r="AO3202" s="39"/>
      <c r="AP3202" s="39"/>
      <c r="AQ3202" s="39"/>
      <c r="AR3202" s="39"/>
      <c r="AS3202" s="39"/>
      <c r="AT3202" s="39"/>
      <c r="AU3202" s="39"/>
      <c r="AV3202" s="39"/>
      <c r="AW3202" s="39"/>
      <c r="AX3202" s="39"/>
      <c r="AY3202" s="39"/>
    </row>
    <row r="3203" spans="2:51" s="449" customFormat="1" ht="31.5" customHeight="1" x14ac:dyDescent="0.45">
      <c r="B3203" s="468"/>
      <c r="C3203" s="450"/>
      <c r="D3203" s="449" t="s">
        <v>888</v>
      </c>
      <c r="J3203" s="451"/>
      <c r="K3203" s="451"/>
      <c r="L3203" s="452"/>
      <c r="M3203" s="527"/>
      <c r="N3203" s="451"/>
      <c r="O3203" s="559">
        <f>TrialBalanceC!I41</f>
        <v>0</v>
      </c>
      <c r="P3203" s="459"/>
      <c r="Q3203" s="469"/>
      <c r="R3203" s="512" t="str">
        <f t="shared" si="250"/>
        <v>DELETE</v>
      </c>
      <c r="S3203" s="513"/>
      <c r="T3203" s="513"/>
      <c r="U3203" s="513"/>
      <c r="V3203" s="513"/>
      <c r="W3203" s="513"/>
      <c r="X3203" s="513"/>
      <c r="Y3203" s="521"/>
      <c r="Z3203" s="521"/>
      <c r="AA3203" s="514"/>
      <c r="AB3203" s="39"/>
      <c r="AC3203" s="39"/>
      <c r="AD3203" s="39"/>
      <c r="AE3203" s="39"/>
      <c r="AF3203" s="39"/>
      <c r="AG3203" s="39"/>
      <c r="AH3203" s="39"/>
      <c r="AI3203" s="39"/>
      <c r="AJ3203" s="39"/>
      <c r="AK3203" s="39"/>
      <c r="AL3203" s="39"/>
      <c r="AM3203" s="39"/>
      <c r="AN3203" s="39"/>
      <c r="AO3203" s="39"/>
      <c r="AP3203" s="39"/>
      <c r="AQ3203" s="39"/>
      <c r="AR3203" s="39"/>
      <c r="AS3203" s="39"/>
      <c r="AT3203" s="39"/>
      <c r="AU3203" s="39"/>
      <c r="AV3203" s="39"/>
      <c r="AW3203" s="39"/>
      <c r="AX3203" s="39"/>
      <c r="AY3203" s="39"/>
    </row>
    <row r="3204" spans="2:51" s="449" customFormat="1" ht="31.5" customHeight="1" x14ac:dyDescent="0.45">
      <c r="B3204" s="468"/>
      <c r="C3204" s="450"/>
      <c r="D3204" s="449" t="s">
        <v>336</v>
      </c>
      <c r="J3204" s="451"/>
      <c r="K3204" s="451"/>
      <c r="L3204" s="452"/>
      <c r="M3204" s="527"/>
      <c r="N3204" s="451"/>
      <c r="O3204" s="559">
        <f>TrialBalanceC!I42</f>
        <v>0</v>
      </c>
      <c r="P3204" s="459"/>
      <c r="Q3204" s="469"/>
      <c r="R3204" s="512" t="str">
        <f t="shared" si="250"/>
        <v>DELETE</v>
      </c>
      <c r="S3204" s="513"/>
      <c r="T3204" s="513"/>
      <c r="U3204" s="513"/>
      <c r="V3204" s="513"/>
      <c r="W3204" s="513"/>
      <c r="X3204" s="513"/>
      <c r="Y3204" s="521"/>
      <c r="Z3204" s="521"/>
      <c r="AA3204" s="514"/>
      <c r="AB3204" s="39"/>
      <c r="AC3204" s="39"/>
      <c r="AD3204" s="39"/>
      <c r="AE3204" s="39"/>
      <c r="AF3204" s="39"/>
      <c r="AG3204" s="39"/>
      <c r="AH3204" s="39"/>
      <c r="AI3204" s="39"/>
      <c r="AJ3204" s="39"/>
      <c r="AK3204" s="39"/>
      <c r="AL3204" s="39"/>
      <c r="AM3204" s="39"/>
      <c r="AN3204" s="39"/>
      <c r="AO3204" s="39"/>
      <c r="AP3204" s="39"/>
      <c r="AQ3204" s="39"/>
      <c r="AR3204" s="39"/>
      <c r="AS3204" s="39"/>
      <c r="AT3204" s="39"/>
      <c r="AU3204" s="39"/>
      <c r="AV3204" s="39"/>
      <c r="AW3204" s="39"/>
      <c r="AX3204" s="39"/>
      <c r="AY3204" s="39"/>
    </row>
    <row r="3205" spans="2:51" s="449" customFormat="1" ht="31.5" customHeight="1" x14ac:dyDescent="0.45">
      <c r="B3205" s="468"/>
      <c r="C3205" s="450"/>
      <c r="D3205" s="449" t="s">
        <v>337</v>
      </c>
      <c r="J3205" s="451"/>
      <c r="K3205" s="451">
        <f>C$1164</f>
        <v>4.2999999999999989</v>
      </c>
      <c r="L3205" s="452"/>
      <c r="M3205" s="527"/>
      <c r="N3205" s="451"/>
      <c r="O3205" s="559">
        <f>SUM(TrialBalanceC!I44:I46)</f>
        <v>0</v>
      </c>
      <c r="P3205" s="459"/>
      <c r="Q3205" s="469"/>
      <c r="R3205" s="512" t="str">
        <f t="shared" si="250"/>
        <v>DELETE</v>
      </c>
      <c r="S3205" s="513"/>
      <c r="T3205" s="513"/>
      <c r="U3205" s="513"/>
      <c r="V3205" s="513"/>
      <c r="W3205" s="513"/>
      <c r="X3205" s="513"/>
      <c r="Y3205" s="521"/>
      <c r="Z3205" s="521"/>
      <c r="AA3205" s="514"/>
      <c r="AB3205" s="39"/>
      <c r="AC3205" s="39"/>
      <c r="AD3205" s="39"/>
      <c r="AE3205" s="39"/>
      <c r="AF3205" s="39"/>
      <c r="AG3205" s="39"/>
      <c r="AH3205" s="39"/>
      <c r="AI3205" s="39"/>
      <c r="AJ3205" s="39"/>
      <c r="AK3205" s="39"/>
      <c r="AL3205" s="39"/>
      <c r="AM3205" s="39"/>
      <c r="AN3205" s="39"/>
      <c r="AO3205" s="39"/>
      <c r="AP3205" s="39"/>
      <c r="AQ3205" s="39"/>
      <c r="AR3205" s="39"/>
      <c r="AS3205" s="39"/>
      <c r="AT3205" s="39"/>
      <c r="AU3205" s="39"/>
      <c r="AV3205" s="39"/>
      <c r="AW3205" s="39"/>
      <c r="AX3205" s="39"/>
      <c r="AY3205" s="39"/>
    </row>
    <row r="3206" spans="2:51" s="449" customFormat="1" ht="31.5" customHeight="1" x14ac:dyDescent="0.45">
      <c r="B3206" s="468"/>
      <c r="C3206" s="450"/>
      <c r="D3206" s="449" t="s">
        <v>610</v>
      </c>
      <c r="J3206" s="451"/>
      <c r="K3206" s="451"/>
      <c r="L3206" s="452"/>
      <c r="M3206" s="527"/>
      <c r="N3206" s="451"/>
      <c r="O3206" s="559">
        <f>TrialBalanceC!I47</f>
        <v>0</v>
      </c>
      <c r="P3206" s="459"/>
      <c r="Q3206" s="469"/>
      <c r="R3206" s="512" t="str">
        <f t="shared" si="250"/>
        <v>DELETE</v>
      </c>
      <c r="S3206" s="518"/>
      <c r="T3206" s="518"/>
      <c r="U3206" s="518"/>
      <c r="V3206" s="518"/>
      <c r="W3206" s="513"/>
      <c r="X3206" s="513"/>
      <c r="Y3206" s="521"/>
      <c r="Z3206" s="521"/>
      <c r="AA3206" s="514"/>
      <c r="AB3206" s="39"/>
      <c r="AC3206" s="39"/>
      <c r="AD3206" s="39"/>
      <c r="AE3206" s="39"/>
      <c r="AF3206" s="39"/>
      <c r="AG3206" s="39"/>
      <c r="AH3206" s="39"/>
      <c r="AI3206" s="39"/>
      <c r="AJ3206" s="39"/>
      <c r="AK3206" s="39"/>
      <c r="AL3206" s="39"/>
      <c r="AM3206" s="39"/>
      <c r="AN3206" s="39"/>
      <c r="AO3206" s="39"/>
      <c r="AP3206" s="39"/>
      <c r="AQ3206" s="39"/>
      <c r="AR3206" s="39"/>
      <c r="AS3206" s="39"/>
      <c r="AT3206" s="39"/>
      <c r="AU3206" s="39"/>
      <c r="AV3206" s="39"/>
      <c r="AW3206" s="39"/>
      <c r="AX3206" s="39"/>
      <c r="AY3206" s="39"/>
    </row>
    <row r="3207" spans="2:51" s="449" customFormat="1" ht="31.5" customHeight="1" x14ac:dyDescent="0.45">
      <c r="B3207" s="468"/>
      <c r="C3207" s="450"/>
      <c r="D3207" s="449" t="s">
        <v>933</v>
      </c>
      <c r="J3207" s="451"/>
      <c r="K3207" s="451"/>
      <c r="L3207" s="452"/>
      <c r="M3207" s="527"/>
      <c r="N3207" s="451"/>
      <c r="O3207" s="559">
        <f>TrialBalanceC!I48</f>
        <v>0</v>
      </c>
      <c r="P3207" s="459"/>
      <c r="Q3207" s="469"/>
      <c r="R3207" s="512" t="str">
        <f t="shared" si="250"/>
        <v>DELETE</v>
      </c>
      <c r="S3207" s="513"/>
      <c r="T3207" s="513"/>
      <c r="U3207" s="513"/>
      <c r="V3207" s="513"/>
      <c r="W3207" s="513"/>
      <c r="X3207" s="513"/>
      <c r="Y3207" s="521"/>
      <c r="Z3207" s="521"/>
      <c r="AA3207" s="514"/>
      <c r="AB3207" s="39"/>
      <c r="AC3207" s="39"/>
      <c r="AD3207" s="39"/>
      <c r="AE3207" s="39"/>
      <c r="AF3207" s="39"/>
      <c r="AG3207" s="39"/>
      <c r="AH3207" s="39"/>
      <c r="AI3207" s="39"/>
      <c r="AJ3207" s="39"/>
      <c r="AK3207" s="39"/>
      <c r="AL3207" s="39"/>
      <c r="AM3207" s="39"/>
      <c r="AN3207" s="39"/>
      <c r="AO3207" s="39"/>
      <c r="AP3207" s="39"/>
      <c r="AQ3207" s="39"/>
      <c r="AR3207" s="39"/>
      <c r="AS3207" s="39"/>
      <c r="AT3207" s="39"/>
      <c r="AU3207" s="39"/>
      <c r="AV3207" s="39"/>
      <c r="AW3207" s="39"/>
      <c r="AX3207" s="39"/>
      <c r="AY3207" s="39"/>
    </row>
    <row r="3208" spans="2:51" s="449" customFormat="1" ht="31.5" customHeight="1" x14ac:dyDescent="0.45">
      <c r="B3208" s="468"/>
      <c r="C3208" s="450"/>
      <c r="D3208" s="449" t="s">
        <v>74</v>
      </c>
      <c r="J3208" s="451"/>
      <c r="K3208" s="451"/>
      <c r="L3208" s="452"/>
      <c r="M3208" s="527"/>
      <c r="N3208" s="451"/>
      <c r="O3208" s="559">
        <f>TrialBalanceC!I49</f>
        <v>0</v>
      </c>
      <c r="P3208" s="459"/>
      <c r="Q3208" s="469"/>
      <c r="R3208" s="512" t="str">
        <f t="shared" si="250"/>
        <v>DELETE</v>
      </c>
      <c r="S3208" s="513"/>
      <c r="T3208" s="513"/>
      <c r="U3208" s="513"/>
      <c r="V3208" s="513"/>
      <c r="W3208" s="513"/>
      <c r="X3208" s="513"/>
      <c r="Y3208" s="521"/>
      <c r="Z3208" s="521"/>
      <c r="AA3208" s="514"/>
      <c r="AB3208" s="39"/>
      <c r="AC3208" s="39"/>
      <c r="AD3208" s="39"/>
      <c r="AE3208" s="39"/>
      <c r="AF3208" s="39"/>
      <c r="AG3208" s="39"/>
      <c r="AH3208" s="39"/>
      <c r="AI3208" s="39"/>
      <c r="AJ3208" s="39"/>
      <c r="AK3208" s="39"/>
      <c r="AL3208" s="39"/>
      <c r="AM3208" s="39"/>
      <c r="AN3208" s="39"/>
      <c r="AO3208" s="39"/>
      <c r="AP3208" s="39"/>
      <c r="AQ3208" s="39"/>
      <c r="AR3208" s="39"/>
      <c r="AS3208" s="39"/>
      <c r="AT3208" s="39"/>
      <c r="AU3208" s="39"/>
      <c r="AV3208" s="39"/>
      <c r="AW3208" s="39"/>
      <c r="AX3208" s="39"/>
      <c r="AY3208" s="39"/>
    </row>
    <row r="3209" spans="2:51" s="449" customFormat="1" ht="31.5" customHeight="1" x14ac:dyDescent="0.45">
      <c r="B3209" s="468"/>
      <c r="C3209" s="450"/>
      <c r="D3209" s="449" t="s">
        <v>338</v>
      </c>
      <c r="J3209" s="451"/>
      <c r="K3209" s="451"/>
      <c r="L3209" s="452"/>
      <c r="M3209" s="527"/>
      <c r="N3209" s="451"/>
      <c r="O3209" s="559">
        <f>TrialBalanceC!I50</f>
        <v>0</v>
      </c>
      <c r="P3209" s="459"/>
      <c r="Q3209" s="469"/>
      <c r="R3209" s="512" t="str">
        <f t="shared" si="250"/>
        <v>DELETE</v>
      </c>
      <c r="S3209" s="513"/>
      <c r="T3209" s="513"/>
      <c r="U3209" s="513"/>
      <c r="V3209" s="513"/>
      <c r="W3209" s="513"/>
      <c r="X3209" s="513"/>
      <c r="Y3209" s="521"/>
      <c r="Z3209" s="521"/>
      <c r="AA3209" s="514"/>
      <c r="AB3209" s="39"/>
      <c r="AC3209" s="39"/>
      <c r="AD3209" s="39"/>
      <c r="AE3209" s="39"/>
      <c r="AF3209" s="39"/>
      <c r="AG3209" s="39"/>
      <c r="AH3209" s="39"/>
      <c r="AI3209" s="39"/>
      <c r="AJ3209" s="39"/>
      <c r="AK3209" s="39"/>
      <c r="AL3209" s="39"/>
      <c r="AM3209" s="39"/>
      <c r="AN3209" s="39"/>
      <c r="AO3209" s="39"/>
      <c r="AP3209" s="39"/>
      <c r="AQ3209" s="39"/>
      <c r="AR3209" s="39"/>
      <c r="AS3209" s="39"/>
      <c r="AT3209" s="39"/>
      <c r="AU3209" s="39"/>
      <c r="AV3209" s="39"/>
      <c r="AW3209" s="39"/>
      <c r="AX3209" s="39"/>
      <c r="AY3209" s="39"/>
    </row>
    <row r="3210" spans="2:51" s="449" customFormat="1" ht="31.5" customHeight="1" x14ac:dyDescent="0.45">
      <c r="B3210" s="468"/>
      <c r="C3210" s="450"/>
      <c r="D3210" s="449" t="s">
        <v>632</v>
      </c>
      <c r="J3210" s="451"/>
      <c r="K3210" s="451"/>
      <c r="L3210" s="452"/>
      <c r="M3210" s="527"/>
      <c r="N3210" s="451"/>
      <c r="O3210" s="559">
        <f>SUM(TrialBalanceC!I51:I52)</f>
        <v>0</v>
      </c>
      <c r="P3210" s="459"/>
      <c r="Q3210" s="469"/>
      <c r="R3210" s="512" t="str">
        <f t="shared" si="250"/>
        <v>DELETE</v>
      </c>
      <c r="S3210" s="513"/>
      <c r="T3210" s="513"/>
      <c r="U3210" s="513"/>
      <c r="V3210" s="513"/>
      <c r="W3210" s="513"/>
      <c r="X3210" s="513"/>
      <c r="Y3210" s="521"/>
      <c r="Z3210" s="521"/>
      <c r="AA3210" s="514"/>
      <c r="AB3210" s="39"/>
      <c r="AC3210" s="39"/>
      <c r="AD3210" s="39"/>
      <c r="AE3210" s="39"/>
      <c r="AF3210" s="39"/>
      <c r="AG3210" s="39"/>
      <c r="AH3210" s="39"/>
      <c r="AI3210" s="39"/>
      <c r="AJ3210" s="39"/>
      <c r="AK3210" s="39"/>
      <c r="AL3210" s="39"/>
      <c r="AM3210" s="39"/>
      <c r="AN3210" s="39"/>
      <c r="AO3210" s="39"/>
      <c r="AP3210" s="39"/>
      <c r="AQ3210" s="39"/>
      <c r="AR3210" s="39"/>
      <c r="AS3210" s="39"/>
      <c r="AT3210" s="39"/>
      <c r="AU3210" s="39"/>
      <c r="AV3210" s="39"/>
      <c r="AW3210" s="39"/>
      <c r="AX3210" s="39"/>
      <c r="AY3210" s="39"/>
    </row>
    <row r="3211" spans="2:51" s="449" customFormat="1" ht="31.5" customHeight="1" x14ac:dyDescent="0.45">
      <c r="B3211" s="468"/>
      <c r="C3211" s="450"/>
      <c r="D3211" s="449" t="s">
        <v>630</v>
      </c>
      <c r="J3211" s="451"/>
      <c r="K3211" s="451"/>
      <c r="L3211" s="452"/>
      <c r="M3211" s="527"/>
      <c r="N3211" s="451"/>
      <c r="O3211" s="559">
        <f>TrialBalanceC!I53</f>
        <v>0</v>
      </c>
      <c r="P3211" s="459"/>
      <c r="Q3211" s="469"/>
      <c r="R3211" s="512" t="str">
        <f t="shared" si="250"/>
        <v>DELETE</v>
      </c>
      <c r="S3211" s="513"/>
      <c r="T3211" s="513"/>
      <c r="U3211" s="513"/>
      <c r="V3211" s="513"/>
      <c r="W3211" s="513"/>
      <c r="X3211" s="513"/>
      <c r="Y3211" s="521"/>
      <c r="Z3211" s="521"/>
      <c r="AA3211" s="514"/>
      <c r="AB3211" s="39"/>
      <c r="AC3211" s="39"/>
      <c r="AD3211" s="39"/>
      <c r="AE3211" s="39"/>
      <c r="AF3211" s="39"/>
      <c r="AG3211" s="39"/>
      <c r="AH3211" s="39"/>
      <c r="AI3211" s="39"/>
      <c r="AJ3211" s="39"/>
      <c r="AK3211" s="39"/>
      <c r="AL3211" s="39"/>
      <c r="AM3211" s="39"/>
      <c r="AN3211" s="39"/>
      <c r="AO3211" s="39"/>
      <c r="AP3211" s="39"/>
      <c r="AQ3211" s="39"/>
      <c r="AR3211" s="39"/>
      <c r="AS3211" s="39"/>
      <c r="AT3211" s="39"/>
      <c r="AU3211" s="39"/>
      <c r="AV3211" s="39"/>
      <c r="AW3211" s="39"/>
      <c r="AX3211" s="39"/>
      <c r="AY3211" s="39"/>
    </row>
    <row r="3212" spans="2:51" s="449" customFormat="1" ht="31.5" customHeight="1" x14ac:dyDescent="0.45">
      <c r="B3212" s="468"/>
      <c r="C3212" s="450"/>
      <c r="D3212" s="449" t="s">
        <v>611</v>
      </c>
      <c r="J3212" s="451"/>
      <c r="K3212" s="451"/>
      <c r="L3212" s="452"/>
      <c r="M3212" s="527"/>
      <c r="N3212" s="451"/>
      <c r="O3212" s="559">
        <f>SUM(TrialBalanceC!I55:I59)</f>
        <v>0</v>
      </c>
      <c r="P3212" s="459"/>
      <c r="Q3212" s="469"/>
      <c r="R3212" s="512" t="str">
        <f t="shared" si="250"/>
        <v>DELETE</v>
      </c>
      <c r="S3212" s="513"/>
      <c r="T3212" s="513"/>
      <c r="U3212" s="513"/>
      <c r="V3212" s="513"/>
      <c r="W3212" s="513"/>
      <c r="X3212" s="513"/>
      <c r="Y3212" s="521"/>
      <c r="Z3212" s="521"/>
      <c r="AA3212" s="514"/>
      <c r="AB3212" s="39"/>
      <c r="AC3212" s="39"/>
      <c r="AD3212" s="39"/>
      <c r="AE3212" s="39"/>
      <c r="AF3212" s="39"/>
      <c r="AG3212" s="39"/>
      <c r="AH3212" s="39"/>
      <c r="AI3212" s="39"/>
      <c r="AJ3212" s="39"/>
      <c r="AK3212" s="39"/>
      <c r="AL3212" s="39"/>
      <c r="AM3212" s="39"/>
      <c r="AN3212" s="39"/>
      <c r="AO3212" s="39"/>
      <c r="AP3212" s="39"/>
      <c r="AQ3212" s="39"/>
      <c r="AR3212" s="39"/>
      <c r="AS3212" s="39"/>
      <c r="AT3212" s="39"/>
      <c r="AU3212" s="39"/>
      <c r="AV3212" s="39"/>
      <c r="AW3212" s="39"/>
      <c r="AX3212" s="39"/>
      <c r="AY3212" s="39"/>
    </row>
    <row r="3213" spans="2:51" s="449" customFormat="1" ht="31.5" customHeight="1" x14ac:dyDescent="0.45">
      <c r="B3213" s="468"/>
      <c r="C3213" s="450"/>
      <c r="D3213" s="449" t="s">
        <v>590</v>
      </c>
      <c r="J3213" s="451"/>
      <c r="K3213" s="451">
        <f>'FS2'!C$1132</f>
        <v>4.1999999999999993</v>
      </c>
      <c r="L3213" s="452"/>
      <c r="M3213" s="527"/>
      <c r="N3213" s="451"/>
      <c r="O3213" s="559">
        <f>SUM(TrialBalanceC!I61:I63)</f>
        <v>0</v>
      </c>
      <c r="P3213" s="459"/>
      <c r="Q3213" s="469"/>
      <c r="R3213" s="512" t="str">
        <f t="shared" si="250"/>
        <v>DELETE</v>
      </c>
      <c r="S3213" s="513"/>
      <c r="T3213" s="513"/>
      <c r="U3213" s="513"/>
      <c r="V3213" s="513"/>
      <c r="W3213" s="513"/>
      <c r="X3213" s="513"/>
      <c r="Y3213" s="521"/>
      <c r="Z3213" s="521"/>
      <c r="AA3213" s="514"/>
      <c r="AB3213" s="39"/>
      <c r="AC3213" s="39"/>
      <c r="AD3213" s="39"/>
      <c r="AE3213" s="39"/>
      <c r="AF3213" s="39"/>
      <c r="AG3213" s="39"/>
      <c r="AH3213" s="39"/>
      <c r="AI3213" s="39"/>
      <c r="AJ3213" s="39"/>
      <c r="AK3213" s="39"/>
      <c r="AL3213" s="39"/>
      <c r="AM3213" s="39"/>
      <c r="AN3213" s="39"/>
      <c r="AO3213" s="39"/>
      <c r="AP3213" s="39"/>
      <c r="AQ3213" s="39"/>
      <c r="AR3213" s="39"/>
      <c r="AS3213" s="39"/>
      <c r="AT3213" s="39"/>
      <c r="AU3213" s="39"/>
      <c r="AV3213" s="39"/>
      <c r="AW3213" s="39"/>
      <c r="AX3213" s="39"/>
      <c r="AY3213" s="39"/>
    </row>
    <row r="3214" spans="2:51" s="449" customFormat="1" ht="31.5" customHeight="1" x14ac:dyDescent="0.45">
      <c r="B3214" s="468"/>
      <c r="C3214" s="450"/>
      <c r="D3214" s="449" t="s">
        <v>82</v>
      </c>
      <c r="J3214" s="451"/>
      <c r="K3214" s="451"/>
      <c r="L3214" s="452"/>
      <c r="M3214" s="527"/>
      <c r="N3214" s="451"/>
      <c r="O3214" s="559">
        <f>TrialBalanceC!I64</f>
        <v>0</v>
      </c>
      <c r="P3214" s="459"/>
      <c r="Q3214" s="469"/>
      <c r="R3214" s="512" t="str">
        <f t="shared" si="250"/>
        <v>DELETE</v>
      </c>
      <c r="S3214" s="513"/>
      <c r="T3214" s="513"/>
      <c r="U3214" s="513"/>
      <c r="V3214" s="513"/>
      <c r="W3214" s="513"/>
      <c r="X3214" s="513"/>
      <c r="Y3214" s="521"/>
      <c r="Z3214" s="521"/>
      <c r="AA3214" s="514"/>
      <c r="AB3214" s="39"/>
      <c r="AC3214" s="39"/>
      <c r="AD3214" s="39"/>
      <c r="AE3214" s="39"/>
      <c r="AF3214" s="39"/>
      <c r="AG3214" s="39"/>
      <c r="AH3214" s="39"/>
      <c r="AI3214" s="39"/>
      <c r="AJ3214" s="39"/>
      <c r="AK3214" s="39"/>
      <c r="AL3214" s="39"/>
      <c r="AM3214" s="39"/>
      <c r="AN3214" s="39"/>
      <c r="AO3214" s="39"/>
      <c r="AP3214" s="39"/>
      <c r="AQ3214" s="39"/>
      <c r="AR3214" s="39"/>
      <c r="AS3214" s="39"/>
      <c r="AT3214" s="39"/>
      <c r="AU3214" s="39"/>
      <c r="AV3214" s="39"/>
      <c r="AW3214" s="39"/>
      <c r="AX3214" s="39"/>
      <c r="AY3214" s="39"/>
    </row>
    <row r="3215" spans="2:51" s="449" customFormat="1" ht="31.5" customHeight="1" x14ac:dyDescent="0.45">
      <c r="B3215" s="468"/>
      <c r="C3215" s="450"/>
      <c r="D3215" s="449" t="s">
        <v>309</v>
      </c>
      <c r="J3215" s="451"/>
      <c r="K3215" s="451"/>
      <c r="L3215" s="452"/>
      <c r="M3215" s="527"/>
      <c r="N3215" s="451"/>
      <c r="O3215" s="559">
        <f>SUM(TrialBalanceC!I65:I67)</f>
        <v>0</v>
      </c>
      <c r="P3215" s="459"/>
      <c r="Q3215" s="469"/>
      <c r="R3215" s="512" t="str">
        <f t="shared" si="250"/>
        <v>DELETE</v>
      </c>
      <c r="S3215" s="513"/>
      <c r="T3215" s="513"/>
      <c r="U3215" s="513"/>
      <c r="V3215" s="513"/>
      <c r="W3215" s="513"/>
      <c r="X3215" s="513"/>
      <c r="Y3215" s="521"/>
      <c r="Z3215" s="521"/>
      <c r="AA3215" s="514"/>
      <c r="AB3215" s="39"/>
      <c r="AC3215" s="39"/>
      <c r="AD3215" s="39"/>
      <c r="AE3215" s="39"/>
      <c r="AF3215" s="39"/>
      <c r="AG3215" s="39"/>
      <c r="AH3215" s="39"/>
      <c r="AI3215" s="39"/>
      <c r="AJ3215" s="39"/>
      <c r="AK3215" s="39"/>
      <c r="AL3215" s="39"/>
      <c r="AM3215" s="39"/>
      <c r="AN3215" s="39"/>
      <c r="AO3215" s="39"/>
      <c r="AP3215" s="39"/>
      <c r="AQ3215" s="39"/>
      <c r="AR3215" s="39"/>
      <c r="AS3215" s="39"/>
      <c r="AT3215" s="39"/>
      <c r="AU3215" s="39"/>
      <c r="AV3215" s="39"/>
      <c r="AW3215" s="39"/>
      <c r="AX3215" s="39"/>
      <c r="AY3215" s="39"/>
    </row>
    <row r="3216" spans="2:51" s="449" customFormat="1" ht="31.5" customHeight="1" x14ac:dyDescent="0.45">
      <c r="B3216" s="468"/>
      <c r="C3216" s="450"/>
      <c r="D3216" s="449" t="s">
        <v>934</v>
      </c>
      <c r="J3216" s="451"/>
      <c r="K3216" s="451"/>
      <c r="L3216" s="452"/>
      <c r="M3216" s="527"/>
      <c r="N3216" s="451"/>
      <c r="O3216" s="559">
        <f>SUM(TrialBalanceC!I68:I69)</f>
        <v>0</v>
      </c>
      <c r="P3216" s="459"/>
      <c r="Q3216" s="469"/>
      <c r="R3216" s="512" t="str">
        <f t="shared" si="250"/>
        <v>DELETE</v>
      </c>
      <c r="S3216" s="513"/>
      <c r="T3216" s="513"/>
      <c r="U3216" s="513"/>
      <c r="V3216" s="513"/>
      <c r="W3216" s="513"/>
      <c r="X3216" s="513"/>
      <c r="Y3216" s="521"/>
      <c r="Z3216" s="521"/>
      <c r="AA3216" s="514"/>
      <c r="AB3216" s="39"/>
      <c r="AC3216" s="39"/>
      <c r="AD3216" s="39"/>
      <c r="AE3216" s="39"/>
      <c r="AF3216" s="39"/>
      <c r="AG3216" s="39"/>
      <c r="AH3216" s="39"/>
      <c r="AI3216" s="39"/>
      <c r="AJ3216" s="39"/>
      <c r="AK3216" s="39"/>
      <c r="AL3216" s="39"/>
      <c r="AM3216" s="39"/>
      <c r="AN3216" s="39"/>
      <c r="AO3216" s="39"/>
      <c r="AP3216" s="39"/>
      <c r="AQ3216" s="39"/>
      <c r="AR3216" s="39"/>
      <c r="AS3216" s="39"/>
      <c r="AT3216" s="39"/>
      <c r="AU3216" s="39"/>
      <c r="AV3216" s="39"/>
      <c r="AW3216" s="39"/>
      <c r="AX3216" s="39"/>
      <c r="AY3216" s="39"/>
    </row>
    <row r="3217" spans="2:51" s="449" customFormat="1" ht="31.5" customHeight="1" x14ac:dyDescent="0.45">
      <c r="B3217" s="468"/>
      <c r="C3217" s="450"/>
      <c r="D3217" s="449" t="s">
        <v>310</v>
      </c>
      <c r="J3217" s="451"/>
      <c r="K3217" s="451"/>
      <c r="L3217" s="452"/>
      <c r="M3217" s="527"/>
      <c r="N3217" s="451"/>
      <c r="O3217" s="559">
        <f>TrialBalanceC!I70</f>
        <v>0</v>
      </c>
      <c r="P3217" s="459"/>
      <c r="Q3217" s="469"/>
      <c r="R3217" s="512" t="str">
        <f t="shared" si="250"/>
        <v>DELETE</v>
      </c>
      <c r="S3217" s="513"/>
      <c r="T3217" s="513"/>
      <c r="U3217" s="513"/>
      <c r="V3217" s="513"/>
      <c r="W3217" s="513"/>
      <c r="X3217" s="513"/>
      <c r="Y3217" s="521"/>
      <c r="Z3217" s="521"/>
      <c r="AA3217" s="514"/>
      <c r="AB3217" s="39"/>
      <c r="AC3217" s="39"/>
      <c r="AD3217" s="39"/>
      <c r="AE3217" s="39"/>
      <c r="AF3217" s="39"/>
      <c r="AG3217" s="39"/>
      <c r="AH3217" s="39"/>
      <c r="AI3217" s="39"/>
      <c r="AJ3217" s="39"/>
      <c r="AK3217" s="39"/>
      <c r="AL3217" s="39"/>
      <c r="AM3217" s="39"/>
      <c r="AN3217" s="39"/>
      <c r="AO3217" s="39"/>
      <c r="AP3217" s="39"/>
      <c r="AQ3217" s="39"/>
      <c r="AR3217" s="39"/>
      <c r="AS3217" s="39"/>
      <c r="AT3217" s="39"/>
      <c r="AU3217" s="39"/>
      <c r="AV3217" s="39"/>
      <c r="AW3217" s="39"/>
      <c r="AX3217" s="39"/>
      <c r="AY3217" s="39"/>
    </row>
    <row r="3218" spans="2:51" s="449" customFormat="1" ht="31.5" customHeight="1" x14ac:dyDescent="0.45">
      <c r="B3218" s="468"/>
      <c r="C3218" s="450"/>
      <c r="D3218" s="449" t="s">
        <v>461</v>
      </c>
      <c r="J3218" s="451"/>
      <c r="K3218" s="451"/>
      <c r="L3218" s="452"/>
      <c r="M3218" s="527"/>
      <c r="N3218" s="451"/>
      <c r="O3218" s="559">
        <f>TrialBalanceC!I71</f>
        <v>0</v>
      </c>
      <c r="P3218" s="459"/>
      <c r="Q3218" s="469"/>
      <c r="R3218" s="512" t="str">
        <f t="shared" si="250"/>
        <v>DELETE</v>
      </c>
      <c r="S3218" s="513"/>
      <c r="T3218" s="513"/>
      <c r="U3218" s="513"/>
      <c r="V3218" s="513"/>
      <c r="W3218" s="513"/>
      <c r="X3218" s="513"/>
      <c r="Y3218" s="521"/>
      <c r="Z3218" s="521"/>
      <c r="AA3218" s="514"/>
      <c r="AB3218" s="39"/>
      <c r="AC3218" s="39"/>
      <c r="AD3218" s="39"/>
      <c r="AE3218" s="39"/>
      <c r="AF3218" s="39"/>
      <c r="AG3218" s="39"/>
      <c r="AH3218" s="39"/>
      <c r="AI3218" s="39"/>
      <c r="AJ3218" s="39"/>
      <c r="AK3218" s="39"/>
      <c r="AL3218" s="39"/>
      <c r="AM3218" s="39"/>
      <c r="AN3218" s="39"/>
      <c r="AO3218" s="39"/>
      <c r="AP3218" s="39"/>
      <c r="AQ3218" s="39"/>
      <c r="AR3218" s="39"/>
      <c r="AS3218" s="39"/>
      <c r="AT3218" s="39"/>
      <c r="AU3218" s="39"/>
      <c r="AV3218" s="39"/>
      <c r="AW3218" s="39"/>
      <c r="AX3218" s="39"/>
      <c r="AY3218" s="39"/>
    </row>
    <row r="3219" spans="2:51" s="449" customFormat="1" ht="31.5" customHeight="1" x14ac:dyDescent="0.45">
      <c r="B3219" s="468"/>
      <c r="C3219" s="450"/>
      <c r="D3219" s="449">
        <f>TrialBalanceC!C72</f>
        <v>0</v>
      </c>
      <c r="J3219" s="451"/>
      <c r="K3219" s="451"/>
      <c r="L3219" s="452"/>
      <c r="M3219" s="527"/>
      <c r="N3219" s="451"/>
      <c r="O3219" s="559">
        <f>TrialBalanceC!I72</f>
        <v>0</v>
      </c>
      <c r="P3219" s="459"/>
      <c r="Q3219" s="469"/>
      <c r="R3219" s="512" t="str">
        <f t="shared" si="250"/>
        <v>DELETE</v>
      </c>
      <c r="S3219" s="513"/>
      <c r="T3219" s="513"/>
      <c r="U3219" s="513"/>
      <c r="V3219" s="513"/>
      <c r="W3219" s="513"/>
      <c r="X3219" s="513"/>
      <c r="Y3219" s="521"/>
      <c r="Z3219" s="521"/>
      <c r="AA3219" s="514"/>
      <c r="AB3219" s="39"/>
      <c r="AC3219" s="39"/>
      <c r="AD3219" s="39"/>
      <c r="AE3219" s="39"/>
      <c r="AF3219" s="39"/>
      <c r="AG3219" s="39"/>
      <c r="AH3219" s="39"/>
      <c r="AI3219" s="39"/>
      <c r="AJ3219" s="39"/>
      <c r="AK3219" s="39"/>
      <c r="AL3219" s="39"/>
      <c r="AM3219" s="39"/>
      <c r="AN3219" s="39"/>
      <c r="AO3219" s="39"/>
      <c r="AP3219" s="39"/>
      <c r="AQ3219" s="39"/>
      <c r="AR3219" s="39"/>
      <c r="AS3219" s="39"/>
      <c r="AT3219" s="39"/>
      <c r="AU3219" s="39"/>
      <c r="AV3219" s="39"/>
      <c r="AW3219" s="39"/>
      <c r="AX3219" s="39"/>
      <c r="AY3219" s="39"/>
    </row>
    <row r="3220" spans="2:51" s="449" customFormat="1" ht="31.5" customHeight="1" x14ac:dyDescent="0.45">
      <c r="B3220" s="468"/>
      <c r="C3220" s="450"/>
      <c r="D3220" s="449">
        <f>TrialBalanceC!C73</f>
        <v>0</v>
      </c>
      <c r="J3220" s="451"/>
      <c r="K3220" s="451"/>
      <c r="L3220" s="452"/>
      <c r="M3220" s="527"/>
      <c r="N3220" s="451"/>
      <c r="O3220" s="559">
        <f>TrialBalanceC!I73</f>
        <v>0</v>
      </c>
      <c r="P3220" s="459"/>
      <c r="Q3220" s="469"/>
      <c r="R3220" s="512" t="str">
        <f t="shared" si="250"/>
        <v>DELETE</v>
      </c>
      <c r="S3220" s="513"/>
      <c r="T3220" s="513"/>
      <c r="U3220" s="513"/>
      <c r="V3220" s="513"/>
      <c r="W3220" s="513"/>
      <c r="X3220" s="513"/>
      <c r="Y3220" s="521"/>
      <c r="Z3220" s="521"/>
      <c r="AA3220" s="514"/>
      <c r="AB3220" s="39"/>
      <c r="AC3220" s="39"/>
      <c r="AD3220" s="39"/>
      <c r="AE3220" s="39"/>
      <c r="AF3220" s="39"/>
      <c r="AG3220" s="39"/>
      <c r="AH3220" s="39"/>
      <c r="AI3220" s="39"/>
      <c r="AJ3220" s="39"/>
      <c r="AK3220" s="39"/>
      <c r="AL3220" s="39"/>
      <c r="AM3220" s="39"/>
      <c r="AN3220" s="39"/>
      <c r="AO3220" s="39"/>
      <c r="AP3220" s="39"/>
      <c r="AQ3220" s="39"/>
      <c r="AR3220" s="39"/>
      <c r="AS3220" s="39"/>
      <c r="AT3220" s="39"/>
      <c r="AU3220" s="39"/>
      <c r="AV3220" s="39"/>
      <c r="AW3220" s="39"/>
      <c r="AX3220" s="39"/>
      <c r="AY3220" s="39"/>
    </row>
    <row r="3221" spans="2:51" s="449" customFormat="1" ht="31.5" customHeight="1" x14ac:dyDescent="0.45">
      <c r="B3221" s="468"/>
      <c r="C3221" s="450"/>
      <c r="D3221" s="449">
        <f>TrialBalanceC!C74</f>
        <v>0</v>
      </c>
      <c r="J3221" s="451"/>
      <c r="K3221" s="451"/>
      <c r="L3221" s="452"/>
      <c r="M3221" s="527"/>
      <c r="N3221" s="451"/>
      <c r="O3221" s="559">
        <f>TrialBalanceC!I74</f>
        <v>0</v>
      </c>
      <c r="P3221" s="459"/>
      <c r="Q3221" s="469"/>
      <c r="R3221" s="512" t="str">
        <f t="shared" si="250"/>
        <v>DELETE</v>
      </c>
      <c r="S3221" s="513"/>
      <c r="T3221" s="513"/>
      <c r="U3221" s="513"/>
      <c r="V3221" s="513"/>
      <c r="W3221" s="513"/>
      <c r="X3221" s="513"/>
      <c r="Y3221" s="521"/>
      <c r="Z3221" s="521"/>
      <c r="AA3221" s="514"/>
      <c r="AB3221" s="39"/>
      <c r="AC3221" s="39"/>
      <c r="AD3221" s="39"/>
      <c r="AE3221" s="39"/>
      <c r="AF3221" s="39"/>
      <c r="AG3221" s="39"/>
      <c r="AH3221" s="39"/>
      <c r="AI3221" s="39"/>
      <c r="AJ3221" s="39"/>
      <c r="AK3221" s="39"/>
      <c r="AL3221" s="39"/>
      <c r="AM3221" s="39"/>
      <c r="AN3221" s="39"/>
      <c r="AO3221" s="39"/>
      <c r="AP3221" s="39"/>
      <c r="AQ3221" s="39"/>
      <c r="AR3221" s="39"/>
      <c r="AS3221" s="39"/>
      <c r="AT3221" s="39"/>
      <c r="AU3221" s="39"/>
      <c r="AV3221" s="39"/>
      <c r="AW3221" s="39"/>
      <c r="AX3221" s="39"/>
      <c r="AY3221" s="39"/>
    </row>
    <row r="3222" spans="2:51" s="449" customFormat="1" ht="31.5" customHeight="1" x14ac:dyDescent="0.45">
      <c r="B3222" s="468"/>
      <c r="C3222" s="450"/>
      <c r="D3222" s="449">
        <f>TrialBalanceC!C75</f>
        <v>0</v>
      </c>
      <c r="J3222" s="451"/>
      <c r="K3222" s="451"/>
      <c r="L3222" s="452"/>
      <c r="M3222" s="527"/>
      <c r="N3222" s="451"/>
      <c r="O3222" s="559">
        <f>TrialBalanceC!I75</f>
        <v>0</v>
      </c>
      <c r="P3222" s="459"/>
      <c r="Q3222" s="469"/>
      <c r="R3222" s="512" t="str">
        <f t="shared" si="250"/>
        <v>DELETE</v>
      </c>
      <c r="S3222" s="513"/>
      <c r="T3222" s="513"/>
      <c r="U3222" s="513"/>
      <c r="V3222" s="513"/>
      <c r="W3222" s="513"/>
      <c r="X3222" s="513"/>
      <c r="Y3222" s="521"/>
      <c r="Z3222" s="521"/>
      <c r="AA3222" s="514"/>
      <c r="AB3222" s="39"/>
      <c r="AC3222" s="39"/>
      <c r="AD3222" s="39"/>
      <c r="AE3222" s="39"/>
      <c r="AF3222" s="39"/>
      <c r="AG3222" s="39"/>
      <c r="AH3222" s="39"/>
      <c r="AI3222" s="39"/>
      <c r="AJ3222" s="39"/>
      <c r="AK3222" s="39"/>
      <c r="AL3222" s="39"/>
      <c r="AM3222" s="39"/>
      <c r="AN3222" s="39"/>
      <c r="AO3222" s="39"/>
      <c r="AP3222" s="39"/>
      <c r="AQ3222" s="39"/>
      <c r="AR3222" s="39"/>
      <c r="AS3222" s="39"/>
      <c r="AT3222" s="39"/>
      <c r="AU3222" s="39"/>
      <c r="AV3222" s="39"/>
      <c r="AW3222" s="39"/>
      <c r="AX3222" s="39"/>
      <c r="AY3222" s="39"/>
    </row>
    <row r="3223" spans="2:51" s="449" customFormat="1" ht="31.5" customHeight="1" x14ac:dyDescent="0.45">
      <c r="B3223" s="468"/>
      <c r="C3223" s="450"/>
      <c r="D3223" s="449">
        <f>TrialBalanceC!C76</f>
        <v>0</v>
      </c>
      <c r="J3223" s="451"/>
      <c r="K3223" s="451"/>
      <c r="L3223" s="452"/>
      <c r="M3223" s="527"/>
      <c r="N3223" s="451"/>
      <c r="O3223" s="559">
        <f>TrialBalanceC!I76</f>
        <v>0</v>
      </c>
      <c r="P3223" s="459"/>
      <c r="Q3223" s="469"/>
      <c r="R3223" s="512" t="str">
        <f t="shared" si="250"/>
        <v>DELETE</v>
      </c>
      <c r="S3223" s="513"/>
      <c r="T3223" s="513"/>
      <c r="U3223" s="513"/>
      <c r="V3223" s="513"/>
      <c r="W3223" s="513"/>
      <c r="X3223" s="513"/>
      <c r="Y3223" s="521"/>
      <c r="Z3223" s="521"/>
      <c r="AA3223" s="514"/>
      <c r="AB3223" s="39"/>
      <c r="AC3223" s="39"/>
      <c r="AD3223" s="39"/>
      <c r="AE3223" s="39"/>
      <c r="AF3223" s="39"/>
      <c r="AG3223" s="39"/>
      <c r="AH3223" s="39"/>
      <c r="AI3223" s="39"/>
      <c r="AJ3223" s="39"/>
      <c r="AK3223" s="39"/>
      <c r="AL3223" s="39"/>
      <c r="AM3223" s="39"/>
      <c r="AN3223" s="39"/>
      <c r="AO3223" s="39"/>
      <c r="AP3223" s="39"/>
      <c r="AQ3223" s="39"/>
      <c r="AR3223" s="39"/>
      <c r="AS3223" s="39"/>
      <c r="AT3223" s="39"/>
      <c r="AU3223" s="39"/>
      <c r="AV3223" s="39"/>
      <c r="AW3223" s="39"/>
      <c r="AX3223" s="39"/>
      <c r="AY3223" s="39"/>
    </row>
    <row r="3224" spans="2:51" s="449" customFormat="1" ht="31.5" customHeight="1" x14ac:dyDescent="0.45">
      <c r="B3224" s="468"/>
      <c r="C3224" s="450"/>
      <c r="D3224" s="449">
        <f>TrialBalanceC!C77</f>
        <v>0</v>
      </c>
      <c r="J3224" s="451"/>
      <c r="K3224" s="451"/>
      <c r="L3224" s="452"/>
      <c r="M3224" s="527"/>
      <c r="N3224" s="451"/>
      <c r="O3224" s="559">
        <f>TrialBalanceC!I77</f>
        <v>0</v>
      </c>
      <c r="P3224" s="459"/>
      <c r="Q3224" s="469"/>
      <c r="R3224" s="512" t="str">
        <f t="shared" si="250"/>
        <v>DELETE</v>
      </c>
      <c r="S3224" s="513"/>
      <c r="T3224" s="513"/>
      <c r="U3224" s="513"/>
      <c r="V3224" s="513"/>
      <c r="W3224" s="513"/>
      <c r="X3224" s="513"/>
      <c r="Y3224" s="521"/>
      <c r="Z3224" s="521"/>
      <c r="AA3224" s="514"/>
      <c r="AB3224" s="39"/>
      <c r="AC3224" s="39"/>
      <c r="AD3224" s="39"/>
      <c r="AE3224" s="39"/>
      <c r="AF3224" s="39"/>
      <c r="AG3224" s="39"/>
      <c r="AH3224" s="39"/>
      <c r="AI3224" s="39"/>
      <c r="AJ3224" s="39"/>
      <c r="AK3224" s="39"/>
      <c r="AL3224" s="39"/>
      <c r="AM3224" s="39"/>
      <c r="AN3224" s="39"/>
      <c r="AO3224" s="39"/>
      <c r="AP3224" s="39"/>
      <c r="AQ3224" s="39"/>
      <c r="AR3224" s="39"/>
      <c r="AS3224" s="39"/>
      <c r="AT3224" s="39"/>
      <c r="AU3224" s="39"/>
      <c r="AV3224" s="39"/>
      <c r="AW3224" s="39"/>
      <c r="AX3224" s="39"/>
      <c r="AY3224" s="39"/>
    </row>
    <row r="3225" spans="2:51" s="449" customFormat="1" ht="31.5" customHeight="1" x14ac:dyDescent="0.45">
      <c r="B3225" s="468"/>
      <c r="C3225" s="450"/>
      <c r="D3225" s="449">
        <f>TrialBalanceC!C78</f>
        <v>0</v>
      </c>
      <c r="J3225" s="451"/>
      <c r="K3225" s="451"/>
      <c r="L3225" s="452"/>
      <c r="M3225" s="527"/>
      <c r="N3225" s="451"/>
      <c r="O3225" s="559">
        <f>TrialBalanceC!I78</f>
        <v>0</v>
      </c>
      <c r="P3225" s="459"/>
      <c r="Q3225" s="469"/>
      <c r="R3225" s="512" t="str">
        <f t="shared" si="250"/>
        <v>DELETE</v>
      </c>
      <c r="S3225" s="513"/>
      <c r="T3225" s="513"/>
      <c r="U3225" s="513"/>
      <c r="V3225" s="513"/>
      <c r="W3225" s="513"/>
      <c r="X3225" s="513"/>
      <c r="Y3225" s="521"/>
      <c r="Z3225" s="521"/>
      <c r="AA3225" s="514"/>
      <c r="AB3225" s="39"/>
      <c r="AC3225" s="39"/>
      <c r="AD3225" s="39"/>
      <c r="AE3225" s="39"/>
      <c r="AF3225" s="39"/>
      <c r="AG3225" s="39"/>
      <c r="AH3225" s="39"/>
      <c r="AI3225" s="39"/>
      <c r="AJ3225" s="39"/>
      <c r="AK3225" s="39"/>
      <c r="AL3225" s="39"/>
      <c r="AM3225" s="39"/>
      <c r="AN3225" s="39"/>
      <c r="AO3225" s="39"/>
      <c r="AP3225" s="39"/>
      <c r="AQ3225" s="39"/>
      <c r="AR3225" s="39"/>
      <c r="AS3225" s="39"/>
      <c r="AT3225" s="39"/>
      <c r="AU3225" s="39"/>
      <c r="AV3225" s="39"/>
      <c r="AW3225" s="39"/>
      <c r="AX3225" s="39"/>
      <c r="AY3225" s="39"/>
    </row>
    <row r="3226" spans="2:51" s="449" customFormat="1" ht="31.5" customHeight="1" x14ac:dyDescent="0.45">
      <c r="B3226" s="468"/>
      <c r="C3226" s="450"/>
      <c r="D3226" s="449">
        <f>TrialBalanceC!C79</f>
        <v>0</v>
      </c>
      <c r="J3226" s="451"/>
      <c r="K3226" s="451"/>
      <c r="L3226" s="452"/>
      <c r="M3226" s="527"/>
      <c r="N3226" s="451"/>
      <c r="O3226" s="559">
        <f>TrialBalanceC!I79</f>
        <v>0</v>
      </c>
      <c r="P3226" s="459"/>
      <c r="Q3226" s="469"/>
      <c r="R3226" s="512" t="str">
        <f t="shared" si="250"/>
        <v>DELETE</v>
      </c>
      <c r="S3226" s="513"/>
      <c r="T3226" s="513"/>
      <c r="U3226" s="513"/>
      <c r="V3226" s="513"/>
      <c r="W3226" s="513"/>
      <c r="X3226" s="513"/>
      <c r="Y3226" s="521"/>
      <c r="Z3226" s="521"/>
      <c r="AA3226" s="514"/>
      <c r="AB3226" s="39"/>
      <c r="AC3226" s="39"/>
      <c r="AD3226" s="39"/>
      <c r="AE3226" s="39"/>
      <c r="AF3226" s="39"/>
      <c r="AG3226" s="39"/>
      <c r="AH3226" s="39"/>
      <c r="AI3226" s="39"/>
      <c r="AJ3226" s="39"/>
      <c r="AK3226" s="39"/>
      <c r="AL3226" s="39"/>
      <c r="AM3226" s="39"/>
      <c r="AN3226" s="39"/>
      <c r="AO3226" s="39"/>
      <c r="AP3226" s="39"/>
      <c r="AQ3226" s="39"/>
      <c r="AR3226" s="39"/>
      <c r="AS3226" s="39"/>
      <c r="AT3226" s="39"/>
      <c r="AU3226" s="39"/>
      <c r="AV3226" s="39"/>
      <c r="AW3226" s="39"/>
      <c r="AX3226" s="39"/>
      <c r="AY3226" s="39"/>
    </row>
    <row r="3227" spans="2:51" s="449" customFormat="1" ht="31.5" customHeight="1" x14ac:dyDescent="0.45">
      <c r="B3227" s="468"/>
      <c r="C3227" s="450"/>
      <c r="D3227" s="449">
        <f>TrialBalanceC!C80</f>
        <v>0</v>
      </c>
      <c r="J3227" s="451"/>
      <c r="K3227" s="451"/>
      <c r="L3227" s="452"/>
      <c r="M3227" s="527"/>
      <c r="N3227" s="451"/>
      <c r="O3227" s="559">
        <f>TrialBalanceC!I80</f>
        <v>0</v>
      </c>
      <c r="P3227" s="459"/>
      <c r="Q3227" s="469"/>
      <c r="R3227" s="512" t="str">
        <f t="shared" si="250"/>
        <v>DELETE</v>
      </c>
      <c r="S3227" s="513"/>
      <c r="T3227" s="513"/>
      <c r="U3227" s="513"/>
      <c r="V3227" s="513"/>
      <c r="W3227" s="513"/>
      <c r="X3227" s="513"/>
      <c r="Y3227" s="521"/>
      <c r="Z3227" s="521"/>
      <c r="AA3227" s="514"/>
      <c r="AB3227" s="39"/>
      <c r="AC3227" s="39"/>
      <c r="AD3227" s="39"/>
      <c r="AE3227" s="39"/>
      <c r="AF3227" s="39"/>
      <c r="AG3227" s="39"/>
      <c r="AH3227" s="39"/>
      <c r="AI3227" s="39"/>
      <c r="AJ3227" s="39"/>
      <c r="AK3227" s="39"/>
      <c r="AL3227" s="39"/>
      <c r="AM3227" s="39"/>
      <c r="AN3227" s="39"/>
      <c r="AO3227" s="39"/>
      <c r="AP3227" s="39"/>
      <c r="AQ3227" s="39"/>
      <c r="AR3227" s="39"/>
      <c r="AS3227" s="39"/>
      <c r="AT3227" s="39"/>
      <c r="AU3227" s="39"/>
      <c r="AV3227" s="39"/>
      <c r="AW3227" s="39"/>
      <c r="AX3227" s="39"/>
      <c r="AY3227" s="39"/>
    </row>
    <row r="3228" spans="2:51" s="449" customFormat="1" ht="31.5" customHeight="1" x14ac:dyDescent="0.45">
      <c r="B3228" s="468"/>
      <c r="C3228" s="450"/>
      <c r="D3228" s="449">
        <f>TrialBalanceC!C81</f>
        <v>0</v>
      </c>
      <c r="J3228" s="451"/>
      <c r="K3228" s="451"/>
      <c r="L3228" s="452"/>
      <c r="M3228" s="527"/>
      <c r="N3228" s="451"/>
      <c r="O3228" s="559">
        <f>TrialBalanceC!I81</f>
        <v>0</v>
      </c>
      <c r="P3228" s="459"/>
      <c r="Q3228" s="469"/>
      <c r="R3228" s="512" t="str">
        <f t="shared" si="250"/>
        <v>DELETE</v>
      </c>
      <c r="S3228" s="513"/>
      <c r="T3228" s="513"/>
      <c r="U3228" s="513"/>
      <c r="V3228" s="513"/>
      <c r="W3228" s="513"/>
      <c r="X3228" s="513"/>
      <c r="Y3228" s="521"/>
      <c r="Z3228" s="521"/>
      <c r="AA3228" s="514"/>
      <c r="AB3228" s="39"/>
      <c r="AC3228" s="39"/>
      <c r="AD3228" s="39"/>
      <c r="AE3228" s="39"/>
      <c r="AF3228" s="39"/>
      <c r="AG3228" s="39"/>
      <c r="AH3228" s="39"/>
      <c r="AI3228" s="39"/>
      <c r="AJ3228" s="39"/>
      <c r="AK3228" s="39"/>
      <c r="AL3228" s="39"/>
      <c r="AM3228" s="39"/>
      <c r="AN3228" s="39"/>
      <c r="AO3228" s="39"/>
      <c r="AP3228" s="39"/>
      <c r="AQ3228" s="39"/>
      <c r="AR3228" s="39"/>
      <c r="AS3228" s="39"/>
      <c r="AT3228" s="39"/>
      <c r="AU3228" s="39"/>
      <c r="AV3228" s="39"/>
      <c r="AW3228" s="39"/>
      <c r="AX3228" s="39"/>
      <c r="AY3228" s="39"/>
    </row>
    <row r="3229" spans="2:51" s="449" customFormat="1" ht="9" customHeight="1" x14ac:dyDescent="0.45">
      <c r="B3229" s="468"/>
      <c r="C3229" s="450"/>
      <c r="J3229" s="451"/>
      <c r="K3229" s="451"/>
      <c r="L3229" s="452"/>
      <c r="M3229" s="527"/>
      <c r="N3229" s="451"/>
      <c r="O3229" s="560"/>
      <c r="P3229" s="459"/>
      <c r="Q3229" s="469"/>
      <c r="R3229" s="512" t="str">
        <f>R3199</f>
        <v>DELETE</v>
      </c>
      <c r="S3229" s="513"/>
      <c r="T3229" s="513"/>
      <c r="U3229" s="513"/>
      <c r="V3229" s="513"/>
      <c r="W3229" s="513"/>
      <c r="X3229" s="513"/>
      <c r="Y3229" s="521"/>
      <c r="Z3229" s="521"/>
      <c r="AA3229" s="514"/>
      <c r="AB3229" s="39"/>
      <c r="AC3229" s="39"/>
      <c r="AD3229" s="39"/>
      <c r="AE3229" s="39"/>
      <c r="AF3229" s="39"/>
      <c r="AG3229" s="39"/>
      <c r="AH3229" s="39"/>
      <c r="AI3229" s="39"/>
      <c r="AJ3229" s="39"/>
      <c r="AK3229" s="39"/>
      <c r="AL3229" s="39"/>
      <c r="AM3229" s="39"/>
      <c r="AN3229" s="39"/>
      <c r="AO3229" s="39"/>
      <c r="AP3229" s="39"/>
      <c r="AQ3229" s="39"/>
      <c r="AR3229" s="39"/>
      <c r="AS3229" s="39"/>
      <c r="AT3229" s="39"/>
      <c r="AU3229" s="39"/>
      <c r="AV3229" s="39"/>
      <c r="AW3229" s="39"/>
      <c r="AX3229" s="39"/>
      <c r="AY3229" s="39"/>
    </row>
    <row r="3230" spans="2:51" s="449" customFormat="1" ht="9" customHeight="1" x14ac:dyDescent="0.45">
      <c r="B3230" s="468"/>
      <c r="C3230" s="450"/>
      <c r="J3230" s="451"/>
      <c r="K3230" s="451"/>
      <c r="L3230" s="452"/>
      <c r="M3230" s="527"/>
      <c r="N3230" s="451"/>
      <c r="O3230" s="535"/>
      <c r="P3230" s="459"/>
      <c r="Q3230" s="469"/>
      <c r="R3230" s="512" t="str">
        <f t="shared" ref="R3230:R3250" si="251">R$3153</f>
        <v>DELETE</v>
      </c>
      <c r="S3230" s="513"/>
      <c r="T3230" s="513"/>
      <c r="U3230" s="513"/>
      <c r="V3230" s="513"/>
      <c r="W3230" s="513"/>
      <c r="X3230" s="513"/>
      <c r="Y3230" s="521"/>
      <c r="Z3230" s="521"/>
      <c r="AA3230" s="514"/>
      <c r="AB3230" s="39"/>
      <c r="AC3230" s="39"/>
      <c r="AD3230" s="39"/>
      <c r="AE3230" s="39"/>
      <c r="AF3230" s="39"/>
      <c r="AG3230" s="39"/>
      <c r="AH3230" s="39"/>
      <c r="AI3230" s="39"/>
      <c r="AJ3230" s="39"/>
      <c r="AK3230" s="39"/>
      <c r="AL3230" s="39"/>
      <c r="AM3230" s="39"/>
      <c r="AN3230" s="39"/>
      <c r="AO3230" s="39"/>
      <c r="AP3230" s="39"/>
      <c r="AQ3230" s="39"/>
      <c r="AR3230" s="39"/>
      <c r="AS3230" s="39"/>
      <c r="AT3230" s="39"/>
      <c r="AU3230" s="39"/>
      <c r="AV3230" s="39"/>
      <c r="AW3230" s="39"/>
      <c r="AX3230" s="39"/>
      <c r="AY3230" s="39"/>
    </row>
    <row r="3231" spans="2:51" s="449" customFormat="1" ht="9" customHeight="1" x14ac:dyDescent="0.45">
      <c r="B3231" s="468"/>
      <c r="C3231" s="450"/>
      <c r="J3231" s="451"/>
      <c r="K3231" s="451"/>
      <c r="L3231" s="452"/>
      <c r="M3231" s="527"/>
      <c r="N3231" s="451"/>
      <c r="O3231" s="531"/>
      <c r="P3231" s="459"/>
      <c r="Q3231" s="469"/>
      <c r="R3231" s="512" t="str">
        <f t="shared" si="251"/>
        <v>DELETE</v>
      </c>
      <c r="S3231" s="513"/>
      <c r="T3231" s="513"/>
      <c r="U3231" s="513"/>
      <c r="V3231" s="513"/>
      <c r="W3231" s="513"/>
      <c r="X3231" s="513"/>
      <c r="Y3231" s="521"/>
      <c r="Z3231" s="521"/>
      <c r="AA3231" s="514"/>
      <c r="AB3231" s="39"/>
      <c r="AC3231" s="39"/>
      <c r="AD3231" s="39"/>
      <c r="AE3231" s="39"/>
      <c r="AF3231" s="39"/>
      <c r="AG3231" s="39"/>
      <c r="AH3231" s="39"/>
      <c r="AI3231" s="39"/>
      <c r="AJ3231" s="39"/>
      <c r="AK3231" s="39"/>
      <c r="AL3231" s="39"/>
      <c r="AM3231" s="39"/>
      <c r="AN3231" s="39"/>
      <c r="AO3231" s="39"/>
      <c r="AP3231" s="39"/>
      <c r="AQ3231" s="39"/>
      <c r="AR3231" s="39"/>
      <c r="AS3231" s="39"/>
      <c r="AT3231" s="39"/>
      <c r="AU3231" s="39"/>
      <c r="AV3231" s="39"/>
      <c r="AW3231" s="39"/>
      <c r="AX3231" s="39"/>
      <c r="AY3231" s="39"/>
    </row>
    <row r="3232" spans="2:51" s="449" customFormat="1" ht="31.5" customHeight="1" x14ac:dyDescent="0.45">
      <c r="B3232" s="468"/>
      <c r="C3232" s="492" t="str">
        <f>IF(O3232&lt;0,"OPERATING LOSS","OPERATING PROFIT")</f>
        <v>OPERATING PROFIT</v>
      </c>
      <c r="J3232" s="451"/>
      <c r="K3232" s="451"/>
      <c r="L3232" s="452"/>
      <c r="M3232" s="527"/>
      <c r="N3232" s="451"/>
      <c r="O3232" s="531">
        <f>SUM(S3165:S3230)</f>
        <v>0</v>
      </c>
      <c r="P3232" s="459"/>
      <c r="Q3232" s="469"/>
      <c r="R3232" s="512" t="str">
        <f t="shared" si="251"/>
        <v>DELETE</v>
      </c>
      <c r="S3232" s="513"/>
      <c r="T3232" s="513"/>
      <c r="U3232" s="513"/>
      <c r="V3232" s="513"/>
      <c r="W3232" s="513"/>
      <c r="X3232" s="513"/>
      <c r="Y3232" s="521"/>
      <c r="Z3232" s="521"/>
      <c r="AA3232" s="514"/>
      <c r="AB3232" s="39"/>
      <c r="AC3232" s="39"/>
      <c r="AD3232" s="39"/>
      <c r="AE3232" s="39"/>
      <c r="AF3232" s="39"/>
      <c r="AG3232" s="39"/>
      <c r="AH3232" s="39"/>
      <c r="AI3232" s="39"/>
      <c r="AJ3232" s="39"/>
      <c r="AK3232" s="39"/>
      <c r="AL3232" s="39"/>
      <c r="AM3232" s="39"/>
      <c r="AN3232" s="39"/>
      <c r="AO3232" s="39"/>
      <c r="AP3232" s="39"/>
      <c r="AQ3232" s="39"/>
      <c r="AR3232" s="39"/>
      <c r="AS3232" s="39"/>
      <c r="AT3232" s="39"/>
      <c r="AU3232" s="39"/>
      <c r="AV3232" s="39"/>
      <c r="AW3232" s="39"/>
      <c r="AX3232" s="39"/>
      <c r="AY3232" s="39"/>
    </row>
    <row r="3233" spans="2:51" s="449" customFormat="1" ht="31.5" customHeight="1" x14ac:dyDescent="0.45">
      <c r="B3233" s="468"/>
      <c r="C3233" s="450"/>
      <c r="D3233" s="449" t="s">
        <v>312</v>
      </c>
      <c r="J3233" s="451"/>
      <c r="K3233" s="451"/>
      <c r="L3233" s="452"/>
      <c r="M3233" s="527"/>
      <c r="N3233" s="451"/>
      <c r="O3233" s="531"/>
      <c r="P3233" s="459"/>
      <c r="Q3233" s="469"/>
      <c r="R3233" s="512" t="str">
        <f t="shared" si="251"/>
        <v>DELETE</v>
      </c>
      <c r="S3233" s="513"/>
      <c r="T3233" s="513"/>
      <c r="U3233" s="513"/>
      <c r="V3233" s="513"/>
      <c r="W3233" s="513"/>
      <c r="X3233" s="513"/>
      <c r="Y3233" s="521"/>
      <c r="Z3233" s="521"/>
      <c r="AA3233" s="514"/>
      <c r="AB3233" s="39"/>
      <c r="AC3233" s="39"/>
      <c r="AD3233" s="39"/>
      <c r="AE3233" s="39"/>
      <c r="AF3233" s="39"/>
      <c r="AG3233" s="39"/>
      <c r="AH3233" s="39"/>
      <c r="AI3233" s="39"/>
      <c r="AJ3233" s="39"/>
      <c r="AK3233" s="39"/>
      <c r="AL3233" s="39"/>
      <c r="AM3233" s="39"/>
      <c r="AN3233" s="39"/>
      <c r="AO3233" s="39"/>
      <c r="AP3233" s="39"/>
      <c r="AQ3233" s="39"/>
      <c r="AR3233" s="39"/>
      <c r="AS3233" s="39"/>
      <c r="AT3233" s="39"/>
      <c r="AU3233" s="39"/>
      <c r="AV3233" s="39"/>
      <c r="AW3233" s="39"/>
      <c r="AX3233" s="39"/>
      <c r="AY3233" s="39"/>
    </row>
    <row r="3234" spans="2:51" s="449" customFormat="1" ht="31.5" customHeight="1" x14ac:dyDescent="0.45">
      <c r="B3234" s="468"/>
      <c r="C3234" s="450"/>
      <c r="J3234" s="451"/>
      <c r="K3234" s="451"/>
      <c r="L3234" s="451"/>
      <c r="M3234" s="531"/>
      <c r="N3234" s="470"/>
      <c r="O3234" s="531"/>
      <c r="P3234" s="459"/>
      <c r="Q3234" s="469"/>
      <c r="R3234" s="512" t="str">
        <f t="shared" si="251"/>
        <v>DELETE</v>
      </c>
      <c r="S3234" s="513"/>
      <c r="T3234" s="513"/>
      <c r="U3234" s="513"/>
      <c r="V3234" s="513"/>
      <c r="W3234" s="513"/>
      <c r="X3234" s="513"/>
      <c r="Y3234" s="521"/>
      <c r="Z3234" s="521"/>
      <c r="AA3234" s="514"/>
      <c r="AB3234" s="39"/>
      <c r="AC3234" s="39"/>
      <c r="AD3234" s="39"/>
      <c r="AE3234" s="39"/>
      <c r="AF3234" s="39"/>
      <c r="AG3234" s="39"/>
      <c r="AH3234" s="39"/>
      <c r="AI3234" s="39"/>
      <c r="AJ3234" s="39"/>
      <c r="AK3234" s="39"/>
      <c r="AL3234" s="39"/>
      <c r="AM3234" s="39"/>
      <c r="AN3234" s="39"/>
      <c r="AO3234" s="39"/>
      <c r="AP3234" s="39"/>
      <c r="AQ3234" s="39"/>
      <c r="AR3234" s="39"/>
      <c r="AS3234" s="39"/>
      <c r="AT3234" s="39"/>
      <c r="AU3234" s="39"/>
      <c r="AV3234" s="39"/>
      <c r="AW3234" s="39"/>
      <c r="AX3234" s="39"/>
      <c r="AY3234" s="39"/>
    </row>
    <row r="3235" spans="2:51" s="449" customFormat="1" ht="31.5" customHeight="1" x14ac:dyDescent="0.45">
      <c r="B3235" s="468"/>
      <c r="C3235" s="450"/>
      <c r="J3235" s="451"/>
      <c r="K3235" s="451"/>
      <c r="L3235" s="451"/>
      <c r="M3235" s="531"/>
      <c r="N3235" s="470"/>
      <c r="O3235" s="531"/>
      <c r="P3235" s="459"/>
      <c r="Q3235" s="469"/>
      <c r="R3235" s="512" t="str">
        <f t="shared" si="251"/>
        <v>DELETE</v>
      </c>
      <c r="S3235" s="513"/>
      <c r="T3235" s="513"/>
      <c r="U3235" s="513"/>
      <c r="V3235" s="513"/>
      <c r="W3235" s="513"/>
      <c r="X3235" s="513"/>
      <c r="Y3235" s="521"/>
      <c r="Z3235" s="521"/>
      <c r="AA3235" s="514"/>
      <c r="AB3235" s="39"/>
      <c r="AC3235" s="39"/>
      <c r="AD3235" s="39"/>
      <c r="AE3235" s="39"/>
      <c r="AF3235" s="39"/>
      <c r="AG3235" s="39"/>
      <c r="AH3235" s="39"/>
      <c r="AI3235" s="39"/>
      <c r="AJ3235" s="39"/>
      <c r="AK3235" s="39"/>
      <c r="AL3235" s="39"/>
      <c r="AM3235" s="39"/>
      <c r="AN3235" s="39"/>
      <c r="AO3235" s="39"/>
      <c r="AP3235" s="39"/>
      <c r="AQ3235" s="39"/>
      <c r="AR3235" s="39"/>
      <c r="AS3235" s="39"/>
      <c r="AT3235" s="39"/>
      <c r="AU3235" s="39"/>
      <c r="AV3235" s="39"/>
      <c r="AW3235" s="39"/>
      <c r="AX3235" s="39"/>
      <c r="AY3235" s="39"/>
    </row>
    <row r="3236" spans="2:51" s="449" customFormat="1" ht="31.5" customHeight="1" x14ac:dyDescent="0.45">
      <c r="B3236" s="477"/>
      <c r="C3236" s="502"/>
      <c r="D3236" s="461"/>
      <c r="E3236" s="461"/>
      <c r="F3236" s="461"/>
      <c r="G3236" s="461"/>
      <c r="H3236" s="461"/>
      <c r="I3236" s="461"/>
      <c r="J3236" s="483"/>
      <c r="K3236" s="483"/>
      <c r="L3236" s="483"/>
      <c r="M3236" s="535"/>
      <c r="N3236" s="473"/>
      <c r="O3236" s="535"/>
      <c r="P3236" s="484"/>
      <c r="Q3236" s="479"/>
      <c r="R3236" s="512" t="str">
        <f t="shared" si="251"/>
        <v>DELETE</v>
      </c>
      <c r="S3236" s="513"/>
      <c r="T3236" s="513"/>
      <c r="U3236" s="513"/>
      <c r="V3236" s="513"/>
      <c r="W3236" s="513"/>
      <c r="X3236" s="513"/>
      <c r="Y3236" s="521"/>
      <c r="Z3236" s="521"/>
      <c r="AA3236" s="514"/>
      <c r="AB3236" s="39"/>
      <c r="AC3236" s="39"/>
      <c r="AD3236" s="39"/>
      <c r="AE3236" s="39"/>
      <c r="AF3236" s="39"/>
      <c r="AG3236" s="39"/>
      <c r="AH3236" s="39"/>
      <c r="AI3236" s="39"/>
      <c r="AJ3236" s="39"/>
      <c r="AK3236" s="39"/>
      <c r="AL3236" s="39"/>
      <c r="AM3236" s="39"/>
      <c r="AN3236" s="39"/>
      <c r="AO3236" s="39"/>
      <c r="AP3236" s="39"/>
      <c r="AQ3236" s="39"/>
      <c r="AR3236" s="39"/>
      <c r="AS3236" s="39"/>
      <c r="AT3236" s="39"/>
      <c r="AU3236" s="39"/>
      <c r="AV3236" s="39"/>
      <c r="AW3236" s="39"/>
      <c r="AX3236" s="39"/>
      <c r="AY3236" s="39"/>
    </row>
    <row r="3237" spans="2:51" s="449" customFormat="1" ht="31.5" customHeight="1" x14ac:dyDescent="0.45">
      <c r="C3237" s="450"/>
      <c r="J3237" s="451"/>
      <c r="K3237" s="451"/>
      <c r="L3237" s="451"/>
      <c r="M3237" s="531"/>
      <c r="N3237" s="470"/>
      <c r="O3237" s="531"/>
      <c r="P3237" s="459"/>
      <c r="R3237" s="512" t="str">
        <f t="shared" si="251"/>
        <v>DELETE</v>
      </c>
      <c r="S3237" s="513"/>
      <c r="T3237" s="513"/>
      <c r="U3237" s="513"/>
      <c r="V3237" s="513"/>
      <c r="W3237" s="513"/>
      <c r="X3237" s="513"/>
      <c r="Y3237" s="521"/>
      <c r="Z3237" s="521"/>
      <c r="AA3237" s="514"/>
      <c r="AB3237" s="39"/>
      <c r="AC3237" s="39"/>
      <c r="AD3237" s="39"/>
      <c r="AE3237" s="39"/>
      <c r="AF3237" s="39"/>
      <c r="AG3237" s="39"/>
      <c r="AH3237" s="39"/>
      <c r="AI3237" s="39"/>
      <c r="AJ3237" s="39"/>
      <c r="AK3237" s="39"/>
      <c r="AL3237" s="39"/>
      <c r="AM3237" s="39"/>
      <c r="AN3237" s="39"/>
      <c r="AO3237" s="39"/>
      <c r="AP3237" s="39"/>
      <c r="AQ3237" s="39"/>
      <c r="AR3237" s="39"/>
      <c r="AS3237" s="39"/>
      <c r="AT3237" s="39"/>
      <c r="AU3237" s="39"/>
      <c r="AV3237" s="39"/>
      <c r="AW3237" s="39"/>
      <c r="AX3237" s="39"/>
      <c r="AY3237" s="39"/>
    </row>
    <row r="3238" spans="2:51" s="449" customFormat="1" ht="31.5" customHeight="1" x14ac:dyDescent="0.45">
      <c r="C3238" s="450"/>
      <c r="J3238" s="451"/>
      <c r="K3238" s="451"/>
      <c r="L3238" s="451"/>
      <c r="M3238" s="531"/>
      <c r="N3238" s="470"/>
      <c r="O3238" s="531"/>
      <c r="P3238" s="459"/>
      <c r="R3238" s="512" t="str">
        <f t="shared" si="251"/>
        <v>DELETE</v>
      </c>
      <c r="S3238" s="513"/>
      <c r="T3238" s="513"/>
      <c r="U3238" s="513"/>
      <c r="V3238" s="513"/>
      <c r="W3238" s="513"/>
      <c r="X3238" s="513"/>
      <c r="Y3238" s="521"/>
      <c r="Z3238" s="521"/>
      <c r="AA3238" s="514"/>
      <c r="AB3238" s="39"/>
      <c r="AC3238" s="39"/>
      <c r="AD3238" s="39"/>
      <c r="AE3238" s="39"/>
      <c r="AF3238" s="39"/>
      <c r="AG3238" s="39"/>
      <c r="AH3238" s="39"/>
      <c r="AI3238" s="39"/>
      <c r="AJ3238" s="39"/>
      <c r="AK3238" s="39"/>
      <c r="AL3238" s="39"/>
      <c r="AM3238" s="39"/>
      <c r="AN3238" s="39"/>
      <c r="AO3238" s="39"/>
      <c r="AP3238" s="39"/>
      <c r="AQ3238" s="39"/>
      <c r="AR3238" s="39"/>
      <c r="AS3238" s="39"/>
      <c r="AT3238" s="39"/>
      <c r="AU3238" s="39"/>
      <c r="AV3238" s="39"/>
      <c r="AW3238" s="39"/>
      <c r="AX3238" s="39"/>
      <c r="AY3238" s="39"/>
    </row>
    <row r="3239" spans="2:51" s="449" customFormat="1" ht="31.5" customHeight="1" x14ac:dyDescent="0.45">
      <c r="C3239" s="450"/>
      <c r="D3239" s="450" t="str">
        <f>Criteria!E9</f>
        <v>ABC COMPANY (PROPRIETARY) LIMITED</v>
      </c>
      <c r="J3239" s="451"/>
      <c r="K3239" s="451"/>
      <c r="L3239" s="451"/>
      <c r="M3239" s="531"/>
      <c r="N3239" s="470"/>
      <c r="O3239" s="531" t="s">
        <v>121</v>
      </c>
      <c r="P3239" s="459"/>
      <c r="Q3239" s="451">
        <f>MAX($Q$3156:Q3238)+1</f>
        <v>2</v>
      </c>
      <c r="R3239" s="512" t="str">
        <f t="shared" si="251"/>
        <v>DELETE</v>
      </c>
      <c r="S3239" s="513"/>
      <c r="T3239" s="513"/>
      <c r="U3239" s="513"/>
      <c r="V3239" s="513"/>
      <c r="W3239" s="513"/>
      <c r="X3239" s="513"/>
      <c r="Y3239" s="521"/>
      <c r="Z3239" s="521"/>
      <c r="AA3239" s="514"/>
      <c r="AB3239" s="39"/>
      <c r="AC3239" s="39"/>
      <c r="AD3239" s="39"/>
      <c r="AE3239" s="39"/>
      <c r="AF3239" s="39"/>
      <c r="AG3239" s="39"/>
      <c r="AH3239" s="39"/>
      <c r="AI3239" s="39"/>
      <c r="AJ3239" s="39"/>
      <c r="AK3239" s="39"/>
      <c r="AL3239" s="39"/>
      <c r="AM3239" s="39"/>
      <c r="AN3239" s="39"/>
      <c r="AO3239" s="39"/>
      <c r="AP3239" s="39"/>
      <c r="AQ3239" s="39"/>
      <c r="AR3239" s="39"/>
      <c r="AS3239" s="39"/>
      <c r="AT3239" s="39"/>
      <c r="AU3239" s="39"/>
      <c r="AV3239" s="39"/>
      <c r="AW3239" s="39"/>
      <c r="AX3239" s="39"/>
      <c r="AY3239" s="39"/>
    </row>
    <row r="3240" spans="2:51" s="449" customFormat="1" ht="31.5" customHeight="1" x14ac:dyDescent="0.45">
      <c r="C3240" s="450"/>
      <c r="D3240" s="450" t="str">
        <f>CONCATENATE("T/A ",Criteria!E16)</f>
        <v xml:space="preserve">T/A </v>
      </c>
      <c r="J3240" s="451"/>
      <c r="K3240" s="451"/>
      <c r="L3240" s="451"/>
      <c r="M3240" s="531"/>
      <c r="N3240" s="470"/>
      <c r="O3240" s="531"/>
      <c r="P3240" s="459"/>
      <c r="R3240" s="512" t="str">
        <f t="shared" si="251"/>
        <v>DELETE</v>
      </c>
      <c r="S3240" s="513"/>
      <c r="T3240" s="513"/>
      <c r="U3240" s="513"/>
      <c r="V3240" s="513"/>
      <c r="W3240" s="513"/>
      <c r="X3240" s="513"/>
      <c r="Y3240" s="521"/>
      <c r="Z3240" s="521"/>
      <c r="AA3240" s="514"/>
      <c r="AB3240" s="39"/>
      <c r="AC3240" s="39"/>
      <c r="AD3240" s="39"/>
      <c r="AE3240" s="39"/>
      <c r="AF3240" s="39"/>
      <c r="AG3240" s="39"/>
      <c r="AH3240" s="39"/>
      <c r="AI3240" s="39"/>
      <c r="AJ3240" s="39"/>
      <c r="AK3240" s="39"/>
      <c r="AL3240" s="39"/>
      <c r="AM3240" s="39"/>
      <c r="AN3240" s="39"/>
      <c r="AO3240" s="39"/>
      <c r="AP3240" s="39"/>
      <c r="AQ3240" s="39"/>
      <c r="AR3240" s="39"/>
      <c r="AS3240" s="39"/>
      <c r="AT3240" s="39"/>
      <c r="AU3240" s="39"/>
      <c r="AV3240" s="39"/>
      <c r="AW3240" s="39"/>
      <c r="AX3240" s="39"/>
      <c r="AY3240" s="39"/>
    </row>
    <row r="3241" spans="2:51" s="449" customFormat="1" ht="31.5" customHeight="1" x14ac:dyDescent="0.45">
      <c r="C3241" s="450"/>
      <c r="J3241" s="451"/>
      <c r="K3241" s="451"/>
      <c r="L3241" s="451"/>
      <c r="M3241" s="531"/>
      <c r="N3241" s="470"/>
      <c r="O3241" s="531"/>
      <c r="P3241" s="459"/>
      <c r="R3241" s="512" t="str">
        <f t="shared" si="251"/>
        <v>DELETE</v>
      </c>
      <c r="S3241" s="513"/>
      <c r="T3241" s="513"/>
      <c r="U3241" s="513"/>
      <c r="V3241" s="513"/>
      <c r="W3241" s="513"/>
      <c r="X3241" s="513"/>
      <c r="Y3241" s="521"/>
      <c r="Z3241" s="521"/>
      <c r="AA3241" s="514"/>
      <c r="AB3241" s="39"/>
      <c r="AC3241" s="39"/>
      <c r="AD3241" s="39"/>
      <c r="AE3241" s="39"/>
      <c r="AF3241" s="39"/>
      <c r="AG3241" s="39"/>
      <c r="AH3241" s="39"/>
      <c r="AI3241" s="39"/>
      <c r="AJ3241" s="39"/>
      <c r="AK3241" s="39"/>
      <c r="AL3241" s="39"/>
      <c r="AM3241" s="39"/>
      <c r="AN3241" s="39"/>
      <c r="AO3241" s="39"/>
      <c r="AP3241" s="39"/>
      <c r="AQ3241" s="39"/>
      <c r="AR3241" s="39"/>
      <c r="AS3241" s="39"/>
      <c r="AT3241" s="39"/>
      <c r="AU3241" s="39"/>
      <c r="AV3241" s="39"/>
      <c r="AW3241" s="39"/>
      <c r="AX3241" s="39"/>
      <c r="AY3241" s="39"/>
    </row>
    <row r="3242" spans="2:51" s="449" customFormat="1" ht="31.5" customHeight="1" x14ac:dyDescent="0.45">
      <c r="C3242" s="450"/>
      <c r="D3242" s="450" t="s">
        <v>115</v>
      </c>
      <c r="J3242" s="451"/>
      <c r="K3242" s="451"/>
      <c r="L3242" s="451"/>
      <c r="M3242" s="531"/>
      <c r="N3242" s="470"/>
      <c r="O3242" s="531"/>
      <c r="P3242" s="459"/>
      <c r="R3242" s="512" t="str">
        <f t="shared" si="251"/>
        <v>DELETE</v>
      </c>
      <c r="S3242" s="513"/>
      <c r="T3242" s="513"/>
      <c r="U3242" s="513"/>
      <c r="V3242" s="513"/>
      <c r="W3242" s="513"/>
      <c r="X3242" s="513"/>
      <c r="Y3242" s="521"/>
      <c r="Z3242" s="521"/>
      <c r="AA3242" s="514"/>
      <c r="AB3242" s="39"/>
      <c r="AC3242" s="39"/>
      <c r="AD3242" s="39"/>
      <c r="AE3242" s="39"/>
      <c r="AF3242" s="39"/>
      <c r="AG3242" s="39"/>
      <c r="AH3242" s="39"/>
      <c r="AI3242" s="39"/>
      <c r="AJ3242" s="39"/>
      <c r="AK3242" s="39"/>
      <c r="AL3242" s="39"/>
      <c r="AM3242" s="39"/>
      <c r="AN3242" s="39"/>
      <c r="AO3242" s="39"/>
      <c r="AP3242" s="39"/>
      <c r="AQ3242" s="39"/>
      <c r="AR3242" s="39"/>
      <c r="AS3242" s="39"/>
      <c r="AT3242" s="39"/>
      <c r="AU3242" s="39"/>
      <c r="AV3242" s="39"/>
      <c r="AW3242" s="39"/>
      <c r="AX3242" s="39"/>
      <c r="AY3242" s="39"/>
    </row>
    <row r="3243" spans="2:51" s="449" customFormat="1" ht="31.5" customHeight="1" x14ac:dyDescent="0.45">
      <c r="C3243" s="450"/>
      <c r="D3243" s="450" t="str">
        <f>D3160</f>
        <v>29 FEBRUARY 2024</v>
      </c>
      <c r="H3243" s="449" t="s">
        <v>127</v>
      </c>
      <c r="J3243" s="451"/>
      <c r="K3243" s="451"/>
      <c r="L3243" s="451"/>
      <c r="M3243" s="531"/>
      <c r="N3243" s="470"/>
      <c r="O3243" s="531"/>
      <c r="P3243" s="459"/>
      <c r="R3243" s="512" t="str">
        <f t="shared" si="251"/>
        <v>DELETE</v>
      </c>
      <c r="S3243" s="513"/>
      <c r="T3243" s="513"/>
      <c r="U3243" s="513"/>
      <c r="V3243" s="513"/>
      <c r="W3243" s="513"/>
      <c r="X3243" s="513"/>
      <c r="Y3243" s="521"/>
      <c r="Z3243" s="521"/>
      <c r="AA3243" s="514"/>
      <c r="AB3243" s="39"/>
      <c r="AC3243" s="39"/>
      <c r="AD3243" s="39"/>
      <c r="AE3243" s="39"/>
      <c r="AF3243" s="39"/>
      <c r="AG3243" s="39"/>
      <c r="AH3243" s="39"/>
      <c r="AI3243" s="39"/>
      <c r="AJ3243" s="39"/>
      <c r="AK3243" s="39"/>
      <c r="AL3243" s="39"/>
      <c r="AM3243" s="39"/>
      <c r="AN3243" s="39"/>
      <c r="AO3243" s="39"/>
      <c r="AP3243" s="39"/>
      <c r="AQ3243" s="39"/>
      <c r="AR3243" s="39"/>
      <c r="AS3243" s="39"/>
      <c r="AT3243" s="39"/>
      <c r="AU3243" s="39"/>
      <c r="AV3243" s="39"/>
      <c r="AW3243" s="39"/>
      <c r="AX3243" s="39"/>
      <c r="AY3243" s="39"/>
    </row>
    <row r="3244" spans="2:51" s="449" customFormat="1" ht="31.5" customHeight="1" x14ac:dyDescent="0.45">
      <c r="C3244" s="450"/>
      <c r="J3244" s="451"/>
      <c r="K3244" s="483"/>
      <c r="L3244" s="483"/>
      <c r="M3244" s="535"/>
      <c r="N3244" s="473"/>
      <c r="O3244" s="535"/>
      <c r="P3244" s="459"/>
      <c r="R3244" s="512" t="str">
        <f t="shared" si="251"/>
        <v>DELETE</v>
      </c>
      <c r="S3244" s="513"/>
      <c r="T3244" s="513"/>
      <c r="U3244" s="513"/>
      <c r="V3244" s="513"/>
      <c r="W3244" s="513"/>
      <c r="X3244" s="513"/>
      <c r="Y3244" s="521"/>
      <c r="Z3244" s="521"/>
      <c r="AA3244" s="514"/>
      <c r="AB3244" s="39"/>
      <c r="AC3244" s="39"/>
      <c r="AD3244" s="39"/>
      <c r="AE3244" s="39"/>
      <c r="AF3244" s="39"/>
      <c r="AG3244" s="39"/>
      <c r="AH3244" s="39"/>
      <c r="AI3244" s="39"/>
      <c r="AJ3244" s="39"/>
      <c r="AK3244" s="39"/>
      <c r="AL3244" s="39"/>
      <c r="AM3244" s="39"/>
      <c r="AN3244" s="39"/>
      <c r="AO3244" s="39"/>
      <c r="AP3244" s="39"/>
      <c r="AQ3244" s="39"/>
      <c r="AR3244" s="39"/>
      <c r="AS3244" s="39"/>
      <c r="AT3244" s="39"/>
      <c r="AU3244" s="39"/>
      <c r="AV3244" s="39"/>
      <c r="AW3244" s="39"/>
      <c r="AX3244" s="39"/>
      <c r="AY3244" s="39"/>
    </row>
    <row r="3245" spans="2:51" s="449" customFormat="1" ht="31.5" customHeight="1" x14ac:dyDescent="0.45">
      <c r="B3245" s="465"/>
      <c r="C3245" s="503"/>
      <c r="D3245" s="466"/>
      <c r="E3245" s="466"/>
      <c r="F3245" s="466"/>
      <c r="G3245" s="466"/>
      <c r="H3245" s="466"/>
      <c r="I3245" s="466"/>
      <c r="J3245" s="511"/>
      <c r="M3245" s="635"/>
      <c r="N3245" s="621"/>
      <c r="O3245" s="635"/>
      <c r="P3245" s="506"/>
      <c r="Q3245" s="467"/>
      <c r="R3245" s="512" t="str">
        <f t="shared" si="251"/>
        <v>DELETE</v>
      </c>
      <c r="S3245" s="513"/>
      <c r="T3245" s="513"/>
      <c r="U3245" s="513"/>
      <c r="V3245" s="513"/>
      <c r="W3245" s="513"/>
      <c r="X3245" s="513"/>
      <c r="Y3245" s="521"/>
      <c r="Z3245" s="521"/>
      <c r="AA3245" s="514"/>
      <c r="AB3245" s="39"/>
      <c r="AC3245" s="39"/>
      <c r="AD3245" s="39"/>
      <c r="AE3245" s="39"/>
      <c r="AF3245" s="39"/>
      <c r="AG3245" s="39"/>
      <c r="AH3245" s="39"/>
      <c r="AI3245" s="39"/>
      <c r="AJ3245" s="39"/>
      <c r="AK3245" s="39"/>
      <c r="AL3245" s="39"/>
      <c r="AM3245" s="39"/>
      <c r="AN3245" s="39"/>
      <c r="AO3245" s="39"/>
      <c r="AP3245" s="39"/>
      <c r="AQ3245" s="39"/>
      <c r="AR3245" s="39"/>
      <c r="AS3245" s="39"/>
      <c r="AT3245" s="39"/>
      <c r="AU3245" s="39"/>
      <c r="AV3245" s="39"/>
      <c r="AW3245" s="39"/>
      <c r="AX3245" s="39"/>
      <c r="AY3245" s="39"/>
    </row>
    <row r="3246" spans="2:51" s="449" customFormat="1" ht="31.5" customHeight="1" x14ac:dyDescent="0.45">
      <c r="B3246" s="468"/>
      <c r="C3246" s="450"/>
      <c r="J3246" s="451"/>
      <c r="K3246" s="451"/>
      <c r="L3246" s="452"/>
      <c r="M3246" s="527"/>
      <c r="N3246" s="451"/>
      <c r="O3246" s="525">
        <f>Criteria!E22</f>
        <v>2024</v>
      </c>
      <c r="P3246" s="459"/>
      <c r="Q3246" s="469"/>
      <c r="R3246" s="512" t="str">
        <f t="shared" si="251"/>
        <v>DELETE</v>
      </c>
      <c r="S3246" s="513"/>
      <c r="T3246" s="513"/>
      <c r="U3246" s="513"/>
      <c r="V3246" s="513"/>
      <c r="W3246" s="513"/>
      <c r="X3246" s="513"/>
      <c r="Y3246" s="521"/>
      <c r="Z3246" s="521"/>
      <c r="AA3246" s="514"/>
      <c r="AB3246" s="39"/>
      <c r="AC3246" s="39"/>
      <c r="AD3246" s="39"/>
      <c r="AE3246" s="39"/>
      <c r="AF3246" s="39"/>
      <c r="AG3246" s="39"/>
      <c r="AH3246" s="39"/>
      <c r="AI3246" s="39"/>
      <c r="AJ3246" s="39"/>
      <c r="AK3246" s="39"/>
      <c r="AL3246" s="39"/>
      <c r="AM3246" s="39"/>
      <c r="AN3246" s="39"/>
      <c r="AO3246" s="39"/>
      <c r="AP3246" s="39"/>
      <c r="AQ3246" s="39"/>
      <c r="AR3246" s="39"/>
      <c r="AS3246" s="39"/>
      <c r="AT3246" s="39"/>
      <c r="AU3246" s="39"/>
      <c r="AV3246" s="39"/>
      <c r="AW3246" s="39"/>
      <c r="AX3246" s="39"/>
      <c r="AY3246" s="39"/>
    </row>
    <row r="3247" spans="2:51" s="449" customFormat="1" ht="31.5" customHeight="1" x14ac:dyDescent="0.45">
      <c r="B3247" s="468"/>
      <c r="C3247" s="450"/>
      <c r="J3247" s="451"/>
      <c r="K3247" s="451"/>
      <c r="L3247" s="452"/>
      <c r="M3247" s="527"/>
      <c r="N3247" s="451"/>
      <c r="O3247" s="531"/>
      <c r="P3247" s="459"/>
      <c r="Q3247" s="469"/>
      <c r="R3247" s="512" t="str">
        <f t="shared" si="251"/>
        <v>DELETE</v>
      </c>
      <c r="S3247" s="513"/>
      <c r="T3247" s="513"/>
      <c r="U3247" s="513"/>
      <c r="V3247" s="513"/>
      <c r="W3247" s="513"/>
      <c r="X3247" s="513"/>
      <c r="Y3247" s="521"/>
      <c r="Z3247" s="521"/>
      <c r="AA3247" s="514"/>
      <c r="AB3247" s="39"/>
      <c r="AC3247" s="39"/>
      <c r="AD3247" s="39"/>
      <c r="AE3247" s="39"/>
      <c r="AF3247" s="39"/>
      <c r="AG3247" s="39"/>
      <c r="AH3247" s="39"/>
      <c r="AI3247" s="39"/>
      <c r="AJ3247" s="39"/>
      <c r="AK3247" s="39"/>
      <c r="AL3247" s="39"/>
      <c r="AM3247" s="39"/>
      <c r="AN3247" s="39"/>
      <c r="AO3247" s="39"/>
      <c r="AP3247" s="39"/>
      <c r="AQ3247" s="39"/>
      <c r="AR3247" s="39"/>
      <c r="AS3247" s="39"/>
      <c r="AT3247" s="39"/>
      <c r="AU3247" s="39"/>
      <c r="AV3247" s="39"/>
      <c r="AW3247" s="39"/>
      <c r="AX3247" s="39"/>
      <c r="AY3247" s="39"/>
    </row>
    <row r="3248" spans="2:51" s="449" customFormat="1" ht="31.5" customHeight="1" x14ac:dyDescent="0.45">
      <c r="B3248" s="468"/>
      <c r="C3248" s="492" t="str">
        <f>IF(O3248&lt;0,"OPERATING LOSS","OPERATING PROFIT")</f>
        <v>OPERATING PROFIT</v>
      </c>
      <c r="J3248" s="451"/>
      <c r="K3248" s="451"/>
      <c r="L3248" s="452"/>
      <c r="M3248" s="527"/>
      <c r="N3248" s="451"/>
      <c r="O3248" s="531">
        <f>SUM(S3165:S3229)</f>
        <v>0</v>
      </c>
      <c r="P3248" s="459"/>
      <c r="Q3248" s="469"/>
      <c r="R3248" s="512" t="str">
        <f t="shared" si="251"/>
        <v>DELETE</v>
      </c>
      <c r="S3248" s="513"/>
      <c r="T3248" s="513"/>
      <c r="U3248" s="513" t="b">
        <f>O3248=O3232</f>
        <v>1</v>
      </c>
      <c r="V3248" s="513"/>
      <c r="W3248" s="513"/>
      <c r="X3248" s="513"/>
      <c r="Y3248" s="521"/>
      <c r="Z3248" s="521"/>
      <c r="AA3248" s="514"/>
      <c r="AB3248" s="39"/>
      <c r="AC3248" s="39"/>
      <c r="AD3248" s="39"/>
      <c r="AE3248" s="39"/>
      <c r="AF3248" s="39"/>
      <c r="AG3248" s="39"/>
      <c r="AH3248" s="39"/>
      <c r="AI3248" s="39"/>
      <c r="AJ3248" s="39"/>
      <c r="AK3248" s="39"/>
      <c r="AL3248" s="39"/>
      <c r="AM3248" s="39"/>
      <c r="AN3248" s="39"/>
      <c r="AO3248" s="39"/>
      <c r="AP3248" s="39"/>
      <c r="AQ3248" s="39"/>
      <c r="AR3248" s="39"/>
      <c r="AS3248" s="39"/>
      <c r="AT3248" s="39"/>
      <c r="AU3248" s="39"/>
      <c r="AV3248" s="39"/>
      <c r="AW3248" s="39"/>
      <c r="AX3248" s="39"/>
      <c r="AY3248" s="39"/>
    </row>
    <row r="3249" spans="2:51" s="449" customFormat="1" ht="31.5" customHeight="1" x14ac:dyDescent="0.45">
      <c r="B3249" s="468"/>
      <c r="C3249" s="450"/>
      <c r="D3249" s="449" t="s">
        <v>313</v>
      </c>
      <c r="J3249" s="451"/>
      <c r="K3249" s="451"/>
      <c r="L3249" s="452"/>
      <c r="M3249" s="527"/>
      <c r="N3249" s="451"/>
      <c r="O3249" s="531"/>
      <c r="P3249" s="459"/>
      <c r="Q3249" s="469"/>
      <c r="R3249" s="512" t="str">
        <f t="shared" si="251"/>
        <v>DELETE</v>
      </c>
      <c r="S3249" s="513"/>
      <c r="T3249" s="513"/>
      <c r="U3249" s="513"/>
      <c r="V3249" s="513"/>
      <c r="W3249" s="513"/>
      <c r="X3249" s="513"/>
      <c r="Y3249" s="521"/>
      <c r="Z3249" s="521"/>
      <c r="AA3249" s="514"/>
      <c r="AB3249" s="39"/>
      <c r="AC3249" s="39"/>
      <c r="AD3249" s="39"/>
      <c r="AE3249" s="39"/>
      <c r="AF3249" s="39"/>
      <c r="AG3249" s="39"/>
      <c r="AH3249" s="39"/>
      <c r="AI3249" s="39"/>
      <c r="AJ3249" s="39"/>
      <c r="AK3249" s="39"/>
      <c r="AL3249" s="39"/>
      <c r="AM3249" s="39"/>
      <c r="AN3249" s="39"/>
      <c r="AO3249" s="39"/>
      <c r="AP3249" s="39"/>
      <c r="AQ3249" s="39"/>
      <c r="AR3249" s="39"/>
      <c r="AS3249" s="39"/>
      <c r="AT3249" s="39"/>
      <c r="AU3249" s="39"/>
      <c r="AV3249" s="39"/>
      <c r="AW3249" s="39"/>
      <c r="AX3249" s="39"/>
      <c r="AY3249" s="39"/>
    </row>
    <row r="3250" spans="2:51" s="449" customFormat="1" ht="31.5" customHeight="1" x14ac:dyDescent="0.45">
      <c r="B3250" s="468"/>
      <c r="C3250" s="450"/>
      <c r="J3250" s="451"/>
      <c r="K3250" s="451"/>
      <c r="L3250" s="452"/>
      <c r="M3250" s="527"/>
      <c r="N3250" s="451"/>
      <c r="O3250" s="531"/>
      <c r="P3250" s="459"/>
      <c r="Q3250" s="469"/>
      <c r="R3250" s="512" t="str">
        <f t="shared" si="251"/>
        <v>DELETE</v>
      </c>
      <c r="S3250" s="513"/>
      <c r="T3250" s="513"/>
      <c r="U3250" s="513"/>
      <c r="V3250" s="513"/>
      <c r="W3250" s="513"/>
      <c r="X3250" s="513"/>
      <c r="Y3250" s="521"/>
      <c r="Z3250" s="521"/>
      <c r="AA3250" s="514"/>
      <c r="AB3250" s="39"/>
      <c r="AC3250" s="39"/>
      <c r="AD3250" s="39"/>
      <c r="AE3250" s="39"/>
      <c r="AF3250" s="39"/>
      <c r="AG3250" s="39"/>
      <c r="AH3250" s="39"/>
      <c r="AI3250" s="39"/>
      <c r="AJ3250" s="39"/>
      <c r="AK3250" s="39"/>
      <c r="AL3250" s="39"/>
      <c r="AM3250" s="39"/>
      <c r="AN3250" s="39"/>
      <c r="AO3250" s="39"/>
      <c r="AP3250" s="39"/>
      <c r="AQ3250" s="39"/>
      <c r="AR3250" s="39"/>
      <c r="AS3250" s="39"/>
      <c r="AT3250" s="39"/>
      <c r="AU3250" s="39"/>
      <c r="AV3250" s="39"/>
      <c r="AW3250" s="39"/>
      <c r="AX3250" s="39"/>
      <c r="AY3250" s="39"/>
    </row>
    <row r="3251" spans="2:51" s="449" customFormat="1" ht="31.5" customHeight="1" x14ac:dyDescent="0.45">
      <c r="B3251" s="468"/>
      <c r="C3251" s="450" t="s">
        <v>1307</v>
      </c>
      <c r="J3251" s="451"/>
      <c r="K3251" s="451"/>
      <c r="L3251" s="452"/>
      <c r="M3251" s="527"/>
      <c r="N3251" s="451"/>
      <c r="O3251" s="531">
        <f>SUM(O3254:O3287)</f>
        <v>0</v>
      </c>
      <c r="P3251" s="459"/>
      <c r="Q3251" s="469"/>
      <c r="R3251" s="512" t="str">
        <f t="shared" ref="R3251" si="252">IF(R$3153="DELETE","DELETE",IF(O3251=0,"DELETE"," "))</f>
        <v>DELETE</v>
      </c>
      <c r="S3251" s="517">
        <f>-O3251</f>
        <v>0</v>
      </c>
      <c r="T3251" s="517"/>
      <c r="U3251" s="517"/>
      <c r="V3251" s="517"/>
      <c r="W3251" s="513"/>
      <c r="X3251" s="513"/>
      <c r="Y3251" s="521"/>
      <c r="Z3251" s="521"/>
      <c r="AA3251" s="514"/>
      <c r="AB3251" s="39"/>
      <c r="AC3251" s="39"/>
      <c r="AD3251" s="39"/>
      <c r="AE3251" s="39"/>
      <c r="AF3251" s="39"/>
      <c r="AG3251" s="39"/>
      <c r="AH3251" s="39"/>
      <c r="AI3251" s="39"/>
      <c r="AJ3251" s="39"/>
      <c r="AK3251" s="39"/>
      <c r="AL3251" s="39"/>
      <c r="AM3251" s="39"/>
      <c r="AN3251" s="39"/>
      <c r="AO3251" s="39"/>
      <c r="AP3251" s="39"/>
      <c r="AQ3251" s="39"/>
      <c r="AR3251" s="39"/>
      <c r="AS3251" s="39"/>
      <c r="AT3251" s="39"/>
      <c r="AU3251" s="39"/>
      <c r="AV3251" s="39"/>
      <c r="AW3251" s="39"/>
      <c r="AX3251" s="39"/>
      <c r="AY3251" s="39"/>
    </row>
    <row r="3252" spans="2:51" s="449" customFormat="1" ht="9" customHeight="1" x14ac:dyDescent="0.45">
      <c r="B3252" s="468"/>
      <c r="C3252" s="450"/>
      <c r="J3252" s="451"/>
      <c r="K3252" s="451"/>
      <c r="L3252" s="452"/>
      <c r="M3252" s="527"/>
      <c r="N3252" s="451"/>
      <c r="O3252" s="531"/>
      <c r="P3252" s="459"/>
      <c r="Q3252" s="469"/>
      <c r="R3252" s="512" t="str">
        <f>R3251</f>
        <v>DELETE</v>
      </c>
      <c r="S3252" s="513"/>
      <c r="T3252" s="513"/>
      <c r="U3252" s="513"/>
      <c r="V3252" s="513"/>
      <c r="W3252" s="513"/>
      <c r="X3252" s="513"/>
      <c r="Y3252" s="521"/>
      <c r="Z3252" s="521"/>
      <c r="AA3252" s="514"/>
      <c r="AB3252" s="39"/>
      <c r="AC3252" s="39"/>
      <c r="AD3252" s="39"/>
      <c r="AE3252" s="39"/>
      <c r="AF3252" s="39"/>
      <c r="AG3252" s="39"/>
      <c r="AH3252" s="39"/>
      <c r="AI3252" s="39"/>
      <c r="AJ3252" s="39"/>
      <c r="AK3252" s="39"/>
      <c r="AL3252" s="39"/>
      <c r="AM3252" s="39"/>
      <c r="AN3252" s="39"/>
      <c r="AO3252" s="39"/>
      <c r="AP3252" s="39"/>
      <c r="AQ3252" s="39"/>
      <c r="AR3252" s="39"/>
      <c r="AS3252" s="39"/>
      <c r="AT3252" s="39"/>
      <c r="AU3252" s="39"/>
      <c r="AV3252" s="39"/>
      <c r="AW3252" s="39"/>
      <c r="AX3252" s="39"/>
      <c r="AY3252" s="39"/>
    </row>
    <row r="3253" spans="2:51" s="449" customFormat="1" ht="9" customHeight="1" x14ac:dyDescent="0.45">
      <c r="B3253" s="468"/>
      <c r="C3253" s="450"/>
      <c r="J3253" s="451"/>
      <c r="K3253" s="451"/>
      <c r="L3253" s="452"/>
      <c r="M3253" s="527"/>
      <c r="N3253" s="451"/>
      <c r="O3253" s="558"/>
      <c r="P3253" s="459"/>
      <c r="Q3253" s="469"/>
      <c r="R3253" s="512" t="str">
        <f>R3252</f>
        <v>DELETE</v>
      </c>
      <c r="S3253" s="513"/>
      <c r="T3253" s="513"/>
      <c r="U3253" s="513"/>
      <c r="V3253" s="513"/>
      <c r="W3253" s="513"/>
      <c r="X3253" s="513"/>
      <c r="Y3253" s="521"/>
      <c r="Z3253" s="521"/>
      <c r="AA3253" s="514"/>
      <c r="AB3253" s="39"/>
      <c r="AC3253" s="39"/>
      <c r="AD3253" s="39"/>
      <c r="AE3253" s="39"/>
      <c r="AF3253" s="39"/>
      <c r="AG3253" s="39"/>
      <c r="AH3253" s="39"/>
      <c r="AI3253" s="39"/>
      <c r="AJ3253" s="39"/>
      <c r="AK3253" s="39"/>
      <c r="AL3253" s="39"/>
      <c r="AM3253" s="39"/>
      <c r="AN3253" s="39"/>
      <c r="AO3253" s="39"/>
      <c r="AP3253" s="39"/>
      <c r="AQ3253" s="39"/>
      <c r="AR3253" s="39"/>
      <c r="AS3253" s="39"/>
      <c r="AT3253" s="39"/>
      <c r="AU3253" s="39"/>
      <c r="AV3253" s="39"/>
      <c r="AW3253" s="39"/>
      <c r="AX3253" s="39"/>
      <c r="AY3253" s="39"/>
    </row>
    <row r="3254" spans="2:51" s="449" customFormat="1" ht="31.5" customHeight="1" x14ac:dyDescent="0.45">
      <c r="B3254" s="468"/>
      <c r="C3254" s="450"/>
      <c r="D3254" s="449" t="s">
        <v>253</v>
      </c>
      <c r="J3254" s="451"/>
      <c r="K3254" s="451"/>
      <c r="L3254" s="452"/>
      <c r="M3254" s="527"/>
      <c r="N3254" s="451"/>
      <c r="O3254" s="559">
        <f>SUM(TrialBalanceC!I98:I101)</f>
        <v>0</v>
      </c>
      <c r="P3254" s="459"/>
      <c r="Q3254" s="469"/>
      <c r="R3254" s="512" t="str">
        <f t="shared" ref="R3254:R3285" si="253">IF(R$3153="DELETE","DELETE",IF(O3254=0,"DELETE"," "))</f>
        <v>DELETE</v>
      </c>
      <c r="S3254" s="513"/>
      <c r="T3254" s="513"/>
      <c r="U3254" s="513"/>
      <c r="V3254" s="513"/>
      <c r="W3254" s="513"/>
      <c r="X3254" s="513"/>
      <c r="Y3254" s="521"/>
      <c r="Z3254" s="521"/>
      <c r="AA3254" s="514"/>
      <c r="AB3254" s="39"/>
      <c r="AC3254" s="39"/>
      <c r="AD3254" s="39"/>
      <c r="AE3254" s="39"/>
      <c r="AF3254" s="39"/>
      <c r="AG3254" s="39"/>
      <c r="AH3254" s="39"/>
      <c r="AI3254" s="39"/>
      <c r="AJ3254" s="39"/>
      <c r="AK3254" s="39"/>
      <c r="AL3254" s="39"/>
      <c r="AM3254" s="39"/>
      <c r="AN3254" s="39"/>
      <c r="AO3254" s="39"/>
      <c r="AP3254" s="39"/>
      <c r="AQ3254" s="39"/>
      <c r="AR3254" s="39"/>
      <c r="AS3254" s="39"/>
      <c r="AT3254" s="39"/>
      <c r="AU3254" s="39"/>
      <c r="AV3254" s="39"/>
      <c r="AW3254" s="39"/>
      <c r="AX3254" s="39"/>
      <c r="AY3254" s="39"/>
    </row>
    <row r="3255" spans="2:51" s="449" customFormat="1" ht="31.5" customHeight="1" x14ac:dyDescent="0.45">
      <c r="B3255" s="468"/>
      <c r="C3255" s="450"/>
      <c r="D3255" s="449" t="s">
        <v>255</v>
      </c>
      <c r="J3255" s="451"/>
      <c r="K3255" s="451"/>
      <c r="L3255" s="452"/>
      <c r="M3255" s="527"/>
      <c r="N3255" s="451"/>
      <c r="O3255" s="559">
        <f>TrialBalanceC!I102</f>
        <v>0</v>
      </c>
      <c r="P3255" s="459"/>
      <c r="Q3255" s="469"/>
      <c r="R3255" s="512" t="str">
        <f t="shared" si="253"/>
        <v>DELETE</v>
      </c>
      <c r="S3255" s="513"/>
      <c r="T3255" s="513"/>
      <c r="U3255" s="513"/>
      <c r="V3255" s="513"/>
      <c r="W3255" s="513"/>
      <c r="X3255" s="513"/>
      <c r="Y3255" s="521"/>
      <c r="Z3255" s="521"/>
      <c r="AA3255" s="514"/>
      <c r="AB3255" s="39"/>
      <c r="AC3255" s="39"/>
      <c r="AD3255" s="39"/>
      <c r="AE3255" s="39"/>
      <c r="AF3255" s="39"/>
      <c r="AG3255" s="39"/>
      <c r="AH3255" s="39"/>
      <c r="AI3255" s="39"/>
      <c r="AJ3255" s="39"/>
      <c r="AK3255" s="39"/>
      <c r="AL3255" s="39"/>
      <c r="AM3255" s="39"/>
      <c r="AN3255" s="39"/>
      <c r="AO3255" s="39"/>
      <c r="AP3255" s="39"/>
      <c r="AQ3255" s="39"/>
      <c r="AR3255" s="39"/>
      <c r="AS3255" s="39"/>
      <c r="AT3255" s="39"/>
      <c r="AU3255" s="39"/>
      <c r="AV3255" s="39"/>
      <c r="AW3255" s="39"/>
      <c r="AX3255" s="39"/>
      <c r="AY3255" s="39"/>
    </row>
    <row r="3256" spans="2:51" s="449" customFormat="1" ht="31.5" customHeight="1" x14ac:dyDescent="0.45">
      <c r="B3256" s="468"/>
      <c r="C3256" s="450"/>
      <c r="D3256" s="449" t="s">
        <v>257</v>
      </c>
      <c r="J3256" s="451"/>
      <c r="K3256" s="451"/>
      <c r="L3256" s="452"/>
      <c r="M3256" s="527"/>
      <c r="N3256" s="451"/>
      <c r="O3256" s="559">
        <f>TrialBalanceC!I103</f>
        <v>0</v>
      </c>
      <c r="P3256" s="459"/>
      <c r="Q3256" s="469"/>
      <c r="R3256" s="512" t="str">
        <f t="shared" si="253"/>
        <v>DELETE</v>
      </c>
      <c r="S3256" s="513"/>
      <c r="T3256" s="513"/>
      <c r="U3256" s="513"/>
      <c r="V3256" s="513"/>
      <c r="W3256" s="513"/>
      <c r="X3256" s="513"/>
      <c r="Y3256" s="521"/>
      <c r="Z3256" s="521"/>
      <c r="AA3256" s="514"/>
      <c r="AB3256" s="39"/>
      <c r="AC3256" s="39"/>
      <c r="AD3256" s="39"/>
      <c r="AE3256" s="39"/>
      <c r="AF3256" s="39"/>
      <c r="AG3256" s="39"/>
      <c r="AH3256" s="39"/>
      <c r="AI3256" s="39"/>
      <c r="AJ3256" s="39"/>
      <c r="AK3256" s="39"/>
      <c r="AL3256" s="39"/>
      <c r="AM3256" s="39"/>
      <c r="AN3256" s="39"/>
      <c r="AO3256" s="39"/>
      <c r="AP3256" s="39"/>
      <c r="AQ3256" s="39"/>
      <c r="AR3256" s="39"/>
      <c r="AS3256" s="39"/>
      <c r="AT3256" s="39"/>
      <c r="AU3256" s="39"/>
      <c r="AV3256" s="39"/>
      <c r="AW3256" s="39"/>
      <c r="AX3256" s="39"/>
      <c r="AY3256" s="39"/>
    </row>
    <row r="3257" spans="2:51" s="449" customFormat="1" ht="31.5" customHeight="1" x14ac:dyDescent="0.45">
      <c r="B3257" s="468"/>
      <c r="C3257" s="450"/>
      <c r="D3257" s="449" t="s">
        <v>314</v>
      </c>
      <c r="J3257" s="451"/>
      <c r="K3257" s="451"/>
      <c r="L3257" s="452"/>
      <c r="M3257" s="527"/>
      <c r="N3257" s="451"/>
      <c r="O3257" s="559">
        <f>TrialBalanceC!I104</f>
        <v>0</v>
      </c>
      <c r="P3257" s="459"/>
      <c r="Q3257" s="469"/>
      <c r="R3257" s="512" t="str">
        <f t="shared" si="253"/>
        <v>DELETE</v>
      </c>
      <c r="S3257" s="513"/>
      <c r="T3257" s="513"/>
      <c r="U3257" s="513"/>
      <c r="V3257" s="513"/>
      <c r="W3257" s="513"/>
      <c r="X3257" s="513"/>
      <c r="Y3257" s="521"/>
      <c r="Z3257" s="521"/>
      <c r="AA3257" s="514"/>
      <c r="AB3257" s="39"/>
      <c r="AC3257" s="39"/>
      <c r="AD3257" s="39"/>
      <c r="AE3257" s="39"/>
      <c r="AF3257" s="39"/>
      <c r="AG3257" s="39"/>
      <c r="AH3257" s="39"/>
      <c r="AI3257" s="39"/>
      <c r="AJ3257" s="39"/>
      <c r="AK3257" s="39"/>
      <c r="AL3257" s="39"/>
      <c r="AM3257" s="39"/>
      <c r="AN3257" s="39"/>
      <c r="AO3257" s="39"/>
      <c r="AP3257" s="39"/>
      <c r="AQ3257" s="39"/>
      <c r="AR3257" s="39"/>
      <c r="AS3257" s="39"/>
      <c r="AT3257" s="39"/>
      <c r="AU3257" s="39"/>
      <c r="AV3257" s="39"/>
      <c r="AW3257" s="39"/>
      <c r="AX3257" s="39"/>
      <c r="AY3257" s="39"/>
    </row>
    <row r="3258" spans="2:51" s="449" customFormat="1" ht="31.5" customHeight="1" x14ac:dyDescent="0.45">
      <c r="B3258" s="468"/>
      <c r="C3258" s="450"/>
      <c r="D3258" s="449" t="s">
        <v>260</v>
      </c>
      <c r="J3258" s="451"/>
      <c r="K3258" s="451"/>
      <c r="L3258" s="452"/>
      <c r="M3258" s="527"/>
      <c r="N3258" s="451"/>
      <c r="O3258" s="559">
        <f>TrialBalanceC!I105</f>
        <v>0</v>
      </c>
      <c r="P3258" s="459"/>
      <c r="Q3258" s="469"/>
      <c r="R3258" s="512" t="str">
        <f t="shared" si="253"/>
        <v>DELETE</v>
      </c>
      <c r="S3258" s="513"/>
      <c r="T3258" s="513"/>
      <c r="U3258" s="513"/>
      <c r="V3258" s="513"/>
      <c r="W3258" s="513"/>
      <c r="X3258" s="513"/>
      <c r="Y3258" s="521"/>
      <c r="Z3258" s="521"/>
      <c r="AA3258" s="514"/>
      <c r="AB3258" s="39"/>
      <c r="AC3258" s="39"/>
      <c r="AD3258" s="39"/>
      <c r="AE3258" s="39"/>
      <c r="AF3258" s="39"/>
      <c r="AG3258" s="39"/>
      <c r="AH3258" s="39"/>
      <c r="AI3258" s="39"/>
      <c r="AJ3258" s="39"/>
      <c r="AK3258" s="39"/>
      <c r="AL3258" s="39"/>
      <c r="AM3258" s="39"/>
      <c r="AN3258" s="39"/>
      <c r="AO3258" s="39"/>
      <c r="AP3258" s="39"/>
      <c r="AQ3258" s="39"/>
      <c r="AR3258" s="39"/>
      <c r="AS3258" s="39"/>
      <c r="AT3258" s="39"/>
      <c r="AU3258" s="39"/>
      <c r="AV3258" s="39"/>
      <c r="AW3258" s="39"/>
      <c r="AX3258" s="39"/>
      <c r="AY3258" s="39"/>
    </row>
    <row r="3259" spans="2:51" s="449" customFormat="1" ht="31.5" customHeight="1" x14ac:dyDescent="0.45">
      <c r="B3259" s="468"/>
      <c r="C3259" s="450"/>
      <c r="D3259" s="449" t="s">
        <v>935</v>
      </c>
      <c r="J3259" s="451"/>
      <c r="K3259" s="451"/>
      <c r="L3259" s="452"/>
      <c r="M3259" s="527"/>
      <c r="N3259" s="451"/>
      <c r="O3259" s="559">
        <f>TrialBalanceC!I106</f>
        <v>0</v>
      </c>
      <c r="P3259" s="459"/>
      <c r="Q3259" s="469"/>
      <c r="R3259" s="512" t="str">
        <f t="shared" si="253"/>
        <v>DELETE</v>
      </c>
      <c r="S3259" s="513"/>
      <c r="T3259" s="513"/>
      <c r="U3259" s="513"/>
      <c r="V3259" s="513"/>
      <c r="W3259" s="513"/>
      <c r="X3259" s="513"/>
      <c r="Y3259" s="521"/>
      <c r="Z3259" s="521"/>
      <c r="AA3259" s="514"/>
      <c r="AB3259" s="39"/>
      <c r="AC3259" s="39"/>
      <c r="AD3259" s="39"/>
      <c r="AE3259" s="39"/>
      <c r="AF3259" s="39"/>
      <c r="AG3259" s="39"/>
      <c r="AH3259" s="39"/>
      <c r="AI3259" s="39"/>
      <c r="AJ3259" s="39"/>
      <c r="AK3259" s="39"/>
      <c r="AL3259" s="39"/>
      <c r="AM3259" s="39"/>
      <c r="AN3259" s="39"/>
      <c r="AO3259" s="39"/>
      <c r="AP3259" s="39"/>
      <c r="AQ3259" s="39"/>
      <c r="AR3259" s="39"/>
      <c r="AS3259" s="39"/>
      <c r="AT3259" s="39"/>
      <c r="AU3259" s="39"/>
      <c r="AV3259" s="39"/>
      <c r="AW3259" s="39"/>
      <c r="AX3259" s="39"/>
      <c r="AY3259" s="39"/>
    </row>
    <row r="3260" spans="2:51" s="449" customFormat="1" ht="31.5" customHeight="1" x14ac:dyDescent="0.45">
      <c r="B3260" s="468"/>
      <c r="C3260" s="450"/>
      <c r="D3260" s="449" t="s">
        <v>337</v>
      </c>
      <c r="J3260" s="451"/>
      <c r="K3260" s="451">
        <f>C$1164</f>
        <v>4.2999999999999989</v>
      </c>
      <c r="L3260" s="452"/>
      <c r="M3260" s="527"/>
      <c r="N3260" s="451"/>
      <c r="O3260" s="559">
        <f>SUM(TrialBalanceC!I108:I109)</f>
        <v>0</v>
      </c>
      <c r="P3260" s="459"/>
      <c r="Q3260" s="469"/>
      <c r="R3260" s="512" t="str">
        <f t="shared" si="253"/>
        <v>DELETE</v>
      </c>
      <c r="S3260" s="513"/>
      <c r="T3260" s="513"/>
      <c r="U3260" s="513"/>
      <c r="V3260" s="513"/>
      <c r="W3260" s="513"/>
      <c r="X3260" s="513"/>
      <c r="Y3260" s="521"/>
      <c r="Z3260" s="521"/>
      <c r="AA3260" s="514"/>
      <c r="AB3260" s="39"/>
      <c r="AC3260" s="39"/>
      <c r="AD3260" s="39"/>
      <c r="AE3260" s="39"/>
      <c r="AF3260" s="39"/>
      <c r="AG3260" s="39"/>
      <c r="AH3260" s="39"/>
      <c r="AI3260" s="39"/>
      <c r="AJ3260" s="39"/>
      <c r="AK3260" s="39"/>
      <c r="AL3260" s="39"/>
      <c r="AM3260" s="39"/>
      <c r="AN3260" s="39"/>
      <c r="AO3260" s="39"/>
      <c r="AP3260" s="39"/>
      <c r="AQ3260" s="39"/>
      <c r="AR3260" s="39"/>
      <c r="AS3260" s="39"/>
      <c r="AT3260" s="39"/>
      <c r="AU3260" s="39"/>
      <c r="AV3260" s="39"/>
      <c r="AW3260" s="39"/>
      <c r="AX3260" s="39"/>
      <c r="AY3260" s="39"/>
    </row>
    <row r="3261" spans="2:51" s="449" customFormat="1" ht="31.5" customHeight="1" x14ac:dyDescent="0.45">
      <c r="B3261" s="468"/>
      <c r="C3261" s="450"/>
      <c r="D3261" s="449" t="str">
        <f>IF(MAX(Criteria!I41:I45)&gt;1,"Directors' remuneration","Director's remuneration")</f>
        <v>Directors' remuneration</v>
      </c>
      <c r="J3261" s="451"/>
      <c r="K3261" s="451">
        <f>C$1105</f>
        <v>4.0999999999999996</v>
      </c>
      <c r="L3261" s="452"/>
      <c r="M3261" s="527"/>
      <c r="N3261" s="451"/>
      <c r="O3261" s="559">
        <f>SUM(TrialBalanceC!I111:I115)</f>
        <v>0</v>
      </c>
      <c r="P3261" s="459"/>
      <c r="Q3261" s="469"/>
      <c r="R3261" s="512" t="str">
        <f t="shared" si="253"/>
        <v>DELETE</v>
      </c>
      <c r="S3261" s="513"/>
      <c r="T3261" s="513"/>
      <c r="U3261" s="513"/>
      <c r="V3261" s="513"/>
      <c r="W3261" s="513"/>
      <c r="X3261" s="513"/>
      <c r="Y3261" s="521"/>
      <c r="Z3261" s="521"/>
      <c r="AA3261" s="514"/>
      <c r="AB3261" s="39"/>
      <c r="AC3261" s="39"/>
      <c r="AD3261" s="39"/>
      <c r="AE3261" s="39"/>
      <c r="AF3261" s="39"/>
      <c r="AG3261" s="39"/>
      <c r="AH3261" s="39"/>
      <c r="AI3261" s="39"/>
      <c r="AJ3261" s="39"/>
      <c r="AK3261" s="39"/>
      <c r="AL3261" s="39"/>
      <c r="AM3261" s="39"/>
      <c r="AN3261" s="39"/>
      <c r="AO3261" s="39"/>
      <c r="AP3261" s="39"/>
      <c r="AQ3261" s="39"/>
      <c r="AR3261" s="39"/>
      <c r="AS3261" s="39"/>
      <c r="AT3261" s="39"/>
      <c r="AU3261" s="39"/>
      <c r="AV3261" s="39"/>
      <c r="AW3261" s="39"/>
      <c r="AX3261" s="39"/>
      <c r="AY3261" s="39"/>
    </row>
    <row r="3262" spans="2:51" s="449" customFormat="1" ht="31.5" customHeight="1" x14ac:dyDescent="0.45">
      <c r="B3262" s="468"/>
      <c r="C3262" s="450"/>
      <c r="D3262" s="449" t="s">
        <v>315</v>
      </c>
      <c r="J3262" s="451"/>
      <c r="K3262" s="451"/>
      <c r="L3262" s="452"/>
      <c r="M3262" s="527"/>
      <c r="N3262" s="451"/>
      <c r="O3262" s="559">
        <f>TrialBalanceC!I116</f>
        <v>0</v>
      </c>
      <c r="P3262" s="459"/>
      <c r="Q3262" s="469"/>
      <c r="R3262" s="512" t="str">
        <f t="shared" si="253"/>
        <v>DELETE</v>
      </c>
      <c r="S3262" s="513"/>
      <c r="T3262" s="513"/>
      <c r="U3262" s="513"/>
      <c r="V3262" s="513"/>
      <c r="W3262" s="513"/>
      <c r="X3262" s="513"/>
      <c r="Y3262" s="521"/>
      <c r="Z3262" s="521"/>
      <c r="AA3262" s="514"/>
      <c r="AB3262" s="39"/>
      <c r="AC3262" s="39"/>
      <c r="AD3262" s="39"/>
      <c r="AE3262" s="39"/>
      <c r="AF3262" s="39"/>
      <c r="AG3262" s="39"/>
      <c r="AH3262" s="39"/>
      <c r="AI3262" s="39"/>
      <c r="AJ3262" s="39"/>
      <c r="AK3262" s="39"/>
      <c r="AL3262" s="39"/>
      <c r="AM3262" s="39"/>
      <c r="AN3262" s="39"/>
      <c r="AO3262" s="39"/>
      <c r="AP3262" s="39"/>
      <c r="AQ3262" s="39"/>
      <c r="AR3262" s="39"/>
      <c r="AS3262" s="39"/>
      <c r="AT3262" s="39"/>
      <c r="AU3262" s="39"/>
      <c r="AV3262" s="39"/>
      <c r="AW3262" s="39"/>
      <c r="AX3262" s="39"/>
      <c r="AY3262" s="39"/>
    </row>
    <row r="3263" spans="2:51" s="449" customFormat="1" ht="31.5" customHeight="1" x14ac:dyDescent="0.45">
      <c r="B3263" s="468"/>
      <c r="C3263" s="450"/>
      <c r="D3263" s="449" t="s">
        <v>443</v>
      </c>
      <c r="J3263" s="451"/>
      <c r="K3263" s="451"/>
      <c r="L3263" s="452"/>
      <c r="M3263" s="527"/>
      <c r="N3263" s="451"/>
      <c r="O3263" s="559">
        <f>TrialBalanceC!I117</f>
        <v>0</v>
      </c>
      <c r="P3263" s="459"/>
      <c r="Q3263" s="469"/>
      <c r="R3263" s="512" t="str">
        <f t="shared" si="253"/>
        <v>DELETE</v>
      </c>
      <c r="S3263" s="513"/>
      <c r="T3263" s="513"/>
      <c r="U3263" s="513"/>
      <c r="V3263" s="513"/>
      <c r="W3263" s="513"/>
      <c r="X3263" s="513"/>
      <c r="Y3263" s="521"/>
      <c r="Z3263" s="521"/>
      <c r="AA3263" s="514"/>
      <c r="AB3263" s="39"/>
      <c r="AC3263" s="39"/>
      <c r="AD3263" s="39"/>
      <c r="AE3263" s="39"/>
      <c r="AF3263" s="39"/>
      <c r="AG3263" s="39"/>
      <c r="AH3263" s="39"/>
      <c r="AI3263" s="39"/>
      <c r="AJ3263" s="39"/>
      <c r="AK3263" s="39"/>
      <c r="AL3263" s="39"/>
      <c r="AM3263" s="39"/>
      <c r="AN3263" s="39"/>
      <c r="AO3263" s="39"/>
      <c r="AP3263" s="39"/>
      <c r="AQ3263" s="39"/>
      <c r="AR3263" s="39"/>
      <c r="AS3263" s="39"/>
      <c r="AT3263" s="39"/>
      <c r="AU3263" s="39"/>
      <c r="AV3263" s="39"/>
      <c r="AW3263" s="39"/>
      <c r="AX3263" s="39"/>
      <c r="AY3263" s="39"/>
    </row>
    <row r="3264" spans="2:51" s="449" customFormat="1" ht="31.5" customHeight="1" x14ac:dyDescent="0.45">
      <c r="B3264" s="468"/>
      <c r="C3264" s="450"/>
      <c r="D3264" s="449" t="s">
        <v>392</v>
      </c>
      <c r="J3264" s="451"/>
      <c r="K3264" s="451"/>
      <c r="L3264" s="452"/>
      <c r="M3264" s="527"/>
      <c r="N3264" s="451"/>
      <c r="O3264" s="559">
        <f>TrialBalanceC!I118</f>
        <v>0</v>
      </c>
      <c r="P3264" s="459"/>
      <c r="Q3264" s="469"/>
      <c r="R3264" s="512" t="str">
        <f t="shared" si="253"/>
        <v>DELETE</v>
      </c>
      <c r="S3264" s="513"/>
      <c r="T3264" s="513"/>
      <c r="U3264" s="513"/>
      <c r="V3264" s="513"/>
      <c r="W3264" s="513"/>
      <c r="X3264" s="513"/>
      <c r="Y3264" s="521"/>
      <c r="Z3264" s="521"/>
      <c r="AA3264" s="514"/>
      <c r="AB3264" s="39"/>
      <c r="AC3264" s="39"/>
      <c r="AD3264" s="39"/>
      <c r="AE3264" s="39"/>
      <c r="AF3264" s="39"/>
      <c r="AG3264" s="39"/>
      <c r="AH3264" s="39"/>
      <c r="AI3264" s="39"/>
      <c r="AJ3264" s="39"/>
      <c r="AK3264" s="39"/>
      <c r="AL3264" s="39"/>
      <c r="AM3264" s="39"/>
      <c r="AN3264" s="39"/>
      <c r="AO3264" s="39"/>
      <c r="AP3264" s="39"/>
      <c r="AQ3264" s="39"/>
      <c r="AR3264" s="39"/>
      <c r="AS3264" s="39"/>
      <c r="AT3264" s="39"/>
      <c r="AU3264" s="39"/>
      <c r="AV3264" s="39"/>
      <c r="AW3264" s="39"/>
      <c r="AX3264" s="39"/>
      <c r="AY3264" s="39"/>
    </row>
    <row r="3265" spans="2:51" s="449" customFormat="1" ht="31.5" customHeight="1" x14ac:dyDescent="0.45">
      <c r="B3265" s="468"/>
      <c r="C3265" s="450"/>
      <c r="D3265" s="449" t="s">
        <v>445</v>
      </c>
      <c r="J3265" s="451"/>
      <c r="K3265" s="451"/>
      <c r="L3265" s="452"/>
      <c r="M3265" s="527"/>
      <c r="N3265" s="451"/>
      <c r="O3265" s="559">
        <f>TrialBalanceC!I119</f>
        <v>0</v>
      </c>
      <c r="P3265" s="459"/>
      <c r="Q3265" s="469"/>
      <c r="R3265" s="512" t="str">
        <f t="shared" si="253"/>
        <v>DELETE</v>
      </c>
      <c r="S3265" s="513"/>
      <c r="T3265" s="513"/>
      <c r="U3265" s="513"/>
      <c r="V3265" s="513"/>
      <c r="W3265" s="513"/>
      <c r="X3265" s="513"/>
      <c r="Y3265" s="521"/>
      <c r="Z3265" s="521"/>
      <c r="AA3265" s="514"/>
      <c r="AB3265" s="39"/>
      <c r="AC3265" s="39"/>
      <c r="AD3265" s="39"/>
      <c r="AE3265" s="39"/>
      <c r="AF3265" s="39"/>
      <c r="AG3265" s="39"/>
      <c r="AH3265" s="39"/>
      <c r="AI3265" s="39"/>
      <c r="AJ3265" s="39"/>
      <c r="AK3265" s="39"/>
      <c r="AL3265" s="39"/>
      <c r="AM3265" s="39"/>
      <c r="AN3265" s="39"/>
      <c r="AO3265" s="39"/>
      <c r="AP3265" s="39"/>
      <c r="AQ3265" s="39"/>
      <c r="AR3265" s="39"/>
      <c r="AS3265" s="39"/>
      <c r="AT3265" s="39"/>
      <c r="AU3265" s="39"/>
      <c r="AV3265" s="39"/>
      <c r="AW3265" s="39"/>
      <c r="AX3265" s="39"/>
      <c r="AY3265" s="39"/>
    </row>
    <row r="3266" spans="2:51" s="449" customFormat="1" ht="31.5" customHeight="1" x14ac:dyDescent="0.45">
      <c r="B3266" s="468"/>
      <c r="C3266" s="450"/>
      <c r="D3266" s="449" t="s">
        <v>1486</v>
      </c>
      <c r="J3266" s="451"/>
      <c r="K3266" s="451"/>
      <c r="L3266" s="452"/>
      <c r="M3266" s="527"/>
      <c r="N3266" s="451"/>
      <c r="O3266" s="559">
        <f>TrialBalanceC!I154</f>
        <v>0</v>
      </c>
      <c r="P3266" s="459"/>
      <c r="Q3266" s="469"/>
      <c r="R3266" s="512" t="str">
        <f>IF(R$3153="DELETE","DELETE",IF(O3266=0,"DELETE"," "))</f>
        <v>DELETE</v>
      </c>
      <c r="S3266" s="513"/>
      <c r="T3266" s="513"/>
      <c r="U3266" s="513"/>
      <c r="V3266" s="513"/>
      <c r="W3266" s="513"/>
      <c r="X3266" s="513"/>
      <c r="Y3266" s="521"/>
      <c r="Z3266" s="521"/>
      <c r="AA3266" s="514"/>
      <c r="AB3266" s="39"/>
      <c r="AC3266" s="39"/>
      <c r="AD3266" s="39"/>
      <c r="AE3266" s="39"/>
      <c r="AF3266" s="39"/>
      <c r="AG3266" s="39"/>
      <c r="AH3266" s="39"/>
      <c r="AI3266" s="39"/>
      <c r="AJ3266" s="39"/>
      <c r="AK3266" s="39"/>
      <c r="AL3266" s="39"/>
      <c r="AM3266" s="39"/>
      <c r="AN3266" s="39"/>
      <c r="AO3266" s="39"/>
      <c r="AP3266" s="39"/>
      <c r="AQ3266" s="39"/>
      <c r="AR3266" s="39"/>
      <c r="AS3266" s="39"/>
      <c r="AT3266" s="39"/>
      <c r="AU3266" s="39"/>
      <c r="AV3266" s="39"/>
      <c r="AW3266" s="39"/>
      <c r="AX3266" s="39"/>
      <c r="AY3266" s="39"/>
    </row>
    <row r="3267" spans="2:51" s="449" customFormat="1" ht="31.5" customHeight="1" x14ac:dyDescent="0.45">
      <c r="B3267" s="468"/>
      <c r="C3267" s="450"/>
      <c r="D3267" s="449" t="s">
        <v>605</v>
      </c>
      <c r="J3267" s="451"/>
      <c r="K3267" s="451"/>
      <c r="L3267" s="452"/>
      <c r="M3267" s="527"/>
      <c r="N3267" s="451"/>
      <c r="O3267" s="559">
        <f>TrialBalanceC!I120+TrialBalanceC!I121</f>
        <v>0</v>
      </c>
      <c r="P3267" s="459"/>
      <c r="Q3267" s="469"/>
      <c r="R3267" s="512" t="str">
        <f t="shared" si="253"/>
        <v>DELETE</v>
      </c>
      <c r="S3267" s="513"/>
      <c r="T3267" s="513"/>
      <c r="U3267" s="513"/>
      <c r="V3267" s="513"/>
      <c r="W3267" s="513"/>
      <c r="X3267" s="513"/>
      <c r="Y3267" s="521"/>
      <c r="Z3267" s="521"/>
      <c r="AA3267" s="514"/>
      <c r="AB3267" s="39"/>
      <c r="AC3267" s="39"/>
      <c r="AD3267" s="39"/>
      <c r="AE3267" s="39"/>
      <c r="AF3267" s="39"/>
      <c r="AG3267" s="39"/>
      <c r="AH3267" s="39"/>
      <c r="AI3267" s="39"/>
      <c r="AJ3267" s="39"/>
      <c r="AK3267" s="39"/>
      <c r="AL3267" s="39"/>
      <c r="AM3267" s="39"/>
      <c r="AN3267" s="39"/>
      <c r="AO3267" s="39"/>
      <c r="AP3267" s="39"/>
      <c r="AQ3267" s="39"/>
      <c r="AR3267" s="39"/>
      <c r="AS3267" s="39"/>
      <c r="AT3267" s="39"/>
      <c r="AU3267" s="39"/>
      <c r="AV3267" s="39"/>
      <c r="AW3267" s="39"/>
      <c r="AX3267" s="39"/>
      <c r="AY3267" s="39"/>
    </row>
    <row r="3268" spans="2:51" s="449" customFormat="1" ht="31.5" customHeight="1" x14ac:dyDescent="0.45">
      <c r="B3268" s="468"/>
      <c r="C3268" s="450"/>
      <c r="D3268" s="449" t="s">
        <v>633</v>
      </c>
      <c r="J3268" s="451"/>
      <c r="K3268" s="451"/>
      <c r="L3268" s="452"/>
      <c r="M3268" s="527"/>
      <c r="N3268" s="451"/>
      <c r="O3268" s="559">
        <f>IF(TrialBalanceC!I93&gt;0,TrialBalanceC!I93,0)</f>
        <v>0</v>
      </c>
      <c r="P3268" s="459"/>
      <c r="Q3268" s="469"/>
      <c r="R3268" s="512" t="str">
        <f>IF(R$3153="DELETE","DELETE",IF(O3268=0,"DELETE"," "))</f>
        <v>DELETE</v>
      </c>
      <c r="S3268" s="513"/>
      <c r="T3268" s="513"/>
      <c r="U3268" s="513"/>
      <c r="V3268" s="513"/>
      <c r="W3268" s="513"/>
      <c r="X3268" s="513"/>
      <c r="Y3268" s="521"/>
      <c r="Z3268" s="521"/>
      <c r="AA3268" s="514"/>
      <c r="AB3268" s="39"/>
      <c r="AC3268" s="39"/>
      <c r="AD3268" s="39"/>
      <c r="AE3268" s="39"/>
      <c r="AF3268" s="39"/>
      <c r="AG3268" s="39"/>
      <c r="AH3268" s="39"/>
      <c r="AI3268" s="39"/>
      <c r="AJ3268" s="39"/>
      <c r="AK3268" s="39"/>
      <c r="AL3268" s="39"/>
      <c r="AM3268" s="39"/>
      <c r="AN3268" s="39"/>
      <c r="AO3268" s="39"/>
      <c r="AP3268" s="39"/>
      <c r="AQ3268" s="39"/>
      <c r="AR3268" s="39"/>
      <c r="AS3268" s="39"/>
      <c r="AT3268" s="39"/>
      <c r="AU3268" s="39"/>
      <c r="AV3268" s="39"/>
      <c r="AW3268" s="39"/>
      <c r="AX3268" s="39"/>
      <c r="AY3268" s="39"/>
    </row>
    <row r="3269" spans="2:51" s="449" customFormat="1" ht="31.5" customHeight="1" x14ac:dyDescent="0.45">
      <c r="B3269" s="468"/>
      <c r="C3269" s="450"/>
      <c r="D3269" s="449" t="s">
        <v>936</v>
      </c>
      <c r="J3269" s="451"/>
      <c r="K3269" s="451"/>
      <c r="L3269" s="452"/>
      <c r="M3269" s="527"/>
      <c r="N3269" s="451"/>
      <c r="O3269" s="559">
        <f>TrialBalanceC!I122</f>
        <v>0</v>
      </c>
      <c r="P3269" s="459"/>
      <c r="Q3269" s="469"/>
      <c r="R3269" s="512" t="str">
        <f t="shared" si="253"/>
        <v>DELETE</v>
      </c>
      <c r="S3269" s="513"/>
      <c r="T3269" s="513"/>
      <c r="U3269" s="513"/>
      <c r="V3269" s="513"/>
      <c r="W3269" s="513"/>
      <c r="X3269" s="513"/>
      <c r="Y3269" s="521"/>
      <c r="Z3269" s="521"/>
      <c r="AA3269" s="514"/>
      <c r="AB3269" s="39"/>
      <c r="AC3269" s="39"/>
      <c r="AD3269" s="39"/>
      <c r="AE3269" s="39"/>
      <c r="AF3269" s="39"/>
      <c r="AG3269" s="39"/>
      <c r="AH3269" s="39"/>
      <c r="AI3269" s="39"/>
      <c r="AJ3269" s="39"/>
      <c r="AK3269" s="39"/>
      <c r="AL3269" s="39"/>
      <c r="AM3269" s="39"/>
      <c r="AN3269" s="39"/>
      <c r="AO3269" s="39"/>
      <c r="AP3269" s="39"/>
      <c r="AQ3269" s="39"/>
      <c r="AR3269" s="39"/>
      <c r="AS3269" s="39"/>
      <c r="AT3269" s="39"/>
      <c r="AU3269" s="39"/>
      <c r="AV3269" s="39"/>
      <c r="AW3269" s="39"/>
      <c r="AX3269" s="39"/>
      <c r="AY3269" s="39"/>
    </row>
    <row r="3270" spans="2:51" s="449" customFormat="1" ht="31.5" customHeight="1" x14ac:dyDescent="0.45">
      <c r="B3270" s="468"/>
      <c r="C3270" s="450"/>
      <c r="D3270" s="449" t="s">
        <v>316</v>
      </c>
      <c r="J3270" s="451"/>
      <c r="K3270" s="451"/>
      <c r="L3270" s="452"/>
      <c r="M3270" s="527"/>
      <c r="N3270" s="451"/>
      <c r="O3270" s="559">
        <f>TrialBalanceC!I123</f>
        <v>0</v>
      </c>
      <c r="P3270" s="459"/>
      <c r="Q3270" s="469"/>
      <c r="R3270" s="512" t="str">
        <f t="shared" si="253"/>
        <v>DELETE</v>
      </c>
      <c r="S3270" s="513"/>
      <c r="T3270" s="513"/>
      <c r="U3270" s="513"/>
      <c r="V3270" s="513"/>
      <c r="W3270" s="513"/>
      <c r="X3270" s="513"/>
      <c r="Y3270" s="521"/>
      <c r="Z3270" s="521"/>
      <c r="AA3270" s="514"/>
      <c r="AB3270" s="39"/>
      <c r="AC3270" s="39"/>
      <c r="AD3270" s="39"/>
      <c r="AE3270" s="39"/>
      <c r="AF3270" s="39"/>
      <c r="AG3270" s="39"/>
      <c r="AH3270" s="39"/>
      <c r="AI3270" s="39"/>
      <c r="AJ3270" s="39"/>
      <c r="AK3270" s="39"/>
      <c r="AL3270" s="39"/>
      <c r="AM3270" s="39"/>
      <c r="AN3270" s="39"/>
      <c r="AO3270" s="39"/>
      <c r="AP3270" s="39"/>
      <c r="AQ3270" s="39"/>
      <c r="AR3270" s="39"/>
      <c r="AS3270" s="39"/>
      <c r="AT3270" s="39"/>
      <c r="AU3270" s="39"/>
      <c r="AV3270" s="39"/>
      <c r="AW3270" s="39"/>
      <c r="AX3270" s="39"/>
      <c r="AY3270" s="39"/>
    </row>
    <row r="3271" spans="2:51" s="449" customFormat="1" ht="31.5" customHeight="1" x14ac:dyDescent="0.45">
      <c r="B3271" s="468"/>
      <c r="C3271" s="450"/>
      <c r="D3271" s="449" t="s">
        <v>1554</v>
      </c>
      <c r="J3271" s="451"/>
      <c r="K3271" s="451"/>
      <c r="L3271" s="452"/>
      <c r="M3271" s="527"/>
      <c r="N3271" s="451"/>
      <c r="O3271" s="559">
        <f>TrialBalanceC!I155</f>
        <v>0</v>
      </c>
      <c r="P3271" s="459"/>
      <c r="Q3271" s="469"/>
      <c r="R3271" s="512" t="str">
        <f t="shared" si="253"/>
        <v>DELETE</v>
      </c>
      <c r="S3271" s="513"/>
      <c r="T3271" s="513"/>
      <c r="U3271" s="513"/>
      <c r="V3271" s="513"/>
      <c r="W3271" s="513"/>
      <c r="X3271" s="513"/>
      <c r="Y3271" s="521"/>
      <c r="Z3271" s="521"/>
      <c r="AA3271" s="514"/>
      <c r="AB3271" s="39"/>
      <c r="AC3271" s="39"/>
      <c r="AD3271" s="39"/>
      <c r="AE3271" s="39"/>
      <c r="AF3271" s="39"/>
      <c r="AG3271" s="39"/>
      <c r="AH3271" s="39"/>
      <c r="AI3271" s="39"/>
      <c r="AJ3271" s="39"/>
      <c r="AK3271" s="39"/>
      <c r="AL3271" s="39"/>
      <c r="AM3271" s="39"/>
      <c r="AN3271" s="39"/>
      <c r="AO3271" s="39"/>
      <c r="AP3271" s="39"/>
      <c r="AQ3271" s="39"/>
      <c r="AR3271" s="39"/>
      <c r="AS3271" s="39"/>
      <c r="AT3271" s="39"/>
      <c r="AU3271" s="39"/>
      <c r="AV3271" s="39"/>
      <c r="AW3271" s="39"/>
      <c r="AX3271" s="39"/>
      <c r="AY3271" s="39"/>
    </row>
    <row r="3272" spans="2:51" s="449" customFormat="1" ht="31.5" customHeight="1" x14ac:dyDescent="0.45">
      <c r="B3272" s="468"/>
      <c r="C3272" s="450"/>
      <c r="D3272" s="449" t="s">
        <v>309</v>
      </c>
      <c r="J3272" s="451"/>
      <c r="K3272" s="451"/>
      <c r="L3272" s="452"/>
      <c r="M3272" s="527"/>
      <c r="N3272" s="451"/>
      <c r="O3272" s="559">
        <f>SUM(TrialBalanceC!I124:I125)</f>
        <v>0</v>
      </c>
      <c r="P3272" s="459"/>
      <c r="Q3272" s="469"/>
      <c r="R3272" s="512" t="str">
        <f t="shared" si="253"/>
        <v>DELETE</v>
      </c>
      <c r="S3272" s="513"/>
      <c r="T3272" s="513"/>
      <c r="U3272" s="513"/>
      <c r="V3272" s="513"/>
      <c r="W3272" s="513"/>
      <c r="X3272" s="513"/>
      <c r="Y3272" s="521"/>
      <c r="Z3272" s="521"/>
      <c r="AA3272" s="514"/>
      <c r="AB3272" s="39"/>
      <c r="AC3272" s="39"/>
      <c r="AD3272" s="39"/>
      <c r="AE3272" s="39"/>
      <c r="AF3272" s="39"/>
      <c r="AG3272" s="39"/>
      <c r="AH3272" s="39"/>
      <c r="AI3272" s="39"/>
      <c r="AJ3272" s="39"/>
      <c r="AK3272" s="39"/>
      <c r="AL3272" s="39"/>
      <c r="AM3272" s="39"/>
      <c r="AN3272" s="39"/>
      <c r="AO3272" s="39"/>
      <c r="AP3272" s="39"/>
      <c r="AQ3272" s="39"/>
      <c r="AR3272" s="39"/>
      <c r="AS3272" s="39"/>
      <c r="AT3272" s="39"/>
      <c r="AU3272" s="39"/>
      <c r="AV3272" s="39"/>
      <c r="AW3272" s="39"/>
      <c r="AX3272" s="39"/>
      <c r="AY3272" s="39"/>
    </row>
    <row r="3273" spans="2:51" s="449" customFormat="1" ht="31.5" customHeight="1" x14ac:dyDescent="0.45">
      <c r="B3273" s="468"/>
      <c r="C3273" s="450"/>
      <c r="D3273" s="449" t="s">
        <v>317</v>
      </c>
      <c r="J3273" s="451"/>
      <c r="K3273" s="451"/>
      <c r="L3273" s="452"/>
      <c r="M3273" s="527"/>
      <c r="N3273" s="451"/>
      <c r="O3273" s="559">
        <f>TrialBalanceC!I126</f>
        <v>0</v>
      </c>
      <c r="P3273" s="459"/>
      <c r="Q3273" s="469"/>
      <c r="R3273" s="512" t="str">
        <f t="shared" si="253"/>
        <v>DELETE</v>
      </c>
      <c r="S3273" s="513"/>
      <c r="T3273" s="513"/>
      <c r="U3273" s="513"/>
      <c r="V3273" s="513"/>
      <c r="W3273" s="513"/>
      <c r="X3273" s="513"/>
      <c r="Y3273" s="521"/>
      <c r="Z3273" s="521"/>
      <c r="AA3273" s="514"/>
      <c r="AB3273" s="39"/>
      <c r="AC3273" s="39"/>
      <c r="AD3273" s="39"/>
      <c r="AE3273" s="39"/>
      <c r="AF3273" s="39"/>
      <c r="AG3273" s="39"/>
      <c r="AH3273" s="39"/>
      <c r="AI3273" s="39"/>
      <c r="AJ3273" s="39"/>
      <c r="AK3273" s="39"/>
      <c r="AL3273" s="39"/>
      <c r="AM3273" s="39"/>
      <c r="AN3273" s="39"/>
      <c r="AO3273" s="39"/>
      <c r="AP3273" s="39"/>
      <c r="AQ3273" s="39"/>
      <c r="AR3273" s="39"/>
      <c r="AS3273" s="39"/>
      <c r="AT3273" s="39"/>
      <c r="AU3273" s="39"/>
      <c r="AV3273" s="39"/>
      <c r="AW3273" s="39"/>
      <c r="AX3273" s="39"/>
      <c r="AY3273" s="39"/>
    </row>
    <row r="3274" spans="2:51" s="449" customFormat="1" ht="31.5" customHeight="1" x14ac:dyDescent="0.45">
      <c r="B3274" s="468"/>
      <c r="C3274" s="450"/>
      <c r="D3274" s="449" t="s">
        <v>937</v>
      </c>
      <c r="J3274" s="451"/>
      <c r="K3274" s="451"/>
      <c r="L3274" s="452"/>
      <c r="M3274" s="527"/>
      <c r="N3274" s="451"/>
      <c r="O3274" s="559">
        <f>TrialBalanceC!I127</f>
        <v>0</v>
      </c>
      <c r="P3274" s="459"/>
      <c r="Q3274" s="469"/>
      <c r="R3274" s="512" t="str">
        <f t="shared" si="253"/>
        <v>DELETE</v>
      </c>
      <c r="S3274" s="513"/>
      <c r="T3274" s="513"/>
      <c r="U3274" s="513"/>
      <c r="V3274" s="513"/>
      <c r="W3274" s="513"/>
      <c r="X3274" s="513"/>
      <c r="Y3274" s="521"/>
      <c r="Z3274" s="521"/>
      <c r="AA3274" s="514"/>
      <c r="AB3274" s="39"/>
      <c r="AC3274" s="39"/>
      <c r="AD3274" s="39"/>
      <c r="AE3274" s="39"/>
      <c r="AF3274" s="39"/>
      <c r="AG3274" s="39"/>
      <c r="AH3274" s="39"/>
      <c r="AI3274" s="39"/>
      <c r="AJ3274" s="39"/>
      <c r="AK3274" s="39"/>
      <c r="AL3274" s="39"/>
      <c r="AM3274" s="39"/>
      <c r="AN3274" s="39"/>
      <c r="AO3274" s="39"/>
      <c r="AP3274" s="39"/>
      <c r="AQ3274" s="39"/>
      <c r="AR3274" s="39"/>
      <c r="AS3274" s="39"/>
      <c r="AT3274" s="39"/>
      <c r="AU3274" s="39"/>
      <c r="AV3274" s="39"/>
      <c r="AW3274" s="39"/>
      <c r="AX3274" s="39"/>
      <c r="AY3274" s="39"/>
    </row>
    <row r="3275" spans="2:51" s="449" customFormat="1" ht="31.5" customHeight="1" x14ac:dyDescent="0.45">
      <c r="B3275" s="468"/>
      <c r="C3275" s="450"/>
      <c r="D3275" s="449" t="s">
        <v>99</v>
      </c>
      <c r="J3275" s="451"/>
      <c r="K3275" s="451"/>
      <c r="L3275" s="452"/>
      <c r="M3275" s="527"/>
      <c r="N3275" s="451"/>
      <c r="O3275" s="559">
        <f>TrialBalanceC!I128</f>
        <v>0</v>
      </c>
      <c r="P3275" s="459"/>
      <c r="Q3275" s="469"/>
      <c r="R3275" s="512" t="str">
        <f t="shared" si="253"/>
        <v>DELETE</v>
      </c>
      <c r="S3275" s="513"/>
      <c r="T3275" s="513"/>
      <c r="U3275" s="513"/>
      <c r="V3275" s="513"/>
      <c r="W3275" s="513"/>
      <c r="X3275" s="513"/>
      <c r="Y3275" s="521"/>
      <c r="Z3275" s="521"/>
      <c r="AA3275" s="514"/>
      <c r="AB3275" s="39"/>
      <c r="AC3275" s="39"/>
      <c r="AD3275" s="39"/>
      <c r="AE3275" s="39"/>
      <c r="AF3275" s="39"/>
      <c r="AG3275" s="39"/>
      <c r="AH3275" s="39"/>
      <c r="AI3275" s="39"/>
      <c r="AJ3275" s="39"/>
      <c r="AK3275" s="39"/>
      <c r="AL3275" s="39"/>
      <c r="AM3275" s="39"/>
      <c r="AN3275" s="39"/>
      <c r="AO3275" s="39"/>
      <c r="AP3275" s="39"/>
      <c r="AQ3275" s="39"/>
      <c r="AR3275" s="39"/>
      <c r="AS3275" s="39"/>
      <c r="AT3275" s="39"/>
      <c r="AU3275" s="39"/>
      <c r="AV3275" s="39"/>
      <c r="AW3275" s="39"/>
      <c r="AX3275" s="39"/>
      <c r="AY3275" s="39"/>
    </row>
    <row r="3276" spans="2:51" s="449" customFormat="1" ht="31.5" customHeight="1" x14ac:dyDescent="0.45">
      <c r="B3276" s="468"/>
      <c r="C3276" s="450"/>
      <c r="D3276" s="449">
        <f>TrialBalanceC!C129</f>
        <v>0</v>
      </c>
      <c r="J3276" s="451"/>
      <c r="K3276" s="451"/>
      <c r="L3276" s="452"/>
      <c r="M3276" s="527"/>
      <c r="N3276" s="451"/>
      <c r="O3276" s="559">
        <f>TrialBalanceC!I129</f>
        <v>0</v>
      </c>
      <c r="P3276" s="459"/>
      <c r="Q3276" s="469"/>
      <c r="R3276" s="512" t="str">
        <f t="shared" si="253"/>
        <v>DELETE</v>
      </c>
      <c r="S3276" s="513"/>
      <c r="T3276" s="513"/>
      <c r="U3276" s="513"/>
      <c r="V3276" s="513"/>
      <c r="W3276" s="513"/>
      <c r="X3276" s="513"/>
      <c r="Y3276" s="521"/>
      <c r="Z3276" s="521"/>
      <c r="AA3276" s="514"/>
      <c r="AB3276" s="39"/>
      <c r="AC3276" s="39"/>
      <c r="AD3276" s="39"/>
      <c r="AE3276" s="39"/>
      <c r="AF3276" s="39"/>
      <c r="AG3276" s="39"/>
      <c r="AH3276" s="39"/>
      <c r="AI3276" s="39"/>
      <c r="AJ3276" s="39"/>
      <c r="AK3276" s="39"/>
      <c r="AL3276" s="39"/>
      <c r="AM3276" s="39"/>
      <c r="AN3276" s="39"/>
      <c r="AO3276" s="39"/>
      <c r="AP3276" s="39"/>
      <c r="AQ3276" s="39"/>
      <c r="AR3276" s="39"/>
      <c r="AS3276" s="39"/>
      <c r="AT3276" s="39"/>
      <c r="AU3276" s="39"/>
      <c r="AV3276" s="39"/>
      <c r="AW3276" s="39"/>
      <c r="AX3276" s="39"/>
      <c r="AY3276" s="39"/>
    </row>
    <row r="3277" spans="2:51" s="449" customFormat="1" ht="31.5" customHeight="1" x14ac:dyDescent="0.45">
      <c r="B3277" s="468"/>
      <c r="C3277" s="450"/>
      <c r="D3277" s="449">
        <f>TrialBalanceC!C130</f>
        <v>0</v>
      </c>
      <c r="J3277" s="451"/>
      <c r="K3277" s="451"/>
      <c r="L3277" s="452"/>
      <c r="M3277" s="527"/>
      <c r="N3277" s="451"/>
      <c r="O3277" s="559">
        <f>TrialBalanceC!I130</f>
        <v>0</v>
      </c>
      <c r="P3277" s="459"/>
      <c r="Q3277" s="469"/>
      <c r="R3277" s="512" t="str">
        <f t="shared" si="253"/>
        <v>DELETE</v>
      </c>
      <c r="S3277" s="513"/>
      <c r="T3277" s="513"/>
      <c r="U3277" s="513"/>
      <c r="V3277" s="513"/>
      <c r="W3277" s="513"/>
      <c r="X3277" s="513"/>
      <c r="Y3277" s="521"/>
      <c r="Z3277" s="521"/>
      <c r="AA3277" s="514"/>
      <c r="AB3277" s="39"/>
      <c r="AC3277" s="39"/>
      <c r="AD3277" s="39"/>
      <c r="AE3277" s="39"/>
      <c r="AF3277" s="39"/>
      <c r="AG3277" s="39"/>
      <c r="AH3277" s="39"/>
      <c r="AI3277" s="39"/>
      <c r="AJ3277" s="39"/>
      <c r="AK3277" s="39"/>
      <c r="AL3277" s="39"/>
      <c r="AM3277" s="39"/>
      <c r="AN3277" s="39"/>
      <c r="AO3277" s="39"/>
      <c r="AP3277" s="39"/>
      <c r="AQ3277" s="39"/>
      <c r="AR3277" s="39"/>
      <c r="AS3277" s="39"/>
      <c r="AT3277" s="39"/>
      <c r="AU3277" s="39"/>
      <c r="AV3277" s="39"/>
      <c r="AW3277" s="39"/>
      <c r="AX3277" s="39"/>
      <c r="AY3277" s="39"/>
    </row>
    <row r="3278" spans="2:51" s="449" customFormat="1" ht="31.5" customHeight="1" x14ac:dyDescent="0.45">
      <c r="B3278" s="468"/>
      <c r="C3278" s="450"/>
      <c r="D3278" s="449">
        <f>TrialBalanceC!C131</f>
        <v>0</v>
      </c>
      <c r="J3278" s="451"/>
      <c r="K3278" s="451"/>
      <c r="L3278" s="452"/>
      <c r="M3278" s="527"/>
      <c r="N3278" s="451"/>
      <c r="O3278" s="559">
        <f>TrialBalanceC!I131</f>
        <v>0</v>
      </c>
      <c r="P3278" s="459"/>
      <c r="Q3278" s="469"/>
      <c r="R3278" s="512" t="str">
        <f t="shared" si="253"/>
        <v>DELETE</v>
      </c>
      <c r="S3278" s="513"/>
      <c r="T3278" s="513"/>
      <c r="U3278" s="513"/>
      <c r="V3278" s="513"/>
      <c r="W3278" s="513"/>
      <c r="X3278" s="513"/>
      <c r="Y3278" s="521"/>
      <c r="Z3278" s="521"/>
      <c r="AA3278" s="514"/>
      <c r="AB3278" s="39"/>
      <c r="AC3278" s="39"/>
      <c r="AD3278" s="39"/>
      <c r="AE3278" s="39"/>
      <c r="AF3278" s="39"/>
      <c r="AG3278" s="39"/>
      <c r="AH3278" s="39"/>
      <c r="AI3278" s="39"/>
      <c r="AJ3278" s="39"/>
      <c r="AK3278" s="39"/>
      <c r="AL3278" s="39"/>
      <c r="AM3278" s="39"/>
      <c r="AN3278" s="39"/>
      <c r="AO3278" s="39"/>
      <c r="AP3278" s="39"/>
      <c r="AQ3278" s="39"/>
      <c r="AR3278" s="39"/>
      <c r="AS3278" s="39"/>
      <c r="AT3278" s="39"/>
      <c r="AU3278" s="39"/>
      <c r="AV3278" s="39"/>
      <c r="AW3278" s="39"/>
      <c r="AX3278" s="39"/>
      <c r="AY3278" s="39"/>
    </row>
    <row r="3279" spans="2:51" s="449" customFormat="1" ht="31.5" customHeight="1" x14ac:dyDescent="0.45">
      <c r="B3279" s="468"/>
      <c r="C3279" s="450"/>
      <c r="D3279" s="449">
        <f>TrialBalanceC!C132</f>
        <v>0</v>
      </c>
      <c r="J3279" s="451"/>
      <c r="K3279" s="451"/>
      <c r="L3279" s="452"/>
      <c r="M3279" s="527"/>
      <c r="N3279" s="451"/>
      <c r="O3279" s="559">
        <f>TrialBalanceC!I132</f>
        <v>0</v>
      </c>
      <c r="P3279" s="459"/>
      <c r="Q3279" s="469"/>
      <c r="R3279" s="512" t="str">
        <f t="shared" si="253"/>
        <v>DELETE</v>
      </c>
      <c r="S3279" s="513"/>
      <c r="T3279" s="513"/>
      <c r="U3279" s="513"/>
      <c r="V3279" s="513"/>
      <c r="W3279" s="513"/>
      <c r="X3279" s="513"/>
      <c r="Y3279" s="521"/>
      <c r="Z3279" s="521"/>
      <c r="AA3279" s="514"/>
      <c r="AB3279" s="39"/>
      <c r="AC3279" s="39"/>
      <c r="AD3279" s="39"/>
      <c r="AE3279" s="39"/>
      <c r="AF3279" s="39"/>
      <c r="AG3279" s="39"/>
      <c r="AH3279" s="39"/>
      <c r="AI3279" s="39"/>
      <c r="AJ3279" s="39"/>
      <c r="AK3279" s="39"/>
      <c r="AL3279" s="39"/>
      <c r="AM3279" s="39"/>
      <c r="AN3279" s="39"/>
      <c r="AO3279" s="39"/>
      <c r="AP3279" s="39"/>
      <c r="AQ3279" s="39"/>
      <c r="AR3279" s="39"/>
      <c r="AS3279" s="39"/>
      <c r="AT3279" s="39"/>
      <c r="AU3279" s="39"/>
      <c r="AV3279" s="39"/>
      <c r="AW3279" s="39"/>
      <c r="AX3279" s="39"/>
      <c r="AY3279" s="39"/>
    </row>
    <row r="3280" spans="2:51" s="449" customFormat="1" ht="31.5" customHeight="1" x14ac:dyDescent="0.45">
      <c r="B3280" s="468"/>
      <c r="C3280" s="450"/>
      <c r="D3280" s="449">
        <f>TrialBalanceC!C133</f>
        <v>0</v>
      </c>
      <c r="J3280" s="451"/>
      <c r="K3280" s="451"/>
      <c r="L3280" s="452"/>
      <c r="M3280" s="527"/>
      <c r="N3280" s="451"/>
      <c r="O3280" s="559">
        <f>TrialBalanceC!I133</f>
        <v>0</v>
      </c>
      <c r="P3280" s="459"/>
      <c r="Q3280" s="469"/>
      <c r="R3280" s="512" t="str">
        <f t="shared" si="253"/>
        <v>DELETE</v>
      </c>
      <c r="S3280" s="513"/>
      <c r="T3280" s="513"/>
      <c r="U3280" s="513"/>
      <c r="V3280" s="513"/>
      <c r="W3280" s="513"/>
      <c r="X3280" s="513"/>
      <c r="Y3280" s="521"/>
      <c r="Z3280" s="521"/>
      <c r="AA3280" s="514"/>
      <c r="AB3280" s="39"/>
      <c r="AC3280" s="39"/>
      <c r="AD3280" s="39"/>
      <c r="AE3280" s="39"/>
      <c r="AF3280" s="39"/>
      <c r="AG3280" s="39"/>
      <c r="AH3280" s="39"/>
      <c r="AI3280" s="39"/>
      <c r="AJ3280" s="39"/>
      <c r="AK3280" s="39"/>
      <c r="AL3280" s="39"/>
      <c r="AM3280" s="39"/>
      <c r="AN3280" s="39"/>
      <c r="AO3280" s="39"/>
      <c r="AP3280" s="39"/>
      <c r="AQ3280" s="39"/>
      <c r="AR3280" s="39"/>
      <c r="AS3280" s="39"/>
      <c r="AT3280" s="39"/>
      <c r="AU3280" s="39"/>
      <c r="AV3280" s="39"/>
      <c r="AW3280" s="39"/>
      <c r="AX3280" s="39"/>
      <c r="AY3280" s="39"/>
    </row>
    <row r="3281" spans="2:51" s="449" customFormat="1" ht="31.5" customHeight="1" x14ac:dyDescent="0.45">
      <c r="B3281" s="468"/>
      <c r="C3281" s="450"/>
      <c r="D3281" s="449">
        <f>TrialBalanceC!C134</f>
        <v>0</v>
      </c>
      <c r="J3281" s="451"/>
      <c r="K3281" s="451"/>
      <c r="L3281" s="452"/>
      <c r="M3281" s="527"/>
      <c r="N3281" s="451"/>
      <c r="O3281" s="559">
        <f>TrialBalanceC!I134</f>
        <v>0</v>
      </c>
      <c r="P3281" s="459"/>
      <c r="Q3281" s="469"/>
      <c r="R3281" s="512" t="str">
        <f t="shared" si="253"/>
        <v>DELETE</v>
      </c>
      <c r="S3281" s="513"/>
      <c r="T3281" s="513"/>
      <c r="U3281" s="513"/>
      <c r="V3281" s="513"/>
      <c r="W3281" s="513"/>
      <c r="X3281" s="513"/>
      <c r="Y3281" s="521"/>
      <c r="Z3281" s="521"/>
      <c r="AA3281" s="514"/>
      <c r="AB3281" s="39"/>
      <c r="AC3281" s="39"/>
      <c r="AD3281" s="39"/>
      <c r="AE3281" s="39"/>
      <c r="AF3281" s="39"/>
      <c r="AG3281" s="39"/>
      <c r="AH3281" s="39"/>
      <c r="AI3281" s="39"/>
      <c r="AJ3281" s="39"/>
      <c r="AK3281" s="39"/>
      <c r="AL3281" s="39"/>
      <c r="AM3281" s="39"/>
      <c r="AN3281" s="39"/>
      <c r="AO3281" s="39"/>
      <c r="AP3281" s="39"/>
      <c r="AQ3281" s="39"/>
      <c r="AR3281" s="39"/>
      <c r="AS3281" s="39"/>
      <c r="AT3281" s="39"/>
      <c r="AU3281" s="39"/>
      <c r="AV3281" s="39"/>
      <c r="AW3281" s="39"/>
      <c r="AX3281" s="39"/>
      <c r="AY3281" s="39"/>
    </row>
    <row r="3282" spans="2:51" s="449" customFormat="1" ht="31.5" customHeight="1" x14ac:dyDescent="0.45">
      <c r="B3282" s="468"/>
      <c r="C3282" s="450"/>
      <c r="D3282" s="449">
        <f>TrialBalanceC!C135</f>
        <v>0</v>
      </c>
      <c r="J3282" s="451"/>
      <c r="K3282" s="451"/>
      <c r="L3282" s="452"/>
      <c r="M3282" s="527"/>
      <c r="N3282" s="451"/>
      <c r="O3282" s="559">
        <f>TrialBalanceC!I135</f>
        <v>0</v>
      </c>
      <c r="P3282" s="459"/>
      <c r="Q3282" s="469"/>
      <c r="R3282" s="512" t="str">
        <f t="shared" si="253"/>
        <v>DELETE</v>
      </c>
      <c r="S3282" s="513"/>
      <c r="T3282" s="513"/>
      <c r="U3282" s="513"/>
      <c r="V3282" s="513"/>
      <c r="W3282" s="513"/>
      <c r="X3282" s="513"/>
      <c r="Y3282" s="521"/>
      <c r="Z3282" s="521"/>
      <c r="AA3282" s="514"/>
      <c r="AB3282" s="39"/>
      <c r="AC3282" s="39"/>
      <c r="AD3282" s="39"/>
      <c r="AE3282" s="39"/>
      <c r="AF3282" s="39"/>
      <c r="AG3282" s="39"/>
      <c r="AH3282" s="39"/>
      <c r="AI3282" s="39"/>
      <c r="AJ3282" s="39"/>
      <c r="AK3282" s="39"/>
      <c r="AL3282" s="39"/>
      <c r="AM3282" s="39"/>
      <c r="AN3282" s="39"/>
      <c r="AO3282" s="39"/>
      <c r="AP3282" s="39"/>
      <c r="AQ3282" s="39"/>
      <c r="AR3282" s="39"/>
      <c r="AS3282" s="39"/>
      <c r="AT3282" s="39"/>
      <c r="AU3282" s="39"/>
      <c r="AV3282" s="39"/>
      <c r="AW3282" s="39"/>
      <c r="AX3282" s="39"/>
      <c r="AY3282" s="39"/>
    </row>
    <row r="3283" spans="2:51" s="449" customFormat="1" ht="31.5" customHeight="1" x14ac:dyDescent="0.45">
      <c r="B3283" s="468"/>
      <c r="C3283" s="450"/>
      <c r="D3283" s="449">
        <f>TrialBalanceC!C136</f>
        <v>0</v>
      </c>
      <c r="J3283" s="451"/>
      <c r="K3283" s="451"/>
      <c r="L3283" s="452"/>
      <c r="M3283" s="527"/>
      <c r="N3283" s="451"/>
      <c r="O3283" s="559">
        <f>TrialBalanceC!I136</f>
        <v>0</v>
      </c>
      <c r="P3283" s="459"/>
      <c r="Q3283" s="469"/>
      <c r="R3283" s="512" t="str">
        <f t="shared" si="253"/>
        <v>DELETE</v>
      </c>
      <c r="S3283" s="513"/>
      <c r="T3283" s="513"/>
      <c r="U3283" s="513"/>
      <c r="V3283" s="513"/>
      <c r="W3283" s="513"/>
      <c r="X3283" s="513"/>
      <c r="Y3283" s="521"/>
      <c r="Z3283" s="521"/>
      <c r="AA3283" s="514"/>
      <c r="AB3283" s="39"/>
      <c r="AC3283" s="39"/>
      <c r="AD3283" s="39"/>
      <c r="AE3283" s="39"/>
      <c r="AF3283" s="39"/>
      <c r="AG3283" s="39"/>
      <c r="AH3283" s="39"/>
      <c r="AI3283" s="39"/>
      <c r="AJ3283" s="39"/>
      <c r="AK3283" s="39"/>
      <c r="AL3283" s="39"/>
      <c r="AM3283" s="39"/>
      <c r="AN3283" s="39"/>
      <c r="AO3283" s="39"/>
      <c r="AP3283" s="39"/>
      <c r="AQ3283" s="39"/>
      <c r="AR3283" s="39"/>
      <c r="AS3283" s="39"/>
      <c r="AT3283" s="39"/>
      <c r="AU3283" s="39"/>
      <c r="AV3283" s="39"/>
      <c r="AW3283" s="39"/>
      <c r="AX3283" s="39"/>
      <c r="AY3283" s="39"/>
    </row>
    <row r="3284" spans="2:51" s="449" customFormat="1" ht="31.5" customHeight="1" x14ac:dyDescent="0.45">
      <c r="B3284" s="468"/>
      <c r="C3284" s="450"/>
      <c r="D3284" s="449">
        <f>TrialBalanceC!C137</f>
        <v>0</v>
      </c>
      <c r="J3284" s="451"/>
      <c r="K3284" s="451"/>
      <c r="L3284" s="452"/>
      <c r="M3284" s="527"/>
      <c r="N3284" s="451"/>
      <c r="O3284" s="559">
        <f>TrialBalanceC!I137</f>
        <v>0</v>
      </c>
      <c r="P3284" s="459"/>
      <c r="Q3284" s="469"/>
      <c r="R3284" s="512" t="str">
        <f t="shared" si="253"/>
        <v>DELETE</v>
      </c>
      <c r="S3284" s="513"/>
      <c r="T3284" s="513"/>
      <c r="U3284" s="513"/>
      <c r="V3284" s="513"/>
      <c r="W3284" s="513"/>
      <c r="X3284" s="513"/>
      <c r="Y3284" s="521"/>
      <c r="Z3284" s="521"/>
      <c r="AA3284" s="514"/>
      <c r="AB3284" s="39"/>
      <c r="AC3284" s="39"/>
      <c r="AD3284" s="39"/>
      <c r="AE3284" s="39"/>
      <c r="AF3284" s="39"/>
      <c r="AG3284" s="39"/>
      <c r="AH3284" s="39"/>
      <c r="AI3284" s="39"/>
      <c r="AJ3284" s="39"/>
      <c r="AK3284" s="39"/>
      <c r="AL3284" s="39"/>
      <c r="AM3284" s="39"/>
      <c r="AN3284" s="39"/>
      <c r="AO3284" s="39"/>
      <c r="AP3284" s="39"/>
      <c r="AQ3284" s="39"/>
      <c r="AR3284" s="39"/>
      <c r="AS3284" s="39"/>
      <c r="AT3284" s="39"/>
      <c r="AU3284" s="39"/>
      <c r="AV3284" s="39"/>
      <c r="AW3284" s="39"/>
      <c r="AX3284" s="39"/>
      <c r="AY3284" s="39"/>
    </row>
    <row r="3285" spans="2:51" s="449" customFormat="1" ht="31.5" customHeight="1" x14ac:dyDescent="0.45">
      <c r="B3285" s="468"/>
      <c r="C3285" s="450"/>
      <c r="D3285" s="449" t="str">
        <f>TrialBalanceC!C138</f>
        <v>Amortisation of prepaid lease agreement</v>
      </c>
      <c r="J3285" s="451"/>
      <c r="K3285" s="451"/>
      <c r="L3285" s="452"/>
      <c r="M3285" s="527"/>
      <c r="N3285" s="451"/>
      <c r="O3285" s="559">
        <f>TrialBalanceC!I138</f>
        <v>0</v>
      </c>
      <c r="P3285" s="459"/>
      <c r="Q3285" s="469"/>
      <c r="R3285" s="512" t="str">
        <f t="shared" si="253"/>
        <v>DELETE</v>
      </c>
      <c r="S3285" s="513"/>
      <c r="T3285" s="513"/>
      <c r="U3285" s="513"/>
      <c r="V3285" s="513"/>
      <c r="W3285" s="513"/>
      <c r="X3285" s="513"/>
      <c r="Y3285" s="521"/>
      <c r="Z3285" s="521"/>
      <c r="AA3285" s="514"/>
      <c r="AB3285" s="39"/>
      <c r="AC3285" s="39"/>
      <c r="AD3285" s="39"/>
      <c r="AE3285" s="39"/>
      <c r="AF3285" s="39"/>
      <c r="AG3285" s="39"/>
      <c r="AH3285" s="39"/>
      <c r="AI3285" s="39"/>
      <c r="AJ3285" s="39"/>
      <c r="AK3285" s="39"/>
      <c r="AL3285" s="39"/>
      <c r="AM3285" s="39"/>
      <c r="AN3285" s="39"/>
      <c r="AO3285" s="39"/>
      <c r="AP3285" s="39"/>
      <c r="AQ3285" s="39"/>
      <c r="AR3285" s="39"/>
      <c r="AS3285" s="39"/>
      <c r="AT3285" s="39"/>
      <c r="AU3285" s="39"/>
      <c r="AV3285" s="39"/>
      <c r="AW3285" s="39"/>
      <c r="AX3285" s="39"/>
      <c r="AY3285" s="39"/>
    </row>
    <row r="3286" spans="2:51" s="449" customFormat="1" ht="31.5" customHeight="1" x14ac:dyDescent="0.45">
      <c r="B3286" s="468"/>
      <c r="C3286" s="450"/>
      <c r="D3286" s="449" t="str">
        <f>TrialBalanceC!C139</f>
        <v>Amortisation of goodwill</v>
      </c>
      <c r="J3286" s="451"/>
      <c r="K3286" s="451"/>
      <c r="L3286" s="452"/>
      <c r="M3286" s="527"/>
      <c r="N3286" s="451"/>
      <c r="O3286" s="559">
        <f>TrialBalanceC!I139</f>
        <v>0</v>
      </c>
      <c r="P3286" s="459"/>
      <c r="Q3286" s="469"/>
      <c r="R3286" s="512" t="str">
        <f t="shared" ref="R3286" si="254">IF(R$3153="DELETE","DELETE",IF(O3286=0,"DELETE"," "))</f>
        <v>DELETE</v>
      </c>
      <c r="S3286" s="513"/>
      <c r="T3286" s="513"/>
      <c r="U3286" s="513"/>
      <c r="V3286" s="513"/>
      <c r="W3286" s="513"/>
      <c r="X3286" s="513"/>
      <c r="Y3286" s="521"/>
      <c r="Z3286" s="521"/>
      <c r="AA3286" s="514"/>
      <c r="AB3286" s="39"/>
      <c r="AC3286" s="39"/>
      <c r="AD3286" s="39"/>
      <c r="AE3286" s="39"/>
      <c r="AF3286" s="39"/>
      <c r="AG3286" s="39"/>
      <c r="AH3286" s="39"/>
      <c r="AI3286" s="39"/>
      <c r="AJ3286" s="39"/>
      <c r="AK3286" s="39"/>
      <c r="AL3286" s="39"/>
      <c r="AM3286" s="39"/>
      <c r="AN3286" s="39"/>
      <c r="AO3286" s="39"/>
      <c r="AP3286" s="39"/>
      <c r="AQ3286" s="39"/>
      <c r="AR3286" s="39"/>
      <c r="AS3286" s="39"/>
      <c r="AT3286" s="39"/>
      <c r="AU3286" s="39"/>
      <c r="AV3286" s="39"/>
      <c r="AW3286" s="39"/>
      <c r="AX3286" s="39"/>
      <c r="AY3286" s="39"/>
    </row>
    <row r="3287" spans="2:51" s="449" customFormat="1" ht="9" customHeight="1" x14ac:dyDescent="0.45">
      <c r="B3287" s="468"/>
      <c r="C3287" s="450"/>
      <c r="J3287" s="451"/>
      <c r="K3287" s="451"/>
      <c r="L3287" s="452"/>
      <c r="M3287" s="527"/>
      <c r="N3287" s="451"/>
      <c r="O3287" s="560"/>
      <c r="P3287" s="459"/>
      <c r="Q3287" s="469"/>
      <c r="R3287" s="512" t="str">
        <f>R3251</f>
        <v>DELETE</v>
      </c>
      <c r="S3287" s="513"/>
      <c r="T3287" s="513"/>
      <c r="U3287" s="513"/>
      <c r="V3287" s="513"/>
      <c r="W3287" s="513"/>
      <c r="X3287" s="513"/>
      <c r="Y3287" s="521"/>
      <c r="Z3287" s="521"/>
      <c r="AA3287" s="514"/>
      <c r="AB3287" s="39"/>
      <c r="AC3287" s="39"/>
      <c r="AD3287" s="39"/>
      <c r="AE3287" s="39"/>
      <c r="AF3287" s="39"/>
      <c r="AG3287" s="39"/>
      <c r="AH3287" s="39"/>
      <c r="AI3287" s="39"/>
      <c r="AJ3287" s="39"/>
      <c r="AK3287" s="39"/>
      <c r="AL3287" s="39"/>
      <c r="AM3287" s="39"/>
      <c r="AN3287" s="39"/>
      <c r="AO3287" s="39"/>
      <c r="AP3287" s="39"/>
      <c r="AQ3287" s="39"/>
      <c r="AR3287" s="39"/>
      <c r="AS3287" s="39"/>
      <c r="AT3287" s="39"/>
      <c r="AU3287" s="39"/>
      <c r="AV3287" s="39"/>
      <c r="AW3287" s="39"/>
      <c r="AX3287" s="39"/>
      <c r="AY3287" s="39"/>
    </row>
    <row r="3288" spans="2:51" s="449" customFormat="1" ht="9" customHeight="1" x14ac:dyDescent="0.45">
      <c r="B3288" s="468"/>
      <c r="C3288" s="450"/>
      <c r="J3288" s="451"/>
      <c r="K3288" s="451"/>
      <c r="L3288" s="452"/>
      <c r="M3288" s="527"/>
      <c r="N3288" s="451"/>
      <c r="O3288" s="535"/>
      <c r="P3288" s="459"/>
      <c r="Q3288" s="469"/>
      <c r="R3288" s="512" t="str">
        <f t="shared" ref="R3288:R3291" si="255">R$3153</f>
        <v>DELETE</v>
      </c>
      <c r="S3288" s="513"/>
      <c r="T3288" s="513"/>
      <c r="U3288" s="513"/>
      <c r="V3288" s="513"/>
      <c r="W3288" s="513"/>
      <c r="X3288" s="513"/>
      <c r="Y3288" s="521"/>
      <c r="Z3288" s="521"/>
      <c r="AA3288" s="514"/>
      <c r="AB3288" s="39"/>
      <c r="AC3288" s="39"/>
      <c r="AD3288" s="39"/>
      <c r="AE3288" s="39"/>
      <c r="AF3288" s="39"/>
      <c r="AG3288" s="39"/>
      <c r="AH3288" s="39"/>
      <c r="AI3288" s="39"/>
      <c r="AJ3288" s="39"/>
      <c r="AK3288" s="39"/>
      <c r="AL3288" s="39"/>
      <c r="AM3288" s="39"/>
      <c r="AN3288" s="39"/>
      <c r="AO3288" s="39"/>
      <c r="AP3288" s="39"/>
      <c r="AQ3288" s="39"/>
      <c r="AR3288" s="39"/>
      <c r="AS3288" s="39"/>
      <c r="AT3288" s="39"/>
      <c r="AU3288" s="39"/>
      <c r="AV3288" s="39"/>
      <c r="AW3288" s="39"/>
      <c r="AX3288" s="39"/>
      <c r="AY3288" s="39"/>
    </row>
    <row r="3289" spans="2:51" s="449" customFormat="1" ht="9" customHeight="1" x14ac:dyDescent="0.45">
      <c r="B3289" s="468"/>
      <c r="C3289" s="450"/>
      <c r="J3289" s="451"/>
      <c r="K3289" s="451"/>
      <c r="L3289" s="452"/>
      <c r="M3289" s="527"/>
      <c r="N3289" s="451"/>
      <c r="O3289" s="531"/>
      <c r="P3289" s="459"/>
      <c r="Q3289" s="469"/>
      <c r="R3289" s="512" t="str">
        <f t="shared" si="255"/>
        <v>DELETE</v>
      </c>
      <c r="S3289" s="513"/>
      <c r="T3289" s="513"/>
      <c r="U3289" s="513"/>
      <c r="V3289" s="513"/>
      <c r="W3289" s="513"/>
      <c r="X3289" s="513"/>
      <c r="Y3289" s="521"/>
      <c r="Z3289" s="521"/>
      <c r="AA3289" s="514"/>
      <c r="AB3289" s="39"/>
      <c r="AC3289" s="39"/>
      <c r="AD3289" s="39"/>
      <c r="AE3289" s="39"/>
      <c r="AF3289" s="39"/>
      <c r="AG3289" s="39"/>
      <c r="AH3289" s="39"/>
      <c r="AI3289" s="39"/>
      <c r="AJ3289" s="39"/>
      <c r="AK3289" s="39"/>
      <c r="AL3289" s="39"/>
      <c r="AM3289" s="39"/>
      <c r="AN3289" s="39"/>
      <c r="AO3289" s="39"/>
      <c r="AP3289" s="39"/>
      <c r="AQ3289" s="39"/>
      <c r="AR3289" s="39"/>
      <c r="AS3289" s="39"/>
      <c r="AT3289" s="39"/>
      <c r="AU3289" s="39"/>
      <c r="AV3289" s="39"/>
      <c r="AW3289" s="39"/>
      <c r="AX3289" s="39"/>
      <c r="AY3289" s="39"/>
    </row>
    <row r="3290" spans="2:51" s="449" customFormat="1" ht="31.5" customHeight="1" x14ac:dyDescent="0.45">
      <c r="B3290" s="468"/>
      <c r="C3290" s="492" t="str">
        <f>IF(O3290&lt;0,"OPERATING LOSS FOR THE YEAR","OPERATING PROFIT FOR THE YEAR")</f>
        <v>OPERATING PROFIT FOR THE YEAR</v>
      </c>
      <c r="J3290" s="451"/>
      <c r="K3290" s="451">
        <f>'FS2'!B1102</f>
        <v>4</v>
      </c>
      <c r="L3290" s="452"/>
      <c r="M3290" s="527"/>
      <c r="N3290" s="451"/>
      <c r="O3290" s="531">
        <f>SUM(S3165:S3287)</f>
        <v>0</v>
      </c>
      <c r="P3290" s="459"/>
      <c r="Q3290" s="469"/>
      <c r="R3290" s="512" t="str">
        <f t="shared" si="255"/>
        <v>DELETE</v>
      </c>
      <c r="S3290" s="513"/>
      <c r="T3290" s="513"/>
      <c r="U3290" s="513"/>
      <c r="V3290" s="513"/>
      <c r="W3290" s="513"/>
      <c r="X3290" s="513"/>
      <c r="Y3290" s="521"/>
      <c r="Z3290" s="521"/>
      <c r="AA3290" s="514"/>
      <c r="AB3290" s="39"/>
      <c r="AC3290" s="39"/>
      <c r="AD3290" s="39"/>
      <c r="AE3290" s="39"/>
      <c r="AF3290" s="39"/>
      <c r="AG3290" s="39"/>
      <c r="AH3290" s="39"/>
      <c r="AI3290" s="39"/>
      <c r="AJ3290" s="39"/>
      <c r="AK3290" s="39"/>
      <c r="AL3290" s="39"/>
      <c r="AM3290" s="39"/>
      <c r="AN3290" s="39"/>
      <c r="AO3290" s="39"/>
      <c r="AP3290" s="39"/>
      <c r="AQ3290" s="39"/>
      <c r="AR3290" s="39"/>
      <c r="AS3290" s="39"/>
      <c r="AT3290" s="39"/>
      <c r="AU3290" s="39"/>
      <c r="AV3290" s="39"/>
      <c r="AW3290" s="39"/>
      <c r="AX3290" s="39"/>
      <c r="AY3290" s="39"/>
    </row>
    <row r="3291" spans="2:51" s="449" customFormat="1" ht="31.5" customHeight="1" x14ac:dyDescent="0.45">
      <c r="B3291" s="468"/>
      <c r="C3291" s="450"/>
      <c r="J3291" s="451"/>
      <c r="K3291" s="451"/>
      <c r="L3291" s="452"/>
      <c r="M3291" s="527"/>
      <c r="N3291" s="451"/>
      <c r="O3291" s="531"/>
      <c r="P3291" s="459"/>
      <c r="Q3291" s="469"/>
      <c r="R3291" s="512" t="str">
        <f t="shared" si="255"/>
        <v>DELETE</v>
      </c>
      <c r="S3291" s="513"/>
      <c r="T3291" s="513"/>
      <c r="U3291" s="513"/>
      <c r="V3291" s="513"/>
      <c r="W3291" s="513"/>
      <c r="X3291" s="513"/>
      <c r="Y3291" s="521"/>
      <c r="Z3291" s="521"/>
      <c r="AA3291" s="514"/>
      <c r="AB3291" s="39"/>
      <c r="AC3291" s="39"/>
      <c r="AD3291" s="39"/>
      <c r="AE3291" s="39"/>
      <c r="AF3291" s="39"/>
      <c r="AG3291" s="39"/>
      <c r="AH3291" s="39"/>
      <c r="AI3291" s="39"/>
      <c r="AJ3291" s="39"/>
      <c r="AK3291" s="39"/>
      <c r="AL3291" s="39"/>
      <c r="AM3291" s="39"/>
      <c r="AN3291" s="39"/>
      <c r="AO3291" s="39"/>
      <c r="AP3291" s="39"/>
      <c r="AQ3291" s="39"/>
      <c r="AR3291" s="39"/>
      <c r="AS3291" s="39"/>
      <c r="AT3291" s="39"/>
      <c r="AU3291" s="39"/>
      <c r="AV3291" s="39"/>
      <c r="AW3291" s="39"/>
      <c r="AX3291" s="39"/>
      <c r="AY3291" s="39"/>
    </row>
    <row r="3292" spans="2:51" s="449" customFormat="1" ht="31.5" customHeight="1" x14ac:dyDescent="0.45">
      <c r="B3292" s="468"/>
      <c r="C3292" s="450" t="s">
        <v>139</v>
      </c>
      <c r="J3292" s="451"/>
      <c r="K3292" s="451">
        <f>'FS2'!B1189</f>
        <v>5</v>
      </c>
      <c r="L3292" s="452"/>
      <c r="M3292" s="527"/>
      <c r="N3292" s="451"/>
      <c r="O3292" s="531">
        <f>SUM(O3295:O3302)</f>
        <v>0</v>
      </c>
      <c r="P3292" s="459"/>
      <c r="Q3292" s="469"/>
      <c r="R3292" s="512" t="str">
        <f t="shared" ref="R3292" si="256">IF(R$3153="DELETE","DELETE",IF(O3292=0,"DELETE"," "))</f>
        <v>DELETE</v>
      </c>
      <c r="S3292" s="517">
        <f>O3292</f>
        <v>0</v>
      </c>
      <c r="T3292" s="517"/>
      <c r="U3292" s="517"/>
      <c r="V3292" s="517"/>
      <c r="W3292" s="513"/>
      <c r="X3292" s="513"/>
      <c r="Y3292" s="521"/>
      <c r="Z3292" s="521"/>
      <c r="AA3292" s="514"/>
      <c r="AB3292" s="39"/>
      <c r="AC3292" s="39"/>
      <c r="AD3292" s="39"/>
      <c r="AE3292" s="39"/>
      <c r="AF3292" s="39"/>
      <c r="AG3292" s="39"/>
      <c r="AH3292" s="39"/>
      <c r="AI3292" s="39"/>
      <c r="AJ3292" s="39"/>
      <c r="AK3292" s="39"/>
      <c r="AL3292" s="39"/>
      <c r="AM3292" s="39"/>
      <c r="AN3292" s="39"/>
      <c r="AO3292" s="39"/>
      <c r="AP3292" s="39"/>
      <c r="AQ3292" s="39"/>
      <c r="AR3292" s="39"/>
      <c r="AS3292" s="39"/>
      <c r="AT3292" s="39"/>
      <c r="AU3292" s="39"/>
      <c r="AV3292" s="39"/>
      <c r="AW3292" s="39"/>
      <c r="AX3292" s="39"/>
      <c r="AY3292" s="39"/>
    </row>
    <row r="3293" spans="2:51" s="449" customFormat="1" ht="9" customHeight="1" x14ac:dyDescent="0.45">
      <c r="B3293" s="468"/>
      <c r="C3293" s="450"/>
      <c r="J3293" s="451"/>
      <c r="K3293" s="451"/>
      <c r="L3293" s="452"/>
      <c r="M3293" s="527"/>
      <c r="N3293" s="451"/>
      <c r="O3293" s="531"/>
      <c r="P3293" s="459"/>
      <c r="Q3293" s="469"/>
      <c r="R3293" s="512" t="str">
        <f>R3292</f>
        <v>DELETE</v>
      </c>
      <c r="S3293" s="513"/>
      <c r="T3293" s="513"/>
      <c r="U3293" s="513"/>
      <c r="V3293" s="513"/>
      <c r="W3293" s="513"/>
      <c r="X3293" s="513"/>
      <c r="Y3293" s="521"/>
      <c r="Z3293" s="521"/>
      <c r="AA3293" s="514"/>
      <c r="AB3293" s="39"/>
      <c r="AC3293" s="39"/>
      <c r="AD3293" s="39"/>
      <c r="AE3293" s="39"/>
      <c r="AF3293" s="39"/>
      <c r="AG3293" s="39"/>
      <c r="AH3293" s="39"/>
      <c r="AI3293" s="39"/>
      <c r="AJ3293" s="39"/>
      <c r="AK3293" s="39"/>
      <c r="AL3293" s="39"/>
      <c r="AM3293" s="39"/>
      <c r="AN3293" s="39"/>
      <c r="AO3293" s="39"/>
      <c r="AP3293" s="39"/>
      <c r="AQ3293" s="39"/>
      <c r="AR3293" s="39"/>
      <c r="AS3293" s="39"/>
      <c r="AT3293" s="39"/>
      <c r="AU3293" s="39"/>
      <c r="AV3293" s="39"/>
      <c r="AW3293" s="39"/>
      <c r="AX3293" s="39"/>
      <c r="AY3293" s="39"/>
    </row>
    <row r="3294" spans="2:51" s="449" customFormat="1" ht="9" customHeight="1" x14ac:dyDescent="0.45">
      <c r="B3294" s="468"/>
      <c r="C3294" s="450"/>
      <c r="J3294" s="451"/>
      <c r="K3294" s="451"/>
      <c r="L3294" s="452"/>
      <c r="M3294" s="527"/>
      <c r="N3294" s="451"/>
      <c r="O3294" s="558"/>
      <c r="P3294" s="459"/>
      <c r="Q3294" s="469"/>
      <c r="R3294" s="512" t="str">
        <f>R3293</f>
        <v>DELETE</v>
      </c>
      <c r="S3294" s="513"/>
      <c r="T3294" s="513"/>
      <c r="U3294" s="513"/>
      <c r="V3294" s="513"/>
      <c r="W3294" s="513"/>
      <c r="X3294" s="513"/>
      <c r="Y3294" s="521"/>
      <c r="Z3294" s="521"/>
      <c r="AA3294" s="514"/>
      <c r="AB3294" s="39"/>
      <c r="AC3294" s="39"/>
      <c r="AD3294" s="39"/>
      <c r="AE3294" s="39"/>
      <c r="AF3294" s="39"/>
      <c r="AG3294" s="39"/>
      <c r="AH3294" s="39"/>
      <c r="AI3294" s="39"/>
      <c r="AJ3294" s="39"/>
      <c r="AK3294" s="39"/>
      <c r="AL3294" s="39"/>
      <c r="AM3294" s="39"/>
      <c r="AN3294" s="39"/>
      <c r="AO3294" s="39"/>
      <c r="AP3294" s="39"/>
      <c r="AQ3294" s="39"/>
      <c r="AR3294" s="39"/>
      <c r="AS3294" s="39"/>
      <c r="AT3294" s="39"/>
      <c r="AU3294" s="39"/>
      <c r="AV3294" s="39"/>
      <c r="AW3294" s="39"/>
      <c r="AX3294" s="39"/>
      <c r="AY3294" s="39"/>
    </row>
    <row r="3295" spans="2:51" s="449" customFormat="1" ht="31.5" customHeight="1" x14ac:dyDescent="0.45">
      <c r="B3295" s="468"/>
      <c r="C3295" s="450"/>
      <c r="D3295" s="449" t="s">
        <v>243</v>
      </c>
      <c r="J3295" s="451"/>
      <c r="K3295" s="451"/>
      <c r="L3295" s="452"/>
      <c r="M3295" s="527"/>
      <c r="N3295" s="451"/>
      <c r="O3295" s="559">
        <f>-TrialBalanceC!I94</f>
        <v>0</v>
      </c>
      <c r="P3295" s="459"/>
      <c r="Q3295" s="469"/>
      <c r="R3295" s="512" t="str">
        <f t="shared" ref="R3295:R3300" si="257">IF(R$3153="DELETE","DELETE",IF(O3295=0,"DELETE"," "))</f>
        <v>DELETE</v>
      </c>
      <c r="S3295" s="513"/>
      <c r="T3295" s="513"/>
      <c r="U3295" s="513"/>
      <c r="V3295" s="513"/>
      <c r="W3295" s="513"/>
      <c r="X3295" s="513"/>
      <c r="Y3295" s="521"/>
      <c r="Z3295" s="521"/>
      <c r="AA3295" s="514"/>
      <c r="AB3295" s="39"/>
      <c r="AC3295" s="39"/>
      <c r="AD3295" s="39"/>
      <c r="AE3295" s="39"/>
      <c r="AF3295" s="39"/>
      <c r="AG3295" s="39"/>
      <c r="AH3295" s="39"/>
      <c r="AI3295" s="39"/>
      <c r="AJ3295" s="39"/>
      <c r="AK3295" s="39"/>
      <c r="AL3295" s="39"/>
      <c r="AM3295" s="39"/>
      <c r="AN3295" s="39"/>
      <c r="AO3295" s="39"/>
      <c r="AP3295" s="39"/>
      <c r="AQ3295" s="39"/>
      <c r="AR3295" s="39"/>
      <c r="AS3295" s="39"/>
      <c r="AT3295" s="39"/>
      <c r="AU3295" s="39"/>
      <c r="AV3295" s="39"/>
      <c r="AW3295" s="39"/>
      <c r="AX3295" s="39"/>
      <c r="AY3295" s="39"/>
    </row>
    <row r="3296" spans="2:51" s="449" customFormat="1" ht="31.5" customHeight="1" x14ac:dyDescent="0.45">
      <c r="B3296" s="468"/>
      <c r="C3296" s="450"/>
      <c r="D3296" s="449" t="s">
        <v>612</v>
      </c>
      <c r="J3296" s="451"/>
      <c r="K3296" s="451"/>
      <c r="L3296" s="452"/>
      <c r="M3296" s="527"/>
      <c r="N3296" s="451"/>
      <c r="O3296" s="559">
        <f>-SUM(TrialBalanceC!I90:I92)</f>
        <v>0</v>
      </c>
      <c r="P3296" s="459"/>
      <c r="Q3296" s="469"/>
      <c r="R3296" s="512" t="str">
        <f t="shared" si="257"/>
        <v>DELETE</v>
      </c>
      <c r="S3296" s="513"/>
      <c r="T3296" s="513"/>
      <c r="U3296" s="513"/>
      <c r="V3296" s="513"/>
      <c r="W3296" s="513"/>
      <c r="X3296" s="513"/>
      <c r="Y3296" s="521"/>
      <c r="Z3296" s="521"/>
      <c r="AA3296" s="514"/>
      <c r="AB3296" s="39"/>
      <c r="AC3296" s="39"/>
      <c r="AD3296" s="39"/>
      <c r="AE3296" s="39"/>
      <c r="AF3296" s="39"/>
      <c r="AG3296" s="39"/>
      <c r="AH3296" s="39"/>
      <c r="AI3296" s="39"/>
      <c r="AJ3296" s="39"/>
      <c r="AK3296" s="39"/>
      <c r="AL3296" s="39"/>
      <c r="AM3296" s="39"/>
      <c r="AN3296" s="39"/>
      <c r="AO3296" s="39"/>
      <c r="AP3296" s="39"/>
      <c r="AQ3296" s="39"/>
      <c r="AR3296" s="39"/>
      <c r="AS3296" s="39"/>
      <c r="AT3296" s="39"/>
      <c r="AU3296" s="39"/>
      <c r="AV3296" s="39"/>
      <c r="AW3296" s="39"/>
      <c r="AX3296" s="39"/>
      <c r="AY3296" s="39"/>
    </row>
    <row r="3297" spans="2:51" s="449" customFormat="1" ht="31.5" customHeight="1" x14ac:dyDescent="0.45">
      <c r="B3297" s="468"/>
      <c r="C3297" s="450"/>
      <c r="D3297" s="449" t="s">
        <v>613</v>
      </c>
      <c r="J3297" s="451"/>
      <c r="K3297" s="451"/>
      <c r="L3297" s="452"/>
      <c r="M3297" s="527"/>
      <c r="N3297" s="451"/>
      <c r="O3297" s="561">
        <f>-SUM(TrialBalanceC!I85:I88)</f>
        <v>0</v>
      </c>
      <c r="P3297" s="459"/>
      <c r="Q3297" s="469"/>
      <c r="R3297" s="512" t="str">
        <f t="shared" si="257"/>
        <v>DELETE</v>
      </c>
      <c r="S3297" s="513"/>
      <c r="T3297" s="513"/>
      <c r="U3297" s="513"/>
      <c r="V3297" s="513"/>
      <c r="W3297" s="513"/>
      <c r="X3297" s="513"/>
      <c r="Y3297" s="521"/>
      <c r="Z3297" s="521"/>
      <c r="AA3297" s="514"/>
      <c r="AB3297" s="39"/>
      <c r="AC3297" s="39"/>
      <c r="AD3297" s="39"/>
      <c r="AE3297" s="39"/>
      <c r="AF3297" s="39"/>
      <c r="AG3297" s="39"/>
      <c r="AH3297" s="39"/>
      <c r="AI3297" s="39"/>
      <c r="AJ3297" s="39"/>
      <c r="AK3297" s="39"/>
      <c r="AL3297" s="39"/>
      <c r="AM3297" s="39"/>
      <c r="AN3297" s="39"/>
      <c r="AO3297" s="39"/>
      <c r="AP3297" s="39"/>
      <c r="AQ3297" s="39"/>
      <c r="AR3297" s="39"/>
      <c r="AS3297" s="39"/>
      <c r="AT3297" s="39"/>
      <c r="AU3297" s="39"/>
      <c r="AV3297" s="39"/>
      <c r="AW3297" s="39"/>
      <c r="AX3297" s="39"/>
      <c r="AY3297" s="39"/>
    </row>
    <row r="3298" spans="2:51" s="449" customFormat="1" ht="31.5" customHeight="1" x14ac:dyDescent="0.45">
      <c r="B3298" s="468"/>
      <c r="C3298" s="450"/>
      <c r="D3298" s="449" t="s">
        <v>245</v>
      </c>
      <c r="J3298" s="451"/>
      <c r="K3298" s="451"/>
      <c r="L3298" s="452"/>
      <c r="M3298" s="527"/>
      <c r="N3298" s="451"/>
      <c r="O3298" s="561">
        <f>-SUM(TrialBalanceC!I95)</f>
        <v>0</v>
      </c>
      <c r="P3298" s="459"/>
      <c r="Q3298" s="469"/>
      <c r="R3298" s="512" t="str">
        <f t="shared" si="257"/>
        <v>DELETE</v>
      </c>
      <c r="S3298" s="513"/>
      <c r="T3298" s="513"/>
      <c r="U3298" s="513"/>
      <c r="V3298" s="513"/>
      <c r="W3298" s="513"/>
      <c r="X3298" s="513"/>
      <c r="Y3298" s="521"/>
      <c r="Z3298" s="521"/>
      <c r="AA3298" s="514"/>
      <c r="AB3298" s="39"/>
      <c r="AC3298" s="39"/>
      <c r="AD3298" s="39"/>
      <c r="AE3298" s="39"/>
      <c r="AF3298" s="39"/>
      <c r="AG3298" s="39"/>
      <c r="AH3298" s="39"/>
      <c r="AI3298" s="39"/>
      <c r="AJ3298" s="39"/>
      <c r="AK3298" s="39"/>
      <c r="AL3298" s="39"/>
      <c r="AM3298" s="39"/>
      <c r="AN3298" s="39"/>
      <c r="AO3298" s="39"/>
      <c r="AP3298" s="39"/>
      <c r="AQ3298" s="39"/>
      <c r="AR3298" s="39"/>
      <c r="AS3298" s="39"/>
      <c r="AT3298" s="39"/>
      <c r="AU3298" s="39"/>
      <c r="AV3298" s="39"/>
      <c r="AW3298" s="39"/>
      <c r="AX3298" s="39"/>
      <c r="AY3298" s="39"/>
    </row>
    <row r="3299" spans="2:51" s="449" customFormat="1" ht="31.5" customHeight="1" x14ac:dyDescent="0.45">
      <c r="B3299" s="468"/>
      <c r="C3299" s="450"/>
      <c r="D3299" s="449" t="s">
        <v>634</v>
      </c>
      <c r="J3299" s="451"/>
      <c r="K3299" s="451"/>
      <c r="L3299" s="452"/>
      <c r="M3299" s="527"/>
      <c r="N3299" s="451"/>
      <c r="O3299" s="559">
        <f>IF(TrialBalanceC!I93&lt;0,-TrialBalanceC!I93,0)</f>
        <v>0</v>
      </c>
      <c r="P3299" s="459"/>
      <c r="Q3299" s="469"/>
      <c r="R3299" s="512" t="str">
        <f t="shared" si="257"/>
        <v>DELETE</v>
      </c>
      <c r="S3299" s="513"/>
      <c r="T3299" s="513"/>
      <c r="U3299" s="513"/>
      <c r="V3299" s="513"/>
      <c r="W3299" s="513"/>
      <c r="X3299" s="513"/>
      <c r="Y3299" s="521"/>
      <c r="Z3299" s="521"/>
      <c r="AA3299" s="514"/>
      <c r="AB3299" s="39"/>
      <c r="AC3299" s="39"/>
      <c r="AD3299" s="39"/>
      <c r="AE3299" s="39"/>
      <c r="AF3299" s="39"/>
      <c r="AG3299" s="39"/>
      <c r="AH3299" s="39"/>
      <c r="AI3299" s="39"/>
      <c r="AJ3299" s="39"/>
      <c r="AK3299" s="39"/>
      <c r="AL3299" s="39"/>
      <c r="AM3299" s="39"/>
      <c r="AN3299" s="39"/>
      <c r="AO3299" s="39"/>
      <c r="AP3299" s="39"/>
      <c r="AQ3299" s="39"/>
      <c r="AR3299" s="39"/>
      <c r="AS3299" s="39"/>
      <c r="AT3299" s="39"/>
      <c r="AU3299" s="39"/>
      <c r="AV3299" s="39"/>
      <c r="AW3299" s="39"/>
      <c r="AX3299" s="39"/>
      <c r="AY3299" s="39"/>
    </row>
    <row r="3300" spans="2:51" s="449" customFormat="1" ht="31.5" customHeight="1" x14ac:dyDescent="0.45">
      <c r="B3300" s="468"/>
      <c r="C3300" s="450"/>
      <c r="D3300" s="449" t="s">
        <v>433</v>
      </c>
      <c r="J3300" s="451"/>
      <c r="K3300" s="451"/>
      <c r="L3300" s="452"/>
      <c r="M3300" s="527"/>
      <c r="N3300" s="451"/>
      <c r="O3300" s="559">
        <f>-TrialBalanceC!I83</f>
        <v>0</v>
      </c>
      <c r="P3300" s="459"/>
      <c r="Q3300" s="469"/>
      <c r="R3300" s="512" t="str">
        <f t="shared" si="257"/>
        <v>DELETE</v>
      </c>
      <c r="S3300" s="513"/>
      <c r="T3300" s="513"/>
      <c r="U3300" s="513"/>
      <c r="V3300" s="513"/>
      <c r="W3300" s="513"/>
      <c r="X3300" s="513"/>
      <c r="Y3300" s="521"/>
      <c r="Z3300" s="521"/>
      <c r="AA3300" s="514"/>
      <c r="AB3300" s="39"/>
      <c r="AC3300" s="39"/>
      <c r="AD3300" s="39"/>
      <c r="AE3300" s="39"/>
      <c r="AF3300" s="39"/>
      <c r="AG3300" s="39"/>
      <c r="AH3300" s="39"/>
      <c r="AI3300" s="39"/>
      <c r="AJ3300" s="39"/>
      <c r="AK3300" s="39"/>
      <c r="AL3300" s="39"/>
      <c r="AM3300" s="39"/>
      <c r="AN3300" s="39"/>
      <c r="AO3300" s="39"/>
      <c r="AP3300" s="39"/>
      <c r="AQ3300" s="39"/>
      <c r="AR3300" s="39"/>
      <c r="AS3300" s="39"/>
      <c r="AT3300" s="39"/>
      <c r="AU3300" s="39"/>
      <c r="AV3300" s="39"/>
      <c r="AW3300" s="39"/>
      <c r="AX3300" s="39"/>
      <c r="AY3300" s="39"/>
    </row>
    <row r="3301" spans="2:51" s="449" customFormat="1" ht="31.5" customHeight="1" x14ac:dyDescent="0.45">
      <c r="B3301" s="468"/>
      <c r="C3301" s="450"/>
      <c r="D3301" s="449" t="str">
        <f>TrialBalance!C96</f>
        <v>Revaluation of investment property</v>
      </c>
      <c r="J3301" s="451"/>
      <c r="K3301" s="451"/>
      <c r="L3301" s="452"/>
      <c r="M3301" s="527"/>
      <c r="N3301" s="451"/>
      <c r="O3301" s="559">
        <f>-TrialBalanceC!I96</f>
        <v>0</v>
      </c>
      <c r="P3301" s="459"/>
      <c r="Q3301" s="469"/>
      <c r="R3301" s="512" t="str">
        <f>IF(R$3153="DELETE","DELETE",IF(O3301=0,"DELETE"," "))</f>
        <v>DELETE</v>
      </c>
      <c r="S3301" s="513"/>
      <c r="T3301" s="513"/>
      <c r="U3301" s="513"/>
      <c r="V3301" s="513"/>
      <c r="W3301" s="513"/>
      <c r="X3301" s="513"/>
      <c r="Y3301" s="521"/>
      <c r="Z3301" s="521"/>
      <c r="AA3301" s="514"/>
      <c r="AB3301" s="39"/>
      <c r="AC3301" s="39"/>
      <c r="AD3301" s="39"/>
      <c r="AE3301" s="39"/>
      <c r="AF3301" s="39"/>
      <c r="AG3301" s="39"/>
      <c r="AH3301" s="39"/>
      <c r="AI3301" s="39"/>
      <c r="AJ3301" s="39"/>
      <c r="AK3301" s="39"/>
      <c r="AL3301" s="39"/>
      <c r="AM3301" s="39"/>
      <c r="AN3301" s="39"/>
      <c r="AO3301" s="39"/>
      <c r="AP3301" s="39"/>
      <c r="AQ3301" s="39"/>
      <c r="AR3301" s="39"/>
      <c r="AS3301" s="39"/>
      <c r="AT3301" s="39"/>
      <c r="AU3301" s="39"/>
      <c r="AV3301" s="39"/>
      <c r="AW3301" s="39"/>
      <c r="AX3301" s="39"/>
      <c r="AY3301" s="39"/>
    </row>
    <row r="3302" spans="2:51" s="449" customFormat="1" ht="9" customHeight="1" x14ac:dyDescent="0.45">
      <c r="B3302" s="468"/>
      <c r="C3302" s="450"/>
      <c r="J3302" s="451"/>
      <c r="K3302" s="451"/>
      <c r="L3302" s="452"/>
      <c r="M3302" s="527"/>
      <c r="N3302" s="451"/>
      <c r="O3302" s="560"/>
      <c r="P3302" s="459"/>
      <c r="Q3302" s="469"/>
      <c r="R3302" s="512" t="str">
        <f>R3292</f>
        <v>DELETE</v>
      </c>
      <c r="S3302" s="513"/>
      <c r="T3302" s="513"/>
      <c r="U3302" s="513"/>
      <c r="V3302" s="513"/>
      <c r="W3302" s="513"/>
      <c r="X3302" s="513"/>
      <c r="Y3302" s="521"/>
      <c r="Z3302" s="521"/>
      <c r="AA3302" s="514"/>
      <c r="AB3302" s="39"/>
      <c r="AC3302" s="39"/>
      <c r="AD3302" s="39"/>
      <c r="AE3302" s="39"/>
      <c r="AF3302" s="39"/>
      <c r="AG3302" s="39"/>
      <c r="AH3302" s="39"/>
      <c r="AI3302" s="39"/>
      <c r="AJ3302" s="39"/>
      <c r="AK3302" s="39"/>
      <c r="AL3302" s="39"/>
      <c r="AM3302" s="39"/>
      <c r="AN3302" s="39"/>
      <c r="AO3302" s="39"/>
      <c r="AP3302" s="39"/>
      <c r="AQ3302" s="39"/>
      <c r="AR3302" s="39"/>
      <c r="AS3302" s="39"/>
      <c r="AT3302" s="39"/>
      <c r="AU3302" s="39"/>
      <c r="AV3302" s="39"/>
      <c r="AW3302" s="39"/>
      <c r="AX3302" s="39"/>
      <c r="AY3302" s="39"/>
    </row>
    <row r="3303" spans="2:51" s="449" customFormat="1" ht="9" customHeight="1" x14ac:dyDescent="0.45">
      <c r="B3303" s="468"/>
      <c r="C3303" s="450"/>
      <c r="J3303" s="451"/>
      <c r="K3303" s="451"/>
      <c r="L3303" s="452"/>
      <c r="M3303" s="527"/>
      <c r="N3303" s="451"/>
      <c r="O3303" s="535"/>
      <c r="P3303" s="459"/>
      <c r="Q3303" s="469"/>
      <c r="R3303" s="512" t="str">
        <f>R3302</f>
        <v>DELETE</v>
      </c>
      <c r="S3303" s="513"/>
      <c r="T3303" s="513"/>
      <c r="U3303" s="513"/>
      <c r="V3303" s="513"/>
      <c r="W3303" s="513"/>
      <c r="X3303" s="513"/>
      <c r="Y3303" s="521"/>
      <c r="Z3303" s="521"/>
      <c r="AA3303" s="514"/>
      <c r="AB3303" s="39"/>
      <c r="AC3303" s="39"/>
      <c r="AD3303" s="39"/>
      <c r="AE3303" s="39"/>
      <c r="AF3303" s="39"/>
      <c r="AG3303" s="39"/>
      <c r="AH3303" s="39"/>
      <c r="AI3303" s="39"/>
      <c r="AJ3303" s="39"/>
      <c r="AK3303" s="39"/>
      <c r="AL3303" s="39"/>
      <c r="AM3303" s="39"/>
      <c r="AN3303" s="39"/>
      <c r="AO3303" s="39"/>
      <c r="AP3303" s="39"/>
      <c r="AQ3303" s="39"/>
      <c r="AR3303" s="39"/>
      <c r="AS3303" s="39"/>
      <c r="AT3303" s="39"/>
      <c r="AU3303" s="39"/>
      <c r="AV3303" s="39"/>
      <c r="AW3303" s="39"/>
      <c r="AX3303" s="39"/>
      <c r="AY3303" s="39"/>
    </row>
    <row r="3304" spans="2:51" s="449" customFormat="1" ht="9" customHeight="1" x14ac:dyDescent="0.45">
      <c r="B3304" s="468"/>
      <c r="C3304" s="450"/>
      <c r="J3304" s="451"/>
      <c r="K3304" s="451"/>
      <c r="L3304" s="452"/>
      <c r="M3304" s="527"/>
      <c r="N3304" s="451"/>
      <c r="O3304" s="531"/>
      <c r="P3304" s="459"/>
      <c r="Q3304" s="469"/>
      <c r="R3304" s="512" t="str">
        <f>R3303</f>
        <v>DELETE</v>
      </c>
      <c r="S3304" s="513"/>
      <c r="T3304" s="513"/>
      <c r="U3304" s="513"/>
      <c r="V3304" s="513"/>
      <c r="W3304" s="513"/>
      <c r="X3304" s="513"/>
      <c r="Y3304" s="521"/>
      <c r="Z3304" s="521"/>
      <c r="AA3304" s="514"/>
      <c r="AB3304" s="39"/>
      <c r="AC3304" s="39"/>
      <c r="AD3304" s="39"/>
      <c r="AE3304" s="39"/>
      <c r="AF3304" s="39"/>
      <c r="AG3304" s="39"/>
      <c r="AH3304" s="39"/>
      <c r="AI3304" s="39"/>
      <c r="AJ3304" s="39"/>
      <c r="AK3304" s="39"/>
      <c r="AL3304" s="39"/>
      <c r="AM3304" s="39"/>
      <c r="AN3304" s="39"/>
      <c r="AO3304" s="39"/>
      <c r="AP3304" s="39"/>
      <c r="AQ3304" s="39"/>
      <c r="AR3304" s="39"/>
      <c r="AS3304" s="39"/>
      <c r="AT3304" s="39"/>
      <c r="AU3304" s="39"/>
      <c r="AV3304" s="39"/>
      <c r="AW3304" s="39"/>
      <c r="AX3304" s="39"/>
      <c r="AY3304" s="39"/>
    </row>
    <row r="3305" spans="2:51" s="449" customFormat="1" ht="31.5" customHeight="1" x14ac:dyDescent="0.45">
      <c r="B3305" s="468"/>
      <c r="C3305" s="450"/>
      <c r="J3305" s="451"/>
      <c r="K3305" s="451"/>
      <c r="L3305" s="452"/>
      <c r="M3305" s="527"/>
      <c r="N3305" s="451"/>
      <c r="O3305" s="531">
        <f>SUM(S3165:S3302)</f>
        <v>0</v>
      </c>
      <c r="P3305" s="459"/>
      <c r="Q3305" s="469"/>
      <c r="R3305" s="512" t="str">
        <f>R3304</f>
        <v>DELETE</v>
      </c>
      <c r="S3305" s="513"/>
      <c r="T3305" s="513"/>
      <c r="U3305" s="513"/>
      <c r="V3305" s="513"/>
      <c r="W3305" s="513"/>
      <c r="X3305" s="513"/>
      <c r="Y3305" s="521"/>
      <c r="Z3305" s="521"/>
      <c r="AA3305" s="514"/>
      <c r="AB3305" s="39"/>
      <c r="AC3305" s="39"/>
      <c r="AD3305" s="39"/>
      <c r="AE3305" s="39"/>
      <c r="AF3305" s="39"/>
      <c r="AG3305" s="39"/>
      <c r="AH3305" s="39"/>
      <c r="AI3305" s="39"/>
      <c r="AJ3305" s="39"/>
      <c r="AK3305" s="39"/>
      <c r="AL3305" s="39"/>
      <c r="AM3305" s="39"/>
      <c r="AN3305" s="39"/>
      <c r="AO3305" s="39"/>
      <c r="AP3305" s="39"/>
      <c r="AQ3305" s="39"/>
      <c r="AR3305" s="39"/>
      <c r="AS3305" s="39"/>
      <c r="AT3305" s="39"/>
      <c r="AU3305" s="39"/>
      <c r="AV3305" s="39"/>
      <c r="AW3305" s="39"/>
      <c r="AX3305" s="39"/>
      <c r="AY3305" s="39"/>
    </row>
    <row r="3306" spans="2:51" s="449" customFormat="1" ht="31.5" customHeight="1" x14ac:dyDescent="0.45">
      <c r="B3306" s="468"/>
      <c r="C3306" s="450"/>
      <c r="J3306" s="451"/>
      <c r="K3306" s="451"/>
      <c r="L3306" s="452"/>
      <c r="M3306" s="527"/>
      <c r="N3306" s="451"/>
      <c r="O3306" s="531"/>
      <c r="P3306" s="459"/>
      <c r="Q3306" s="469"/>
      <c r="R3306" s="512" t="str">
        <f>R3305</f>
        <v>DELETE</v>
      </c>
      <c r="S3306" s="513"/>
      <c r="T3306" s="513"/>
      <c r="U3306" s="513"/>
      <c r="V3306" s="513"/>
      <c r="W3306" s="513"/>
      <c r="X3306" s="513"/>
      <c r="Y3306" s="521"/>
      <c r="Z3306" s="521"/>
      <c r="AA3306" s="514"/>
      <c r="AB3306" s="39"/>
      <c r="AC3306" s="39"/>
      <c r="AD3306" s="39"/>
      <c r="AE3306" s="39"/>
      <c r="AF3306" s="39"/>
      <c r="AG3306" s="39"/>
      <c r="AH3306" s="39"/>
      <c r="AI3306" s="39"/>
      <c r="AJ3306" s="39"/>
      <c r="AK3306" s="39"/>
      <c r="AL3306" s="39"/>
      <c r="AM3306" s="39"/>
      <c r="AN3306" s="39"/>
      <c r="AO3306" s="39"/>
      <c r="AP3306" s="39"/>
      <c r="AQ3306" s="39"/>
      <c r="AR3306" s="39"/>
      <c r="AS3306" s="39"/>
      <c r="AT3306" s="39"/>
      <c r="AU3306" s="39"/>
      <c r="AV3306" s="39"/>
      <c r="AW3306" s="39"/>
      <c r="AX3306" s="39"/>
      <c r="AY3306" s="39"/>
    </row>
    <row r="3307" spans="2:51" s="449" customFormat="1" ht="31.5" customHeight="1" x14ac:dyDescent="0.45">
      <c r="B3307" s="468"/>
      <c r="C3307" s="450" t="s">
        <v>318</v>
      </c>
      <c r="J3307" s="451"/>
      <c r="K3307" s="451">
        <f>'FS2'!B1248</f>
        <v>6</v>
      </c>
      <c r="L3307" s="452"/>
      <c r="M3307" s="527"/>
      <c r="N3307" s="451"/>
      <c r="O3307" s="531">
        <f>SUM(TrialBalanceC!I142:I152)</f>
        <v>0</v>
      </c>
      <c r="P3307" s="459"/>
      <c r="Q3307" s="469"/>
      <c r="R3307" s="512" t="str">
        <f t="shared" ref="R3307" si="258">IF(R$3153="DELETE","DELETE",IF(O3307=0,"DELETE"," "))</f>
        <v>DELETE</v>
      </c>
      <c r="S3307" s="517">
        <f>-O3307</f>
        <v>0</v>
      </c>
      <c r="T3307" s="517"/>
      <c r="U3307" s="517"/>
      <c r="V3307" s="517"/>
      <c r="W3307" s="513"/>
      <c r="X3307" s="513"/>
      <c r="Y3307" s="521"/>
      <c r="Z3307" s="521"/>
      <c r="AA3307" s="514"/>
      <c r="AB3307" s="39"/>
      <c r="AC3307" s="39"/>
      <c r="AD3307" s="39"/>
      <c r="AE3307" s="39"/>
      <c r="AF3307" s="39"/>
      <c r="AG3307" s="39"/>
      <c r="AH3307" s="39"/>
      <c r="AI3307" s="39"/>
      <c r="AJ3307" s="39"/>
      <c r="AK3307" s="39"/>
      <c r="AL3307" s="39"/>
      <c r="AM3307" s="39"/>
      <c r="AN3307" s="39"/>
      <c r="AO3307" s="39"/>
      <c r="AP3307" s="39"/>
      <c r="AQ3307" s="39"/>
      <c r="AR3307" s="39"/>
      <c r="AS3307" s="39"/>
      <c r="AT3307" s="39"/>
      <c r="AU3307" s="39"/>
      <c r="AV3307" s="39"/>
      <c r="AW3307" s="39"/>
      <c r="AX3307" s="39"/>
      <c r="AY3307" s="39"/>
    </row>
    <row r="3308" spans="2:51" s="449" customFormat="1" ht="9" customHeight="1" x14ac:dyDescent="0.45">
      <c r="B3308" s="468"/>
      <c r="C3308" s="450"/>
      <c r="J3308" s="451"/>
      <c r="K3308" s="451"/>
      <c r="L3308" s="452"/>
      <c r="M3308" s="527"/>
      <c r="N3308" s="451"/>
      <c r="O3308" s="535"/>
      <c r="P3308" s="459"/>
      <c r="Q3308" s="469"/>
      <c r="R3308" s="512" t="str">
        <f t="shared" ref="R3308:R3316" si="259">R$3153</f>
        <v>DELETE</v>
      </c>
      <c r="S3308" s="513"/>
      <c r="T3308" s="513"/>
      <c r="U3308" s="513"/>
      <c r="V3308" s="513"/>
      <c r="W3308" s="513"/>
      <c r="X3308" s="513"/>
      <c r="Y3308" s="521"/>
      <c r="Z3308" s="521"/>
      <c r="AA3308" s="514"/>
      <c r="AB3308" s="39"/>
      <c r="AC3308" s="39"/>
      <c r="AD3308" s="39"/>
      <c r="AE3308" s="39"/>
      <c r="AF3308" s="39"/>
      <c r="AG3308" s="39"/>
      <c r="AH3308" s="39"/>
      <c r="AI3308" s="39"/>
      <c r="AJ3308" s="39"/>
      <c r="AK3308" s="39"/>
      <c r="AL3308" s="39"/>
      <c r="AM3308" s="39"/>
      <c r="AN3308" s="39"/>
      <c r="AO3308" s="39"/>
      <c r="AP3308" s="39"/>
      <c r="AQ3308" s="39"/>
      <c r="AR3308" s="39"/>
      <c r="AS3308" s="39"/>
      <c r="AT3308" s="39"/>
      <c r="AU3308" s="39"/>
      <c r="AV3308" s="39"/>
      <c r="AW3308" s="39"/>
      <c r="AX3308" s="39"/>
      <c r="AY3308" s="39"/>
    </row>
    <row r="3309" spans="2:51" s="449" customFormat="1" ht="9" customHeight="1" x14ac:dyDescent="0.45">
      <c r="B3309" s="468"/>
      <c r="C3309" s="450"/>
      <c r="J3309" s="451"/>
      <c r="K3309" s="451"/>
      <c r="L3309" s="452"/>
      <c r="M3309" s="527"/>
      <c r="N3309" s="451"/>
      <c r="O3309" s="531"/>
      <c r="P3309" s="459"/>
      <c r="Q3309" s="469"/>
      <c r="R3309" s="512" t="str">
        <f t="shared" si="259"/>
        <v>DELETE</v>
      </c>
      <c r="S3309" s="513"/>
      <c r="T3309" s="513"/>
      <c r="U3309" s="513"/>
      <c r="V3309" s="513"/>
      <c r="W3309" s="513"/>
      <c r="X3309" s="513"/>
      <c r="Y3309" s="521"/>
      <c r="Z3309" s="521"/>
      <c r="AA3309" s="514"/>
      <c r="AB3309" s="39"/>
      <c r="AC3309" s="39"/>
      <c r="AD3309" s="39"/>
      <c r="AE3309" s="39"/>
      <c r="AF3309" s="39"/>
      <c r="AG3309" s="39"/>
      <c r="AH3309" s="39"/>
      <c r="AI3309" s="39"/>
      <c r="AJ3309" s="39"/>
      <c r="AK3309" s="39"/>
      <c r="AL3309" s="39"/>
      <c r="AM3309" s="39"/>
      <c r="AN3309" s="39"/>
      <c r="AO3309" s="39"/>
      <c r="AP3309" s="39"/>
      <c r="AQ3309" s="39"/>
      <c r="AR3309" s="39"/>
      <c r="AS3309" s="39"/>
      <c r="AT3309" s="39"/>
      <c r="AU3309" s="39"/>
      <c r="AV3309" s="39"/>
      <c r="AW3309" s="39"/>
      <c r="AX3309" s="39"/>
      <c r="AY3309" s="39"/>
    </row>
    <row r="3310" spans="2:51" s="449" customFormat="1" ht="31.5" customHeight="1" x14ac:dyDescent="0.45">
      <c r="B3310" s="468"/>
      <c r="C3310" s="492" t="str">
        <f>IF(O3310&lt;0,"LOSS BEFORE TAXATION","PROFIT BEFORE TAXATION")</f>
        <v>PROFIT BEFORE TAXATION</v>
      </c>
      <c r="J3310" s="451"/>
      <c r="K3310" s="451"/>
      <c r="L3310" s="452"/>
      <c r="M3310" s="527"/>
      <c r="N3310" s="451"/>
      <c r="O3310" s="531">
        <f>SUM(S3165:S3309)</f>
        <v>0</v>
      </c>
      <c r="P3310" s="459"/>
      <c r="Q3310" s="469"/>
      <c r="R3310" s="512" t="str">
        <f t="shared" si="259"/>
        <v>DELETE</v>
      </c>
      <c r="S3310" s="513"/>
      <c r="T3310" s="513"/>
      <c r="U3310" s="513" t="b">
        <f>O3310='FS2'!O2671</f>
        <v>1</v>
      </c>
      <c r="V3310" s="513"/>
      <c r="W3310" s="513"/>
      <c r="X3310" s="513"/>
      <c r="Y3310" s="521"/>
      <c r="Z3310" s="521"/>
      <c r="AA3310" s="514"/>
      <c r="AB3310" s="39"/>
      <c r="AC3310" s="39"/>
      <c r="AD3310" s="39"/>
      <c r="AE3310" s="39"/>
      <c r="AF3310" s="39"/>
      <c r="AG3310" s="39"/>
      <c r="AH3310" s="39"/>
      <c r="AI3310" s="39"/>
      <c r="AJ3310" s="39"/>
      <c r="AK3310" s="39"/>
      <c r="AL3310" s="39"/>
      <c r="AM3310" s="39"/>
      <c r="AN3310" s="39"/>
      <c r="AO3310" s="39"/>
      <c r="AP3310" s="39"/>
      <c r="AQ3310" s="39"/>
      <c r="AR3310" s="39"/>
      <c r="AS3310" s="39"/>
      <c r="AT3310" s="39"/>
      <c r="AU3310" s="39"/>
      <c r="AV3310" s="39"/>
      <c r="AW3310" s="39"/>
      <c r="AX3310" s="39"/>
      <c r="AY3310" s="39"/>
    </row>
    <row r="3311" spans="2:51" s="449" customFormat="1" ht="9" customHeight="1" thickBot="1" x14ac:dyDescent="0.5">
      <c r="B3311" s="468"/>
      <c r="C3311" s="450"/>
      <c r="J3311" s="451"/>
      <c r="K3311" s="451"/>
      <c r="L3311" s="452"/>
      <c r="M3311" s="527"/>
      <c r="N3311" s="451"/>
      <c r="O3311" s="536"/>
      <c r="P3311" s="459"/>
      <c r="Q3311" s="469"/>
      <c r="R3311" s="512" t="str">
        <f t="shared" si="259"/>
        <v>DELETE</v>
      </c>
      <c r="S3311" s="513"/>
      <c r="T3311" s="513"/>
      <c r="U3311" s="513"/>
      <c r="V3311" s="513"/>
      <c r="W3311" s="513"/>
      <c r="X3311" s="513"/>
      <c r="Y3311" s="521"/>
      <c r="Z3311" s="521"/>
      <c r="AA3311" s="514"/>
      <c r="AB3311" s="39"/>
      <c r="AC3311" s="39"/>
      <c r="AD3311" s="39"/>
      <c r="AE3311" s="39"/>
      <c r="AF3311" s="39"/>
      <c r="AG3311" s="39"/>
      <c r="AH3311" s="39"/>
      <c r="AI3311" s="39"/>
      <c r="AJ3311" s="39"/>
      <c r="AK3311" s="39"/>
      <c r="AL3311" s="39"/>
      <c r="AM3311" s="39"/>
      <c r="AN3311" s="39"/>
      <c r="AO3311" s="39"/>
      <c r="AP3311" s="39"/>
      <c r="AQ3311" s="39"/>
      <c r="AR3311" s="39"/>
      <c r="AS3311" s="39"/>
      <c r="AT3311" s="39"/>
      <c r="AU3311" s="39"/>
      <c r="AV3311" s="39"/>
      <c r="AW3311" s="39"/>
      <c r="AX3311" s="39"/>
      <c r="AY3311" s="39"/>
    </row>
    <row r="3312" spans="2:51" s="449" customFormat="1" ht="9" customHeight="1" thickTop="1" x14ac:dyDescent="0.45">
      <c r="B3312" s="468"/>
      <c r="C3312" s="450"/>
      <c r="J3312" s="451"/>
      <c r="K3312" s="451"/>
      <c r="L3312" s="452"/>
      <c r="M3312" s="527"/>
      <c r="N3312" s="451"/>
      <c r="O3312" s="548"/>
      <c r="P3312" s="459"/>
      <c r="Q3312" s="469"/>
      <c r="R3312" s="512" t="str">
        <f t="shared" si="259"/>
        <v>DELETE</v>
      </c>
      <c r="S3312" s="513"/>
      <c r="T3312" s="513"/>
      <c r="U3312" s="513"/>
      <c r="V3312" s="513"/>
      <c r="W3312" s="513"/>
      <c r="X3312" s="513"/>
      <c r="Y3312" s="521"/>
      <c r="Z3312" s="521"/>
      <c r="AA3312" s="514"/>
      <c r="AB3312" s="39"/>
      <c r="AC3312" s="39"/>
      <c r="AD3312" s="39"/>
      <c r="AE3312" s="39"/>
      <c r="AF3312" s="39"/>
      <c r="AG3312" s="39"/>
      <c r="AH3312" s="39"/>
      <c r="AI3312" s="39"/>
      <c r="AJ3312" s="39"/>
      <c r="AK3312" s="39"/>
      <c r="AL3312" s="39"/>
      <c r="AM3312" s="39"/>
      <c r="AN3312" s="39"/>
      <c r="AO3312" s="39"/>
      <c r="AP3312" s="39"/>
      <c r="AQ3312" s="39"/>
      <c r="AR3312" s="39"/>
      <c r="AS3312" s="39"/>
      <c r="AT3312" s="39"/>
      <c r="AU3312" s="39"/>
      <c r="AV3312" s="39"/>
      <c r="AW3312" s="39"/>
      <c r="AX3312" s="39"/>
      <c r="AY3312" s="39"/>
    </row>
    <row r="3313" spans="2:51" s="449" customFormat="1" ht="31.5" customHeight="1" x14ac:dyDescent="0.45">
      <c r="B3313" s="468"/>
      <c r="C3313" s="450"/>
      <c r="J3313" s="451"/>
      <c r="K3313" s="451"/>
      <c r="L3313" s="452"/>
      <c r="M3313" s="527"/>
      <c r="N3313" s="451"/>
      <c r="O3313" s="531"/>
      <c r="P3313" s="459"/>
      <c r="Q3313" s="469"/>
      <c r="R3313" s="512" t="str">
        <f t="shared" si="259"/>
        <v>DELETE</v>
      </c>
      <c r="S3313" s="513"/>
      <c r="T3313" s="513"/>
      <c r="U3313" s="513"/>
      <c r="V3313" s="513"/>
      <c r="W3313" s="513"/>
      <c r="X3313" s="513"/>
      <c r="Y3313" s="521"/>
      <c r="Z3313" s="521"/>
      <c r="AA3313" s="514"/>
      <c r="AB3313" s="39"/>
      <c r="AC3313" s="39"/>
      <c r="AD3313" s="39"/>
      <c r="AE3313" s="39"/>
      <c r="AF3313" s="39"/>
      <c r="AG3313" s="39"/>
      <c r="AH3313" s="39"/>
      <c r="AI3313" s="39"/>
      <c r="AJ3313" s="39"/>
      <c r="AK3313" s="39"/>
      <c r="AL3313" s="39"/>
      <c r="AM3313" s="39"/>
      <c r="AN3313" s="39"/>
      <c r="AO3313" s="39"/>
      <c r="AP3313" s="39"/>
      <c r="AQ3313" s="39"/>
      <c r="AR3313" s="39"/>
      <c r="AS3313" s="39"/>
      <c r="AT3313" s="39"/>
      <c r="AU3313" s="39"/>
      <c r="AV3313" s="39"/>
      <c r="AW3313" s="39"/>
      <c r="AX3313" s="39"/>
      <c r="AY3313" s="39"/>
    </row>
    <row r="3314" spans="2:51" s="449" customFormat="1" ht="31.5" customHeight="1" x14ac:dyDescent="0.45">
      <c r="B3314" s="468"/>
      <c r="C3314" s="450"/>
      <c r="J3314" s="451"/>
      <c r="K3314" s="451"/>
      <c r="L3314" s="451"/>
      <c r="M3314" s="531"/>
      <c r="N3314" s="470"/>
      <c r="O3314" s="531"/>
      <c r="P3314" s="459"/>
      <c r="Q3314" s="469"/>
      <c r="R3314" s="512" t="str">
        <f t="shared" si="259"/>
        <v>DELETE</v>
      </c>
      <c r="S3314" s="513"/>
      <c r="T3314" s="513"/>
      <c r="U3314" s="513"/>
      <c r="V3314" s="513"/>
      <c r="W3314" s="513"/>
      <c r="X3314" s="513"/>
      <c r="Y3314" s="521"/>
      <c r="Z3314" s="521"/>
      <c r="AA3314" s="514"/>
      <c r="AB3314" s="39"/>
      <c r="AC3314" s="39"/>
      <c r="AD3314" s="39"/>
      <c r="AE3314" s="39"/>
      <c r="AF3314" s="39"/>
      <c r="AG3314" s="39"/>
      <c r="AH3314" s="39"/>
      <c r="AI3314" s="39"/>
      <c r="AJ3314" s="39"/>
      <c r="AK3314" s="39"/>
      <c r="AL3314" s="39"/>
      <c r="AM3314" s="39"/>
      <c r="AN3314" s="39"/>
      <c r="AO3314" s="39"/>
      <c r="AP3314" s="39"/>
      <c r="AQ3314" s="39"/>
      <c r="AR3314" s="39"/>
      <c r="AS3314" s="39"/>
      <c r="AT3314" s="39"/>
      <c r="AU3314" s="39"/>
      <c r="AV3314" s="39"/>
      <c r="AW3314" s="39"/>
      <c r="AX3314" s="39"/>
      <c r="AY3314" s="39"/>
    </row>
    <row r="3315" spans="2:51" s="449" customFormat="1" ht="31.5" customHeight="1" x14ac:dyDescent="0.45">
      <c r="B3315" s="477"/>
      <c r="C3315" s="461"/>
      <c r="D3315" s="461"/>
      <c r="E3315" s="461"/>
      <c r="F3315" s="461"/>
      <c r="G3315" s="461"/>
      <c r="H3315" s="461"/>
      <c r="I3315" s="461"/>
      <c r="J3315" s="461"/>
      <c r="K3315" s="461"/>
      <c r="L3315" s="461"/>
      <c r="M3315" s="640"/>
      <c r="N3315" s="646"/>
      <c r="O3315" s="640"/>
      <c r="P3315" s="631"/>
      <c r="Q3315" s="479"/>
      <c r="R3315" s="512" t="str">
        <f t="shared" si="259"/>
        <v>DELETE</v>
      </c>
      <c r="S3315" s="513"/>
      <c r="T3315" s="513"/>
      <c r="U3315" s="513"/>
      <c r="V3315" s="513"/>
      <c r="W3315" s="513"/>
      <c r="X3315" s="513"/>
      <c r="Y3315" s="521"/>
      <c r="Z3315" s="521"/>
      <c r="AA3315" s="514"/>
      <c r="AB3315" s="39"/>
      <c r="AC3315" s="39"/>
      <c r="AD3315" s="39"/>
      <c r="AE3315" s="39"/>
      <c r="AF3315" s="39"/>
      <c r="AG3315" s="39"/>
      <c r="AH3315" s="39"/>
      <c r="AI3315" s="39"/>
      <c r="AJ3315" s="39"/>
      <c r="AK3315" s="39"/>
      <c r="AL3315" s="39"/>
      <c r="AM3315" s="39"/>
      <c r="AN3315" s="39"/>
      <c r="AO3315" s="39"/>
      <c r="AP3315" s="39"/>
      <c r="AQ3315" s="39"/>
      <c r="AR3315" s="39"/>
      <c r="AS3315" s="39"/>
      <c r="AT3315" s="39"/>
      <c r="AU3315" s="39"/>
      <c r="AV3315" s="39"/>
      <c r="AW3315" s="39"/>
      <c r="AX3315" s="39"/>
      <c r="AY3315" s="39"/>
    </row>
    <row r="3316" spans="2:51" s="449" customFormat="1" ht="31.5" customHeight="1" x14ac:dyDescent="0.45">
      <c r="M3316" s="635"/>
      <c r="N3316" s="621"/>
      <c r="O3316" s="635"/>
      <c r="P3316" s="620"/>
      <c r="R3316" s="512" t="str">
        <f t="shared" si="259"/>
        <v>DELETE</v>
      </c>
      <c r="S3316" s="513"/>
      <c r="T3316" s="513"/>
      <c r="U3316" s="513"/>
      <c r="V3316" s="513"/>
      <c r="W3316" s="513"/>
      <c r="X3316" s="513"/>
      <c r="Y3316" s="521"/>
      <c r="Z3316" s="521"/>
      <c r="AA3316" s="514"/>
      <c r="AB3316" s="39"/>
      <c r="AC3316" s="39"/>
      <c r="AD3316" s="39"/>
      <c r="AE3316" s="39"/>
      <c r="AF3316" s="39"/>
      <c r="AG3316" s="39"/>
      <c r="AH3316" s="39"/>
      <c r="AI3316" s="39"/>
      <c r="AJ3316" s="39"/>
      <c r="AK3316" s="39"/>
      <c r="AL3316" s="39"/>
      <c r="AM3316" s="39"/>
      <c r="AN3316" s="39"/>
      <c r="AO3316" s="39"/>
      <c r="AP3316" s="39"/>
      <c r="AQ3316" s="39"/>
      <c r="AR3316" s="39"/>
      <c r="AS3316" s="39"/>
      <c r="AT3316" s="39"/>
      <c r="AU3316" s="39"/>
      <c r="AV3316" s="39"/>
      <c r="AW3316" s="39"/>
      <c r="AX3316" s="39"/>
      <c r="AY3316" s="39"/>
    </row>
  </sheetData>
  <sheetProtection formatColumns="0" formatRows="0" insertRows="0" deleteRows="0"/>
  <sortState xmlns:xlrd2="http://schemas.microsoft.com/office/spreadsheetml/2017/richdata2" ref="D2442:R2445">
    <sortCondition ref="D2442"/>
  </sortState>
  <mergeCells count="13">
    <mergeCell ref="L2493:N2493"/>
    <mergeCell ref="L2494:N2494"/>
    <mergeCell ref="D379:H379"/>
    <mergeCell ref="E383:H383"/>
    <mergeCell ref="U1:V1"/>
    <mergeCell ref="J211:K211"/>
    <mergeCell ref="O2493:P2493"/>
    <mergeCell ref="O2494:P2494"/>
    <mergeCell ref="A235:Q235"/>
    <mergeCell ref="A288:P288"/>
    <mergeCell ref="D16:N16"/>
    <mergeCell ref="D18:N18"/>
    <mergeCell ref="D20:N20"/>
  </mergeCells>
  <hyperlinks>
    <hyperlink ref="D549" r:id="rId1" display="=@IF(U501+V501=1,&quot;GROSS PROFIT/(LOSS)&quot;,IF((U501+V501=2),&quot;GROSS PROFIT&quot;,&quot;GROSS LOSS&quot;))" xr:uid="{6EC37E41-BCC4-4C53-9493-94F79E412701}"/>
    <hyperlink ref="D554" r:id="rId2" display="=@IF(U501+V501=1,&quot;GROSS PROFIT/(LOSS)&quot;,IF((U501+V501=2),&quot;GROSS PROFIT&quot;,&quot;GROSS LOSS&quot;))" xr:uid="{FFB167F4-7EB2-4FEE-8BFC-C7143253C1DE}"/>
    <hyperlink ref="C2538" r:id="rId3" display="=@IF(U501+V501=1,&quot;GROSS PROFIT/(LOSS)&quot;,IF((U501+V501=2),&quot;GROSS PROFIT&quot;,&quot;GROSS LOSS&quot;))" xr:uid="{1643BDFA-D727-47D4-9BA2-6D5DCF7E0D84}"/>
    <hyperlink ref="C2587" r:id="rId4" display="=@IF(U501+V501=1,&quot;GROSS PROFIT/(LOSS)&quot;,IF((U501+V501=2),&quot;GROSS PROFIT&quot;,&quot;GROSS LOSS&quot;))" xr:uid="{103FBFC9-7DF4-4D47-A11C-A8E48A23ACBD}"/>
    <hyperlink ref="C2603" r:id="rId5" display="=@IF(U501+V501=1,&quot;GROSS PROFIT/(LOSS)&quot;,IF((U501+V501=2),&quot;GROSS PROFIT&quot;,&quot;GROSS LOSS&quot;))" xr:uid="{9CC7F115-90DD-48D8-86EA-ECB612A365AE}"/>
    <hyperlink ref="C2646" r:id="rId6" display="=@IF(U501+V501=1,&quot;GROSS PROFIT/(LOSS)&quot;,IF((U501+V501=2),&quot;GROSS PROFIT&quot;,&quot;GROSS LOSS&quot;))" xr:uid="{6C93F943-EB95-497D-84FF-67DFEEF43968}"/>
    <hyperlink ref="C2666" r:id="rId7" display="=@IF(U501+V501=1,&quot;GROSS PROFIT/(LOSS)&quot;,IF((U501+V501=2),&quot;GROSS PROFIT&quot;,&quot;GROSS LOSS&quot;))" xr:uid="{3D5E6050-17BE-4D4D-90F9-84758F5A61B2}"/>
    <hyperlink ref="C2679" r:id="rId8" display="=@IF(U501+V501=1,&quot;GROSS PROFIT/(LOSS)&quot;,IF((U501+V501=2),&quot;GROSS PROFIT&quot;,&quot;GROSS LOSS&quot;))" xr:uid="{A8C271EC-EC6D-47EB-83A6-43F55E5FC312}"/>
    <hyperlink ref="D628" r:id="rId9" display="=@IF(U501+V501=1,&quot;GROSS PROFIT/(LOSS)&quot;,IF((U501+V501=2),&quot;GROSS PROFIT&quot;,&quot;GROSS LOSS&quot;))" xr:uid="{0FC3C64B-3B23-49E0-A6EB-83863B23F98F}"/>
    <hyperlink ref="D1103" r:id="rId10" display="=@IF(U501+V501=1,&quot;GROSS PROFIT/(LOSS)&quot;,IF((U501+V501=2),&quot;GROSS PROFIT&quot;,&quot;GROSS LOSS&quot;))" xr:uid="{385F827D-69D9-449D-9E9A-86FACF81D6F8}"/>
    <hyperlink ref="C2434" r:id="rId11" display="=@IF(U501+V501=1,&quot;GROSS PROFIT/(LOSS)&quot;,IF((U501+V501=2),&quot;GROSS PROFIT&quot;,&quot;GROSS LOSS&quot;))" xr:uid="{2D445731-1201-4DA5-887A-7A77876C7E55}"/>
    <hyperlink ref="O2653" r:id="rId12" display="-@sum(TrialBalance!A67:A70" xr:uid="{B87D1B0C-4B38-49F0-A919-B276F374DFFA}"/>
    <hyperlink ref="O628" r:id="rId13" display="-TrialBalance!A146-@sum(TrialBalance!A5:A127)" xr:uid="{FF572C62-E9B4-42A8-A28A-041B701D6F61}"/>
    <hyperlink ref="D2437" r:id="rId14" display="=@IF(U501+V501=1,&quot;GROSS PROFIT/(LOSS)&quot;,IF((U501+V501=2),&quot;GROSS PROFIT&quot;,&quot;GROSS LOSS&quot;))" xr:uid="{6C5A779F-02A7-4744-9E0D-1CDC14CF46F9}"/>
    <hyperlink ref="O528" r:id="rId15" display="-@sum(TrialBalance!A8:A22" xr:uid="{EB092C9A-4DBA-4D21-BD08-6D7278AC32E0}"/>
    <hyperlink ref="O535" r:id="rId16" display="-@sum(TrialBalance!A23:A63" xr:uid="{06BA80CE-08E8-472B-9C0F-A701C364BD31}"/>
    <hyperlink ref="O537" r:id="rId17" display="-@sum(TrialBalance!A77:A111" xr:uid="{44E9DDB7-0601-4D66-87DE-8DB26AD3ECE4}"/>
    <hyperlink ref="O545" r:id="rId18" display="-@sum(TrialBalance!A112:A118" xr:uid="{93CECDAD-479E-4CF7-9E09-D3D0509BF138}"/>
    <hyperlink ref="O551" r:id="rId19" display="-@sum(TrialBalance!A119:A125" xr:uid="{BD339420-551F-480B-8EC5-160132AD1B8A}"/>
    <hyperlink ref="D2455" r:id="rId20" display="=@IF(U501+V501=1,&quot;GROSS PROFIT/(LOSS)&quot;,IF((U501+V501=2),&quot;GROSS PROFIT&quot;,&quot;GROSS LOSS&quot;))" xr:uid="{1504743E-7240-4006-AB33-E73F2E0A4BA2}"/>
    <hyperlink ref="D2456" r:id="rId21" display="=@IF(U501+V501=1,&quot;GROSS PROFIT/(LOSS)&quot;,IF((U501+V501=2),&quot;GROSS PROFIT&quot;,&quot;GROSS LOSS&quot;))" xr:uid="{E563952C-912D-4F47-8883-3714B4AF65D2}"/>
    <hyperlink ref="D2457" r:id="rId22" display="=@IF(U501+V501=1,&quot;GROSS PROFIT/(LOSS)&quot;,IF((U501+V501=2),&quot;GROSS PROFIT&quot;,&quot;GROSS LOSS&quot;))" xr:uid="{67DC3EBD-B899-448D-94BC-43990820C210}"/>
    <hyperlink ref="O734" r:id="rId23" display="-@sum(TrialBalance!B301:B307)-@sum(TrialBalance!B310:B312)+@sum(TrialBalance!A13:A18)+@sum(TrialBalance!A23:A26)+@sum(TrialBalance!A32:A63)+@sum(TrialBalance!A77:A86)+@sum(TrialBalance!A94:A111)+@sum(TrialBalance!A301:A307)+@SUM(TrialBalance!A310:A312)" xr:uid="{74FD6B9E-0E94-4A7C-A1C6-3511AD48654E}"/>
    <hyperlink ref="D765" r:id="rId24" display="=@IF(U501+V501=1,&quot;GROSS PROFIT/(LOSS)&quot;,IF((U501+V501=2),&quot;GROSS PROFIT&quot;,&quot;GROSS LOSS&quot;))" xr:uid="{0D0BE93C-CC3F-4E80-9DC5-BB853B98908D}"/>
    <hyperlink ref="D766" r:id="rId25" display="=@IF(U501+V501=1,&quot;GROSS PROFIT/(LOSS)&quot;,IF((U501+V501=2),&quot;GROSS PROFIT&quot;,&quot;GROSS LOSS&quot;))" xr:uid="{BDB89C65-D75F-4F4F-B73F-E22C0EC69543}"/>
    <hyperlink ref="D776" r:id="rId26" display="=@IF(U501+V501=1,&quot;GROSS PROFIT/(LOSS)&quot;,IF((U501+V501=2),&quot;GROSS PROFIT&quot;,&quot;GROSS LOSS&quot;))" xr:uid="{C190CEDB-668C-4E2A-ABF8-3B041AEA27AB}"/>
    <hyperlink ref="C782" r:id="rId27" display="=@IF(U501+V501=1,&quot;GROSS PROFIT/(LOSS)&quot;,IF((U501+V501=2),&quot;GROSS PROFIT&quot;,&quot;GROSS LOSS&quot;))" xr:uid="{2A6EB977-4D42-4C38-9986-CF6327F92C47}"/>
    <hyperlink ref="O755" r:id="rId28" display="-@sum(TrialBalance!A311:A321)+@sum(TrialBalance!A123:A125)=@sum(TrialBalance!A311:A321)" xr:uid="{FF435E9A-3967-4985-AF38-81C02CC6659B}"/>
    <hyperlink ref="D2773" r:id="rId29" display="=@IF(U501+V501=1,&quot;GROSS PROFIT/(LOSS)&quot;,IF((U501+V501=2),&quot;GROSS PROFIT&quot;,&quot;GROSS LOSS&quot;))" xr:uid="{52264E7E-C96C-42EA-A6C7-CC3AF937E7E0}"/>
    <hyperlink ref="C1102" r:id="rId30" display="=@IF(U501+V501=1,&quot;GROSS PROFIT/(LOSS)&quot;,IF((U501+V501=2),&quot;GROSS PROFIT&quot;,&quot;GROSS LOSS&quot;))" xr:uid="{F835615E-7600-4C23-8922-16564FA57C95}"/>
    <hyperlink ref="D777" r:id="rId31" display="=@IF(U501+V501=1,&quot;GROSS PROFIT/(LOSS)&quot;,IF((U501+V501=2),&quot;GROSS PROFIT&quot;,&quot;GROSS LOSS&quot;))" xr:uid="{B953EC64-EE85-4228-AD76-6239205CBC3B}"/>
    <hyperlink ref="D778" r:id="rId32" display="=@IF(U501+V501=1,&quot;GROSS PROFIT/(LOSS)&quot;,IF((U501+V501=2),&quot;GROSS PROFIT&quot;,&quot;GROSS LOSS&quot;))" xr:uid="{8E9C6A91-7684-4B11-95DD-69A6EF621812}"/>
    <hyperlink ref="C703" r:id="rId33" display="=@IF(U501+V501=1,&quot;GROSS PROFIT/(LOSS)&quot;,IF((U501+V501=2),&quot;GROSS PROFIT&quot;,&quot;GROSS LOSS&quot;))" xr:uid="{37FEEF04-5C7E-4EF3-BCDD-1CE9BD539F04}"/>
    <hyperlink ref="D706" r:id="rId34" display="=@IF(U501+V501=1,&quot;GROSS PROFIT/(LOSS)&quot;,IF((U501+V501=2),&quot;GROSS PROFIT&quot;,&quot;GROSS LOSS&quot;))" xr:uid="{D55A10C6-027F-40AD-9164-704B8B4DA379}"/>
    <hyperlink ref="O2037" r:id="rId35" display="=@if(Criteria!E33*Criteria!E34=Criteria!E36*Criteria!E37,&quot; &quot;,Criteria!E33*Criteria!E34)" xr:uid="{75BED5CF-6ABE-46F6-AAD7-1DE3B8AF5676}"/>
    <hyperlink ref="D2669" r:id="rId36" display="=@IF(U501+V501=1,&quot;GROSS PROFIT/(LOSS)&quot;,IF((U501+V501=2),&quot;GROSS PROFIT&quot;,&quot;GROSS LOSS&quot;))" xr:uid="{59956A35-B889-42C0-9BFB-E3D11CAD8708}"/>
    <hyperlink ref="D2670" r:id="rId37" display="=@IF(U501+V501=1,&quot;GROSS PROFIT/(LOSS)&quot;,IF((U501+V501=2),&quot;GROSS PROFIT&quot;,&quot;GROSS LOSS&quot;))" xr:uid="{8C560084-76AE-4E03-B786-F5668C590C1D}"/>
    <hyperlink ref="D2671" r:id="rId38" display="=@IF(U501+V501=1,&quot;GROSS PROFIT/(LOSS)&quot;,IF((U501+V501=2),&quot;GROSS PROFIT&quot;,&quot;GROSS LOSS&quot;))" xr:uid="{943C22D1-C410-4C73-A5C6-E2A43F6C2223}"/>
    <hyperlink ref="D2205" r:id="rId39" display="=@IF(U501+V501=1,&quot;GROSS PROFIT/(LOSS)&quot;,IF((U501+V501=2),&quot;GROSS PROFIT&quot;,&quot;GROSS LOSS&quot;))" xr:uid="{EF2B8CBB-8CD0-44A8-BD7B-F29DDCF87E41}"/>
    <hyperlink ref="D2234" r:id="rId40" display="=@IF(U501+V501=1,&quot;GROSS PROFIT/(LOSS)&quot;,IF((U501+V501=2),&quot;GROSS PROFIT&quot;,&quot;GROSS LOSS&quot;))" xr:uid="{91D17A33-3561-4A2D-AAD3-4F12B6A529BF}"/>
    <hyperlink ref="D775" r:id="rId41" display="=@IF(U501+V501=1,&quot;GROSS PROFIT/(LOSS)&quot;,IF((U501+V501=2),&quot;GROSS PROFIT&quot;,&quot;GROSS LOSS&quot;))" xr:uid="{8512FDFD-1253-4386-9111-ACE0A7C46AA5}"/>
    <hyperlink ref="D764" r:id="rId42" display="=@IF(U501+V501=1,&quot;GROSS PROFIT/(LOSS)&quot;,IF((U501+V501=2),&quot;GROSS PROFIT&quot;,&quot;GROSS LOSS&quot;))" xr:uid="{8A14D7AA-B1A2-4EAA-89D4-226AB2F354B7}"/>
    <hyperlink ref="O2969" r:id="rId43" display="-@sum(TrialBalance!A67:A70" xr:uid="{F1135C42-6EF3-4919-98DD-C2DAF1E01619}"/>
    <hyperlink ref="C2982" r:id="rId44" display="=@IF(U501+V501=1,&quot;GROSS PROFIT/(LOSS)&quot;,IF((U501+V501=2),&quot;GROSS PROFIT&quot;,&quot;GROSS LOSS&quot;))" xr:uid="{0A67C957-8A96-41AA-9CC2-3AA59A9CEA50}"/>
    <hyperlink ref="C2962" r:id="rId45" display="=@IF(U501+V501=1,&quot;GROSS PROFIT/(LOSS)&quot;,IF((U501+V501=2),&quot;GROSS PROFIT&quot;,&quot;GROSS LOSS&quot;))" xr:uid="{F10BFC7D-6E95-4207-A099-5C561083F887}"/>
    <hyperlink ref="C2920" r:id="rId46" display="=@IF(U501+V501=1,&quot;GROSS PROFIT/(LOSS)&quot;,IF((U501+V501=2),&quot;GROSS PROFIT&quot;,&quot;GROSS LOSS&quot;))" xr:uid="{712617A2-D6CD-4E60-BB31-C3466777F117}"/>
    <hyperlink ref="C2904" r:id="rId47" display="=@IF(U501+V501=1,&quot;GROSS PROFIT/(LOSS)&quot;,IF((U501+V501=2),&quot;GROSS PROFIT&quot;,&quot;GROSS LOSS&quot;))" xr:uid="{F99CBF6E-81AD-4109-9092-FF9B960F3C6B}"/>
    <hyperlink ref="C2855" r:id="rId48" display="=@IF(U501+V501=1,&quot;GROSS PROFIT/(LOSS)&quot;,IF((U501+V501=2),&quot;GROSS PROFIT&quot;,&quot;GROSS LOSS&quot;))" xr:uid="{86586CB7-84A4-484F-BDCF-62517A748845}"/>
    <hyperlink ref="O3133" r:id="rId49" display="-@sum(TrialBalance!A67:A70" xr:uid="{F8C1963A-9E34-4A98-9F85-930629AE2643}"/>
    <hyperlink ref="C3146" r:id="rId50" display="=@IF(U501+V501=1,&quot;GROSS PROFIT/(LOSS)&quot;,IF((U501+V501=2),&quot;GROSS PROFIT&quot;,&quot;GROSS LOSS&quot;))" xr:uid="{CEC5C5F2-914F-4AD5-974E-26470BECA6EA}"/>
    <hyperlink ref="C3126" r:id="rId51" display="=@IF(U501+V501=1,&quot;GROSS PROFIT/(LOSS)&quot;,IF((U501+V501=2),&quot;GROSS PROFIT&quot;,&quot;GROSS LOSS&quot;))" xr:uid="{D45ADED7-4FC5-490C-A289-BE9B3F0F5C90}"/>
    <hyperlink ref="C3068" r:id="rId52" display="=@IF(U501+V501=1,&quot;GROSS PROFIT/(LOSS)&quot;,IF((U501+V501=2),&quot;GROSS PROFIT&quot;,&quot;GROSS LOSS&quot;))" xr:uid="{99D387F1-43FC-4BAC-8C9B-35FE9D052ECB}"/>
    <hyperlink ref="C3019" r:id="rId53" display="=@IF(U501+V501=1,&quot;GROSS PROFIT/(LOSS)&quot;,IF((U501+V501=2),&quot;GROSS PROFIT&quot;,&quot;GROSS LOSS&quot;))" xr:uid="{801CD040-8E67-434D-9E98-B3C6B9547D43}"/>
    <hyperlink ref="C3084" r:id="rId54" display="=@IF(U501+V501=1,&quot;GROSS PROFIT/(LOSS)&quot;,IF((U501+V501=2),&quot;GROSS PROFIT&quot;,&quot;GROSS LOSS&quot;))" xr:uid="{A069841F-5D72-492E-8DDC-BDC43412D60E}"/>
    <hyperlink ref="C3183" r:id="rId55" display="=@IF(U501+V501=1,&quot;GROSS PROFIT/(LOSS)&quot;,IF((U501+V501=2),&quot;GROSS PROFIT&quot;,&quot;GROSS LOSS&quot;))" xr:uid="{98FC5CC4-FB4D-4EE2-BC82-6A0526F0C56D}"/>
    <hyperlink ref="C3232" r:id="rId56" display="=@IF(U501+V501=1,&quot;GROSS PROFIT/(LOSS)&quot;,IF((U501+V501=2),&quot;GROSS PROFIT&quot;,&quot;GROSS LOSS&quot;))" xr:uid="{050D4589-7F9F-48B7-9C73-2F842C20F794}"/>
    <hyperlink ref="C3290" r:id="rId57" display="=@IF(U501+V501=1,&quot;GROSS PROFIT/(LOSS)&quot;,IF((U501+V501=2),&quot;GROSS PROFIT&quot;,&quot;GROSS LOSS&quot;))" xr:uid="{0D6834C2-6D1C-41F1-964F-12D5E1F5D175}"/>
    <hyperlink ref="C3310" r:id="rId58" display="=@IF(U501+V501=1,&quot;GROSS PROFIT/(LOSS)&quot;,IF((U501+V501=2),&quot;GROSS PROFIT&quot;,&quot;GROSS LOSS&quot;))" xr:uid="{BED28F06-5C74-4DB1-B992-1F47A300C042}"/>
    <hyperlink ref="O3297" r:id="rId59" display="-@sum(TrialBalance!A67:A70" xr:uid="{2D083B57-EE56-49C8-9A6A-B7F4C640C6FC}"/>
    <hyperlink ref="C3248" r:id="rId60" display="=@IF(U501+V501=1,&quot;GROSS PROFIT/(LOSS)&quot;,IF((U501+V501=2),&quot;GROSS PROFIT&quot;,&quot;GROSS LOSS&quot;))" xr:uid="{A32CB3F5-F645-4B9D-8CA0-57B981C3D99A}"/>
    <hyperlink ref="D531" r:id="rId61" display="=@IF(U501+V501=1,&quot;GROSS PROFIT/(LOSS)&quot;,IF((U501+V501=2),&quot;GROSS PROFIT&quot;,&quot;GROSS LOSS&quot;))" xr:uid="{E1B80E91-18FE-42C6-A1A2-2B5043F18074}"/>
    <hyperlink ref="D541" r:id="rId62" display="=@IF(U501+V501=1,&quot;GROSS PROFIT/(LOSS)&quot;,IF((U501+V501=2),&quot;GROSS PROFIT&quot;,&quot;GROSS LOSS&quot;))" xr:uid="{88ECA870-FAD9-4EDF-8F7E-DFEAB539C34D}"/>
    <hyperlink ref="D498" r:id="rId63" display="=@if(Criteria!F343=&quot;No&quot;,Criteria!G346,&quot; &quot;)" xr:uid="{742F580A-5B68-42D8-93A6-5F94F336E3B7}"/>
    <hyperlink ref="D499" r:id="rId64" display="=@if(Criteria!F343=&quot;No&quot;,Criteria!G346,&quot; &quot;)" xr:uid="{261E20C9-DC48-4D03-B6E3-CA61BCB3266F}"/>
    <hyperlink ref="C2477" r:id="rId65" display="=@IF(U501+V501=1,&quot;GROSS PROFIT/(LOSS)&quot;,IF((U501+V501=2),&quot;GROSS PROFIT&quot;,&quot;GROSS LOSS&quot;))" xr:uid="{471418B5-D822-44AF-8787-3075991ECC71}"/>
    <hyperlink ref="D500" r:id="rId66" display="=@if(Criteria!F343=&quot;No&quot;,Criteria!G346,&quot; &quot;)" xr:uid="{DE9BFDD1-B63C-4878-82F2-B4C6C2D95833}"/>
    <hyperlink ref="D2219" r:id="rId67" display="=@IF(U501+V501=1,&quot;GROSS PROFIT/(LOSS)&quot;,IF((U501+V501=2),&quot;GROSS PROFIT&quot;,&quot;GROSS LOSS&quot;))" xr:uid="{4C2532C6-EC0B-4311-89C8-9545F896CE9B}"/>
    <hyperlink ref="D2357" r:id="rId68" display="=@IF(U501+V501=1,&quot;GROSS PROFIT/(LOSS)&quot;,IF((U501+V501=2),&quot;GROSS PROFIT&quot;,&quot;GROSS LOSS&quot;))" xr:uid="{7A5EFC27-E565-4CB0-9724-D85600B2AB85}"/>
    <hyperlink ref="D2366" r:id="rId69" display="=@IF(U501+V501=1,&quot;GROSS PROFIT/(LOSS)&quot;,IF((U501+V501=2),&quot;GROSS PROFIT&quot;,&quot;GROSS LOSS&quot;))" xr:uid="{F790B4E4-08B5-4A00-8DB1-BB65143292E1}"/>
    <hyperlink ref="C2356" r:id="rId70" display="=@IF(U501+V501=1,&quot;GROSS PROFIT/(LOSS)&quot;,IF((U501+V501=2),&quot;GROSS PROFIT&quot;,&quot;GROSS LOSS&quot;))" xr:uid="{66D917FA-CC69-4897-BD9A-352EE1CE50E2}"/>
  </hyperlinks>
  <pageMargins left="0.7" right="0.7" top="0.75" bottom="0.75" header="0.3" footer="0.3"/>
  <pageSetup paperSize="9" scale="43" fitToHeight="0" orientation="portrait" r:id="rId71"/>
  <headerFooter alignWithMargins="0"/>
  <drawing r:id="rId72"/>
  <picture r:id="rId7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V530"/>
  <sheetViews>
    <sheetView zoomScale="87" zoomScaleNormal="87" workbookViewId="0">
      <selection activeCell="E9" sqref="E9:G9"/>
    </sheetView>
  </sheetViews>
  <sheetFormatPr defaultRowHeight="15.75" x14ac:dyDescent="0.25"/>
  <cols>
    <col min="1" max="1" width="8.85546875" style="26"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6" t="s">
        <v>1664</v>
      </c>
    </row>
    <row r="3" spans="3:10" ht="18.75" x14ac:dyDescent="0.3">
      <c r="E3" s="362" t="s">
        <v>1145</v>
      </c>
    </row>
    <row r="4" spans="3:10" ht="18.75" x14ac:dyDescent="0.3">
      <c r="E4" s="362" t="s">
        <v>899</v>
      </c>
    </row>
    <row r="7" spans="3:10" ht="19.5" x14ac:dyDescent="0.35">
      <c r="C7" s="165" t="s">
        <v>628</v>
      </c>
    </row>
    <row r="9" spans="3:10" ht="18.75" x14ac:dyDescent="0.3">
      <c r="C9" s="2" t="s">
        <v>629</v>
      </c>
      <c r="E9" s="702" t="s">
        <v>1267</v>
      </c>
      <c r="F9" s="702"/>
      <c r="G9" s="702"/>
    </row>
    <row r="10" spans="3:10" ht="18.75" x14ac:dyDescent="0.3">
      <c r="E10" s="702" t="s">
        <v>1233</v>
      </c>
      <c r="F10" s="702"/>
      <c r="G10" s="702"/>
      <c r="H10" s="2" t="s">
        <v>1658</v>
      </c>
    </row>
    <row r="11" spans="3:10" x14ac:dyDescent="0.25">
      <c r="E11" s="701" t="s">
        <v>1234</v>
      </c>
      <c r="F11" s="701"/>
      <c r="G11" s="701"/>
    </row>
    <row r="13" spans="3:10" ht="18.75" x14ac:dyDescent="0.3">
      <c r="D13" s="2" t="s">
        <v>987</v>
      </c>
      <c r="E13" s="703" t="s">
        <v>1235</v>
      </c>
      <c r="F13" s="703"/>
      <c r="G13" s="703"/>
      <c r="H13" s="363" t="s">
        <v>1238</v>
      </c>
      <c r="I13" s="300"/>
      <c r="J13" s="2" t="s">
        <v>1658</v>
      </c>
    </row>
    <row r="14" spans="3:10" ht="18.75" x14ac:dyDescent="0.3">
      <c r="C14" s="2" t="s">
        <v>594</v>
      </c>
      <c r="D14" s="2" t="s">
        <v>716</v>
      </c>
      <c r="E14" s="703" t="s">
        <v>1236</v>
      </c>
      <c r="F14" s="703"/>
      <c r="G14" s="703"/>
      <c r="H14" s="363" t="s">
        <v>1239</v>
      </c>
      <c r="I14" s="300"/>
      <c r="J14" s="2" t="s">
        <v>1658</v>
      </c>
    </row>
    <row r="15" spans="3:10" ht="18.75" x14ac:dyDescent="0.3">
      <c r="D15" s="2" t="s">
        <v>717</v>
      </c>
      <c r="E15" s="703" t="s">
        <v>1237</v>
      </c>
      <c r="F15" s="703"/>
      <c r="G15" s="703"/>
      <c r="H15" s="363" t="s">
        <v>1240</v>
      </c>
      <c r="I15" s="300"/>
      <c r="J15" s="2" t="s">
        <v>1658</v>
      </c>
    </row>
    <row r="16" spans="3:10" ht="18.75" x14ac:dyDescent="0.3">
      <c r="D16" s="2" t="s">
        <v>718</v>
      </c>
      <c r="E16" s="703"/>
      <c r="F16" s="703"/>
      <c r="G16" s="703"/>
      <c r="H16" s="363"/>
      <c r="I16" s="300"/>
    </row>
    <row r="17" spans="3:10" x14ac:dyDescent="0.25">
      <c r="I17"/>
    </row>
    <row r="18" spans="3:10" x14ac:dyDescent="0.25">
      <c r="C18" s="2" t="s">
        <v>789</v>
      </c>
      <c r="E18" s="364" t="s">
        <v>1241</v>
      </c>
      <c r="J18" s="59"/>
    </row>
    <row r="20" spans="3:10" x14ac:dyDescent="0.25">
      <c r="C20" s="2" t="s">
        <v>194</v>
      </c>
      <c r="E20" s="365" t="s">
        <v>1581</v>
      </c>
      <c r="G20" s="368">
        <v>45351</v>
      </c>
    </row>
    <row r="21" spans="3:10" x14ac:dyDescent="0.25">
      <c r="G21" s="368">
        <f>G20-366</f>
        <v>44985</v>
      </c>
    </row>
    <row r="22" spans="3:10" x14ac:dyDescent="0.25">
      <c r="C22" s="2" t="s">
        <v>195</v>
      </c>
      <c r="E22" s="364">
        <v>2024</v>
      </c>
      <c r="G22" s="368">
        <f>G21-365</f>
        <v>44620</v>
      </c>
      <c r="H22" s="5"/>
    </row>
    <row r="23" spans="3:10" x14ac:dyDescent="0.25">
      <c r="E23" s="5"/>
      <c r="G23" s="163"/>
    </row>
    <row r="24" spans="3:10" x14ac:dyDescent="0.25">
      <c r="C24" s="2" t="s">
        <v>112</v>
      </c>
      <c r="E24" s="366" t="s">
        <v>108</v>
      </c>
      <c r="G24" s="5" t="str">
        <f>PROPER(E20)</f>
        <v>29 February 2024</v>
      </c>
    </row>
    <row r="25" spans="3:10" hidden="1" x14ac:dyDescent="0.25">
      <c r="E25" s="5"/>
      <c r="F25" s="2" t="s">
        <v>107</v>
      </c>
      <c r="G25" s="5" t="s">
        <v>108</v>
      </c>
    </row>
    <row r="26" spans="3:10" x14ac:dyDescent="0.25">
      <c r="E26" s="5"/>
    </row>
    <row r="27" spans="3:10" x14ac:dyDescent="0.25">
      <c r="C27" s="2" t="s">
        <v>1436</v>
      </c>
      <c r="E27" s="367">
        <f>E22-1</f>
        <v>2023</v>
      </c>
    </row>
    <row r="28" spans="3:10" x14ac:dyDescent="0.25">
      <c r="E28" s="367"/>
    </row>
    <row r="29" spans="3:10" x14ac:dyDescent="0.25">
      <c r="C29" s="2" t="s">
        <v>1438</v>
      </c>
      <c r="E29" s="599" t="s">
        <v>790</v>
      </c>
    </row>
    <row r="30" spans="3:10" ht="15.75" hidden="1" customHeight="1" x14ac:dyDescent="0.25">
      <c r="E30" s="2" t="s">
        <v>900</v>
      </c>
      <c r="F30" s="2" t="s">
        <v>791</v>
      </c>
      <c r="G30" s="2" t="s">
        <v>790</v>
      </c>
    </row>
    <row r="32" spans="3:10" x14ac:dyDescent="0.25">
      <c r="C32" s="2" t="s">
        <v>803</v>
      </c>
      <c r="E32" s="600" t="s">
        <v>891</v>
      </c>
    </row>
    <row r="34" spans="3:9" ht="19.5" x14ac:dyDescent="0.35">
      <c r="C34" s="165" t="s">
        <v>201</v>
      </c>
    </row>
    <row r="36" spans="3:9" x14ac:dyDescent="0.25">
      <c r="C36" s="2" t="s">
        <v>122</v>
      </c>
      <c r="E36" s="370" t="s">
        <v>1242</v>
      </c>
      <c r="F36" s="155"/>
    </row>
    <row r="37" spans="3:9" x14ac:dyDescent="0.25">
      <c r="E37" s="371" t="s">
        <v>1243</v>
      </c>
      <c r="F37" s="156"/>
    </row>
    <row r="38" spans="3:9" x14ac:dyDescent="0.25">
      <c r="E38" s="371" t="s">
        <v>1244</v>
      </c>
      <c r="F38" s="156"/>
    </row>
    <row r="39" spans="3:9" x14ac:dyDescent="0.25">
      <c r="E39" s="372"/>
      <c r="F39" s="157"/>
    </row>
    <row r="40" spans="3:9" x14ac:dyDescent="0.25">
      <c r="G40" s="5" t="s">
        <v>918</v>
      </c>
    </row>
    <row r="41" spans="3:9" x14ac:dyDescent="0.25">
      <c r="C41" s="2" t="s">
        <v>558</v>
      </c>
      <c r="D41" s="158"/>
      <c r="E41" s="369" t="s">
        <v>917</v>
      </c>
      <c r="F41" s="373" t="s">
        <v>125</v>
      </c>
      <c r="G41" s="373" t="s">
        <v>919</v>
      </c>
      <c r="H41" s="2" t="str">
        <f>E41</f>
        <v>A Director</v>
      </c>
      <c r="I41" s="2">
        <f>IF(H41=0," ",1)</f>
        <v>1</v>
      </c>
    </row>
    <row r="42" spans="3:9" x14ac:dyDescent="0.25">
      <c r="D42" s="159"/>
      <c r="E42" s="369" t="s">
        <v>1077</v>
      </c>
      <c r="F42" s="373" t="s">
        <v>125</v>
      </c>
      <c r="G42" s="373" t="s">
        <v>919</v>
      </c>
      <c r="H42" s="2" t="str">
        <f>E42</f>
        <v>C Director</v>
      </c>
      <c r="I42" s="2">
        <f>IF(H42=0," ",I41+1)</f>
        <v>2</v>
      </c>
    </row>
    <row r="43" spans="3:9" x14ac:dyDescent="0.25">
      <c r="D43" s="158"/>
      <c r="E43" s="369"/>
      <c r="F43" s="369"/>
      <c r="G43" s="369"/>
      <c r="H43" s="2">
        <f>E43</f>
        <v>0</v>
      </c>
      <c r="I43" s="2" t="str">
        <f>IF(H43=0," ",I42+1)</f>
        <v xml:space="preserve"> </v>
      </c>
    </row>
    <row r="44" spans="3:9" x14ac:dyDescent="0.25">
      <c r="D44" s="159"/>
      <c r="E44" s="369"/>
      <c r="F44" s="369"/>
      <c r="G44" s="369"/>
      <c r="H44" s="2">
        <f>E44</f>
        <v>0</v>
      </c>
      <c r="I44" s="2" t="str">
        <f>IF(H44=0," ",I43+1)</f>
        <v xml:space="preserve"> </v>
      </c>
    </row>
    <row r="45" spans="3:9" x14ac:dyDescent="0.25">
      <c r="D45" s="159"/>
      <c r="E45" s="369"/>
      <c r="F45" s="369"/>
      <c r="G45" s="369"/>
      <c r="H45" s="2">
        <f>E45</f>
        <v>0</v>
      </c>
      <c r="I45" s="2" t="str">
        <f>IF(H45=0," ",I44+1)</f>
        <v xml:space="preserve"> </v>
      </c>
    </row>
    <row r="47" spans="3:9" hidden="1" x14ac:dyDescent="0.25">
      <c r="G47" s="2" t="s">
        <v>398</v>
      </c>
    </row>
    <row r="48" spans="3:9" hidden="1" x14ac:dyDescent="0.25">
      <c r="G48" s="2" t="s">
        <v>400</v>
      </c>
    </row>
    <row r="49" spans="3:10" hidden="1" x14ac:dyDescent="0.25">
      <c r="G49" s="2" t="s">
        <v>399</v>
      </c>
    </row>
    <row r="50" spans="3:10" x14ac:dyDescent="0.25">
      <c r="E50" s="2" t="s">
        <v>920</v>
      </c>
      <c r="G50" s="366" t="s">
        <v>108</v>
      </c>
    </row>
    <row r="51" spans="3:10" x14ac:dyDescent="0.25">
      <c r="F51" s="2" t="s">
        <v>566</v>
      </c>
      <c r="G51" s="373" t="s">
        <v>1078</v>
      </c>
      <c r="H51" s="160"/>
      <c r="I51" s="160"/>
      <c r="J51" s="160"/>
    </row>
    <row r="53" spans="3:10" x14ac:dyDescent="0.25">
      <c r="C53" s="2" t="s">
        <v>1659</v>
      </c>
      <c r="E53" s="369"/>
      <c r="F53" s="373"/>
      <c r="G53" s="2">
        <f>E53</f>
        <v>0</v>
      </c>
      <c r="H53" s="2" t="str">
        <f>IF(G53=0," ",1)</f>
        <v xml:space="preserve"> </v>
      </c>
    </row>
    <row r="54" spans="3:10" x14ac:dyDescent="0.25">
      <c r="E54" s="369"/>
      <c r="F54" s="373"/>
      <c r="G54" s="2">
        <f t="shared" ref="G54:G57" si="0">E54</f>
        <v>0</v>
      </c>
      <c r="H54" s="2" t="str">
        <f>IF(G54=0," ",H53+1)</f>
        <v xml:space="preserve"> </v>
      </c>
    </row>
    <row r="55" spans="3:10" x14ac:dyDescent="0.25">
      <c r="E55" s="369"/>
      <c r="F55" s="369"/>
      <c r="G55" s="2">
        <f t="shared" si="0"/>
        <v>0</v>
      </c>
      <c r="H55" s="2" t="str">
        <f>IF(G55=0," ",H54+1)</f>
        <v xml:space="preserve"> </v>
      </c>
    </row>
    <row r="56" spans="3:10" x14ac:dyDescent="0.25">
      <c r="E56" s="369"/>
      <c r="F56" s="369"/>
      <c r="G56" s="2">
        <f t="shared" si="0"/>
        <v>0</v>
      </c>
      <c r="H56" s="2" t="str">
        <f>IF(G56=0," ",H55+1)</f>
        <v xml:space="preserve"> </v>
      </c>
    </row>
    <row r="57" spans="3:10" x14ac:dyDescent="0.25">
      <c r="E57" s="369"/>
      <c r="F57" s="369"/>
      <c r="G57" s="2">
        <f t="shared" si="0"/>
        <v>0</v>
      </c>
      <c r="H57" s="2" t="str">
        <f>IF(G57=0," ",H56+1)</f>
        <v xml:space="preserve"> </v>
      </c>
    </row>
    <row r="59" spans="3:10" x14ac:dyDescent="0.25">
      <c r="C59" s="2" t="s">
        <v>123</v>
      </c>
      <c r="E59" s="369"/>
    </row>
    <row r="60" spans="3:10" x14ac:dyDescent="0.25">
      <c r="E60" s="369"/>
    </row>
    <row r="61" spans="3:10" x14ac:dyDescent="0.25">
      <c r="E61" s="374"/>
      <c r="G61" s="59"/>
    </row>
    <row r="62" spans="3:10" x14ac:dyDescent="0.25">
      <c r="E62" s="375"/>
    </row>
    <row r="64" spans="3:10" x14ac:dyDescent="0.25">
      <c r="C64" s="2" t="s">
        <v>1049</v>
      </c>
      <c r="E64" s="375"/>
    </row>
    <row r="65" spans="1:10" x14ac:dyDescent="0.25">
      <c r="E65" s="375"/>
    </row>
    <row r="66" spans="1:10" x14ac:dyDescent="0.25">
      <c r="E66" s="374"/>
    </row>
    <row r="67" spans="1:10" x14ac:dyDescent="0.25">
      <c r="E67" s="375"/>
    </row>
    <row r="69" spans="1:10" x14ac:dyDescent="0.25">
      <c r="C69" s="2" t="s">
        <v>46</v>
      </c>
      <c r="E69" s="369"/>
    </row>
    <row r="70" spans="1:10" x14ac:dyDescent="0.25">
      <c r="E70" s="369"/>
    </row>
    <row r="71" spans="1:10" x14ac:dyDescent="0.25">
      <c r="E71" s="374"/>
    </row>
    <row r="72" spans="1:10" x14ac:dyDescent="0.25">
      <c r="E72" s="375"/>
    </row>
    <row r="74" spans="1:10" x14ac:dyDescent="0.25">
      <c r="C74" s="2" t="s">
        <v>922</v>
      </c>
      <c r="E74" s="375"/>
    </row>
    <row r="75" spans="1:10" x14ac:dyDescent="0.25">
      <c r="E75" s="375"/>
    </row>
    <row r="76" spans="1:10" x14ac:dyDescent="0.25">
      <c r="E76" s="375"/>
    </row>
    <row r="79" spans="1:10" ht="18.75" x14ac:dyDescent="0.3">
      <c r="A79" s="700" t="s">
        <v>683</v>
      </c>
      <c r="B79" s="700"/>
      <c r="C79" s="700"/>
      <c r="D79" s="700"/>
      <c r="E79" s="700"/>
      <c r="F79" s="700"/>
      <c r="G79" s="700"/>
      <c r="H79" s="700"/>
      <c r="I79" s="700"/>
      <c r="J79" s="700"/>
    </row>
    <row r="81" spans="3:10" ht="19.5" x14ac:dyDescent="0.35">
      <c r="C81" s="165" t="s">
        <v>559</v>
      </c>
    </row>
    <row r="82" spans="3:10" x14ac:dyDescent="0.25">
      <c r="F82" s="29"/>
    </row>
    <row r="83" spans="3:10" x14ac:dyDescent="0.25">
      <c r="C83" s="704" t="s">
        <v>1732</v>
      </c>
      <c r="D83" s="704"/>
      <c r="E83" s="704"/>
      <c r="F83" s="704"/>
    </row>
    <row r="84" spans="3:10" x14ac:dyDescent="0.25">
      <c r="E84" s="29"/>
    </row>
    <row r="85" spans="3:10" x14ac:dyDescent="0.25">
      <c r="C85" s="2" t="s">
        <v>562</v>
      </c>
      <c r="E85" s="29"/>
      <c r="F85" s="366" t="s">
        <v>107</v>
      </c>
    </row>
    <row r="86" spans="3:10" x14ac:dyDescent="0.25">
      <c r="E86" s="29"/>
    </row>
    <row r="87" spans="3:10" x14ac:dyDescent="0.25">
      <c r="C87" s="2" t="s">
        <v>563</v>
      </c>
      <c r="E87" s="29"/>
      <c r="F87" s="366" t="s">
        <v>107</v>
      </c>
    </row>
    <row r="88" spans="3:10" x14ac:dyDescent="0.25">
      <c r="E88" s="29"/>
    </row>
    <row r="89" spans="3:10" x14ac:dyDescent="0.25">
      <c r="C89" s="2" t="s">
        <v>564</v>
      </c>
      <c r="E89" s="29"/>
      <c r="F89" s="366" t="s">
        <v>108</v>
      </c>
    </row>
    <row r="90" spans="3:10" x14ac:dyDescent="0.25">
      <c r="E90" s="29"/>
    </row>
    <row r="91" spans="3:10" x14ac:dyDescent="0.25">
      <c r="C91" s="2" t="s">
        <v>565</v>
      </c>
      <c r="E91" s="29"/>
      <c r="F91" s="366" t="s">
        <v>108</v>
      </c>
      <c r="G91" s="376" t="s">
        <v>1599</v>
      </c>
      <c r="H91" s="162"/>
      <c r="I91" s="162"/>
      <c r="J91" s="162"/>
    </row>
    <row r="92" spans="3:10" x14ac:dyDescent="0.25">
      <c r="E92" s="29"/>
    </row>
    <row r="93" spans="3:10" x14ac:dyDescent="0.25">
      <c r="C93" s="2" t="s">
        <v>951</v>
      </c>
      <c r="E93" s="29"/>
      <c r="F93" s="366" t="s">
        <v>108</v>
      </c>
    </row>
    <row r="94" spans="3:10" x14ac:dyDescent="0.25">
      <c r="E94" s="29"/>
      <c r="F94" s="2" t="s">
        <v>566</v>
      </c>
      <c r="G94" s="376" t="s">
        <v>1229</v>
      </c>
      <c r="H94" s="162"/>
      <c r="I94" s="162"/>
      <c r="J94" s="162"/>
    </row>
    <row r="95" spans="3:10" x14ac:dyDescent="0.25">
      <c r="E95" s="29"/>
      <c r="G95" s="376"/>
      <c r="H95" s="162"/>
      <c r="I95" s="162"/>
      <c r="J95" s="162"/>
    </row>
    <row r="96" spans="3:10" x14ac:dyDescent="0.25">
      <c r="E96" s="29"/>
    </row>
    <row r="97" spans="3:13" x14ac:dyDescent="0.25">
      <c r="C97" s="2" t="s">
        <v>567</v>
      </c>
      <c r="E97" s="29"/>
      <c r="F97" s="366" t="s">
        <v>108</v>
      </c>
    </row>
    <row r="98" spans="3:13" x14ac:dyDescent="0.25">
      <c r="E98" s="29"/>
      <c r="F98" s="2" t="s">
        <v>566</v>
      </c>
      <c r="G98" s="376" t="s">
        <v>952</v>
      </c>
      <c r="H98" s="162"/>
      <c r="I98" s="162"/>
      <c r="J98" s="162"/>
    </row>
    <row r="99" spans="3:13" x14ac:dyDescent="0.25">
      <c r="E99" s="29"/>
    </row>
    <row r="100" spans="3:13" x14ac:dyDescent="0.25">
      <c r="C100" s="2" t="s">
        <v>910</v>
      </c>
      <c r="E100" s="29"/>
      <c r="F100" s="366" t="s">
        <v>108</v>
      </c>
    </row>
    <row r="101" spans="3:13" x14ac:dyDescent="0.25">
      <c r="E101" s="29"/>
    </row>
    <row r="102" spans="3:13" x14ac:dyDescent="0.25">
      <c r="E102" s="29"/>
      <c r="F102" s="2" t="s">
        <v>566</v>
      </c>
      <c r="G102" s="376"/>
      <c r="H102" s="162"/>
      <c r="I102" s="162"/>
      <c r="J102" s="162"/>
      <c r="M102" s="2"/>
    </row>
    <row r="103" spans="3:13" x14ac:dyDescent="0.25">
      <c r="E103" s="29"/>
      <c r="G103" s="376"/>
      <c r="H103" s="162"/>
      <c r="I103" s="162"/>
      <c r="J103" s="162"/>
      <c r="M103" s="2"/>
    </row>
    <row r="104" spans="3:13" x14ac:dyDescent="0.25">
      <c r="E104" s="29"/>
      <c r="G104" s="376"/>
      <c r="H104" s="162"/>
      <c r="I104" s="162"/>
      <c r="J104" s="162"/>
      <c r="M104" s="2"/>
    </row>
    <row r="106" spans="3:13" x14ac:dyDescent="0.25">
      <c r="C106" s="2" t="s">
        <v>73</v>
      </c>
      <c r="F106" s="366" t="s">
        <v>107</v>
      </c>
    </row>
    <row r="108" spans="3:13" x14ac:dyDescent="0.25">
      <c r="C108" s="2" t="s">
        <v>302</v>
      </c>
      <c r="F108" s="366" t="s">
        <v>107</v>
      </c>
    </row>
    <row r="110" spans="3:13" x14ac:dyDescent="0.25">
      <c r="C110" s="20" t="s">
        <v>568</v>
      </c>
    </row>
    <row r="111" spans="3:13" x14ac:dyDescent="0.25">
      <c r="E111" s="5">
        <f>E22</f>
        <v>2024</v>
      </c>
      <c r="F111" s="5">
        <f>E27</f>
        <v>2023</v>
      </c>
    </row>
    <row r="112" spans="3:13" x14ac:dyDescent="0.25">
      <c r="C112" s="2" t="s">
        <v>1482</v>
      </c>
      <c r="E112" s="377">
        <v>1000</v>
      </c>
      <c r="F112" s="377">
        <v>1000</v>
      </c>
      <c r="G112" s="2" t="str">
        <f>CONCATENATE(E112," Ordinary shares of R",E113," each")</f>
        <v>1000 Ordinary shares of R1 each</v>
      </c>
    </row>
    <row r="113" spans="3:8" x14ac:dyDescent="0.25">
      <c r="E113" s="378">
        <v>1</v>
      </c>
      <c r="F113" s="378">
        <v>1</v>
      </c>
    </row>
    <row r="115" spans="3:8" x14ac:dyDescent="0.25">
      <c r="C115" s="2" t="s">
        <v>953</v>
      </c>
      <c r="E115" s="379">
        <v>100</v>
      </c>
      <c r="F115" s="379">
        <v>100</v>
      </c>
      <c r="G115" s="2" t="str">
        <f>CONCATENATE(E115," Ordinary shares of R",E116," each")</f>
        <v>100 Ordinary shares of R1 each</v>
      </c>
    </row>
    <row r="116" spans="3:8" x14ac:dyDescent="0.25">
      <c r="E116" s="378">
        <v>1</v>
      </c>
      <c r="F116" s="378">
        <v>1</v>
      </c>
    </row>
    <row r="117" spans="3:8" x14ac:dyDescent="0.25">
      <c r="E117" s="29"/>
    </row>
    <row r="118" spans="3:8" ht="16.5" x14ac:dyDescent="0.3">
      <c r="C118" s="164" t="s">
        <v>129</v>
      </c>
    </row>
    <row r="119" spans="3:8" ht="16.5" x14ac:dyDescent="0.3">
      <c r="C119" s="164"/>
    </row>
    <row r="120" spans="3:8" x14ac:dyDescent="0.25">
      <c r="C120" s="2" t="s">
        <v>1333</v>
      </c>
      <c r="E120" s="366" t="s">
        <v>108</v>
      </c>
    </row>
    <row r="121" spans="3:8" ht="16.5" x14ac:dyDescent="0.3">
      <c r="C121" s="164"/>
    </row>
    <row r="122" spans="3:8" x14ac:dyDescent="0.25">
      <c r="C122" s="2" t="s">
        <v>1334</v>
      </c>
    </row>
    <row r="123" spans="3:8" x14ac:dyDescent="0.25">
      <c r="C123" s="2" t="s">
        <v>1335</v>
      </c>
      <c r="F123" s="366" t="s">
        <v>108</v>
      </c>
    </row>
    <row r="124" spans="3:8" ht="16.5" x14ac:dyDescent="0.3">
      <c r="C124" s="164"/>
    </row>
    <row r="125" spans="3:8" x14ac:dyDescent="0.25">
      <c r="C125" s="2" t="s">
        <v>1336</v>
      </c>
      <c r="F125" s="376"/>
      <c r="G125" s="376"/>
      <c r="H125" s="376"/>
    </row>
    <row r="126" spans="3:8" ht="16.5" x14ac:dyDescent="0.3">
      <c r="C126" s="164"/>
      <c r="F126" s="376"/>
      <c r="G126" s="376"/>
      <c r="H126" s="376"/>
    </row>
    <row r="127" spans="3:8" ht="16.5" x14ac:dyDescent="0.3">
      <c r="C127" s="164"/>
      <c r="F127" s="376"/>
      <c r="G127" s="376"/>
      <c r="H127" s="376"/>
    </row>
    <row r="128" spans="3:8" ht="16.5" x14ac:dyDescent="0.3">
      <c r="C128" s="164"/>
      <c r="F128" s="376"/>
      <c r="G128" s="376"/>
      <c r="H128" s="376"/>
    </row>
    <row r="129" spans="2:12" ht="16.5" x14ac:dyDescent="0.3">
      <c r="C129" s="164"/>
      <c r="F129" s="376"/>
      <c r="G129" s="376"/>
      <c r="H129" s="376"/>
    </row>
    <row r="131" spans="2:12" x14ac:dyDescent="0.25">
      <c r="B131" s="13"/>
      <c r="C131" s="20" t="s">
        <v>1379</v>
      </c>
      <c r="F131" s="23"/>
      <c r="G131" s="23"/>
      <c r="H131" s="23"/>
      <c r="I131" s="22"/>
      <c r="J131" s="22"/>
      <c r="L131" s="8"/>
    </row>
    <row r="133" spans="2:12" x14ac:dyDescent="0.25">
      <c r="C133" s="2" t="s">
        <v>1597</v>
      </c>
      <c r="F133" s="366" t="s">
        <v>107</v>
      </c>
    </row>
    <row r="135" spans="2:12" x14ac:dyDescent="0.25">
      <c r="F135" s="5">
        <f>E22</f>
        <v>2024</v>
      </c>
      <c r="G135" s="5">
        <f>E27</f>
        <v>2023</v>
      </c>
    </row>
    <row r="136" spans="2:12" x14ac:dyDescent="0.25">
      <c r="C136" s="2" t="s">
        <v>1695</v>
      </c>
    </row>
    <row r="138" spans="2:12" x14ac:dyDescent="0.25">
      <c r="C138" s="387"/>
      <c r="D138" s="387"/>
      <c r="E138" s="387"/>
      <c r="F138" s="387"/>
      <c r="G138" s="387"/>
    </row>
    <row r="139" spans="2:12" x14ac:dyDescent="0.25">
      <c r="C139" s="387"/>
      <c r="D139" s="387"/>
      <c r="E139" s="387"/>
      <c r="F139" s="387"/>
      <c r="G139" s="387"/>
    </row>
    <row r="140" spans="2:12" x14ac:dyDescent="0.25">
      <c r="C140" s="387"/>
      <c r="D140" s="387"/>
      <c r="E140" s="387"/>
      <c r="F140" s="387"/>
      <c r="G140" s="387"/>
    </row>
    <row r="141" spans="2:12" x14ac:dyDescent="0.25">
      <c r="C141" s="387"/>
      <c r="D141" s="387"/>
      <c r="E141" s="387"/>
      <c r="F141" s="387"/>
      <c r="G141" s="387"/>
    </row>
    <row r="142" spans="2:12" x14ac:dyDescent="0.25">
      <c r="C142" s="387"/>
      <c r="D142" s="387"/>
      <c r="E142" s="387"/>
      <c r="F142" s="387"/>
      <c r="G142" s="387"/>
    </row>
    <row r="143" spans="2:12" x14ac:dyDescent="0.25">
      <c r="C143" s="387"/>
      <c r="D143" s="387"/>
      <c r="E143" s="387"/>
      <c r="F143" s="387"/>
      <c r="G143" s="387"/>
    </row>
    <row r="144" spans="2:12" x14ac:dyDescent="0.25">
      <c r="C144" s="387"/>
      <c r="D144" s="387"/>
      <c r="E144" s="387"/>
      <c r="F144" s="387"/>
      <c r="G144" s="387"/>
    </row>
    <row r="145" spans="3:7" x14ac:dyDescent="0.25">
      <c r="C145" s="387"/>
      <c r="D145" s="387"/>
      <c r="E145" s="387"/>
      <c r="F145" s="387"/>
      <c r="G145" s="387"/>
    </row>
    <row r="146" spans="3:7" x14ac:dyDescent="0.25">
      <c r="C146" s="387"/>
      <c r="D146" s="387"/>
      <c r="E146" s="387"/>
      <c r="F146" s="387"/>
      <c r="G146" s="387"/>
    </row>
    <row r="147" spans="3:7" x14ac:dyDescent="0.25">
      <c r="C147" s="387"/>
      <c r="D147" s="387"/>
      <c r="E147" s="387"/>
      <c r="F147" s="387"/>
      <c r="G147" s="387"/>
    </row>
    <row r="148" spans="3:7" x14ac:dyDescent="0.25">
      <c r="C148" s="387"/>
      <c r="D148" s="387"/>
      <c r="E148" s="387"/>
      <c r="F148" s="387"/>
      <c r="G148" s="387"/>
    </row>
    <row r="149" spans="3:7" x14ac:dyDescent="0.25">
      <c r="C149" s="387"/>
      <c r="D149" s="387"/>
      <c r="E149" s="387"/>
      <c r="F149" s="387"/>
      <c r="G149" s="387"/>
    </row>
    <row r="150" spans="3:7" x14ac:dyDescent="0.25">
      <c r="C150" s="387"/>
      <c r="D150" s="387"/>
      <c r="E150" s="387"/>
      <c r="F150" s="387"/>
      <c r="G150" s="387"/>
    </row>
    <row r="151" spans="3:7" x14ac:dyDescent="0.25">
      <c r="C151" s="387"/>
      <c r="D151" s="387"/>
      <c r="E151" s="387"/>
      <c r="F151" s="387"/>
      <c r="G151" s="387"/>
    </row>
    <row r="152" spans="3:7" x14ac:dyDescent="0.25">
      <c r="C152" s="387"/>
      <c r="D152" s="387"/>
      <c r="E152" s="387"/>
      <c r="F152" s="387"/>
      <c r="G152" s="387"/>
    </row>
    <row r="153" spans="3:7" x14ac:dyDescent="0.25">
      <c r="C153" s="387"/>
      <c r="D153" s="387"/>
      <c r="E153" s="387"/>
      <c r="F153" s="387"/>
      <c r="G153" s="387"/>
    </row>
    <row r="154" spans="3:7" x14ac:dyDescent="0.25">
      <c r="C154" s="387"/>
      <c r="D154" s="387"/>
      <c r="E154" s="387"/>
      <c r="F154" s="387"/>
      <c r="G154" s="387"/>
    </row>
    <row r="155" spans="3:7" x14ac:dyDescent="0.25">
      <c r="C155" s="387"/>
      <c r="D155" s="387"/>
      <c r="E155" s="387"/>
      <c r="F155" s="387"/>
      <c r="G155" s="387"/>
    </row>
    <row r="156" spans="3:7" x14ac:dyDescent="0.25">
      <c r="C156" s="387"/>
      <c r="D156" s="387"/>
      <c r="E156" s="387"/>
      <c r="F156" s="387"/>
      <c r="G156" s="387"/>
    </row>
    <row r="157" spans="3:7" x14ac:dyDescent="0.25">
      <c r="C157" s="387"/>
      <c r="D157" s="387"/>
      <c r="E157" s="387"/>
      <c r="F157" s="387"/>
      <c r="G157" s="387"/>
    </row>
    <row r="158" spans="3:7" x14ac:dyDescent="0.25">
      <c r="C158" s="387"/>
      <c r="D158" s="387"/>
      <c r="E158" s="387"/>
      <c r="F158" s="387"/>
      <c r="G158" s="387"/>
    </row>
    <row r="159" spans="3:7" x14ac:dyDescent="0.25">
      <c r="C159" s="387"/>
      <c r="D159" s="387"/>
      <c r="E159" s="387"/>
      <c r="F159" s="387"/>
      <c r="G159" s="387"/>
    </row>
    <row r="160" spans="3:7" x14ac:dyDescent="0.25">
      <c r="C160" s="387"/>
      <c r="D160" s="387"/>
      <c r="E160" s="387"/>
      <c r="F160" s="387"/>
      <c r="G160" s="387"/>
    </row>
    <row r="161" spans="3:7" x14ac:dyDescent="0.25">
      <c r="C161" s="387"/>
      <c r="D161" s="387"/>
      <c r="E161" s="387"/>
      <c r="F161" s="387"/>
      <c r="G161" s="387"/>
    </row>
    <row r="162" spans="3:7" x14ac:dyDescent="0.25">
      <c r="C162" s="387"/>
      <c r="D162" s="387"/>
      <c r="E162" s="387"/>
      <c r="F162" s="387"/>
      <c r="G162" s="387"/>
    </row>
    <row r="163" spans="3:7" x14ac:dyDescent="0.25">
      <c r="C163" s="387"/>
      <c r="D163" s="387"/>
      <c r="E163" s="387"/>
      <c r="F163" s="387"/>
      <c r="G163" s="387"/>
    </row>
    <row r="164" spans="3:7" x14ac:dyDescent="0.25">
      <c r="C164" s="387"/>
      <c r="D164" s="387"/>
      <c r="E164" s="387"/>
      <c r="F164" s="387"/>
      <c r="G164" s="387"/>
    </row>
    <row r="165" spans="3:7" x14ac:dyDescent="0.25">
      <c r="C165" s="387"/>
      <c r="D165" s="387"/>
      <c r="E165" s="387"/>
      <c r="F165" s="387"/>
      <c r="G165" s="387"/>
    </row>
    <row r="166" spans="3:7" x14ac:dyDescent="0.25">
      <c r="C166" s="387"/>
      <c r="D166" s="387"/>
      <c r="E166" s="387"/>
      <c r="F166" s="387"/>
      <c r="G166" s="387"/>
    </row>
    <row r="167" spans="3:7" x14ac:dyDescent="0.25">
      <c r="C167" s="387"/>
      <c r="D167" s="387"/>
      <c r="E167" s="387"/>
      <c r="F167" s="387"/>
      <c r="G167" s="387"/>
    </row>
    <row r="168" spans="3:7" x14ac:dyDescent="0.25">
      <c r="C168" s="387"/>
      <c r="D168" s="387"/>
      <c r="E168" s="387"/>
      <c r="F168" s="387"/>
      <c r="G168" s="387"/>
    </row>
    <row r="169" spans="3:7" x14ac:dyDescent="0.25">
      <c r="C169" s="387"/>
      <c r="D169" s="387"/>
      <c r="E169" s="387"/>
      <c r="F169" s="387"/>
      <c r="G169" s="387"/>
    </row>
    <row r="170" spans="3:7" x14ac:dyDescent="0.25">
      <c r="C170" s="387"/>
      <c r="D170" s="387"/>
      <c r="E170" s="387"/>
      <c r="F170" s="387"/>
      <c r="G170" s="387"/>
    </row>
    <row r="171" spans="3:7" x14ac:dyDescent="0.25">
      <c r="C171" s="387"/>
      <c r="D171" s="387"/>
      <c r="E171" s="387"/>
      <c r="F171" s="387"/>
      <c r="G171" s="387"/>
    </row>
    <row r="172" spans="3:7" x14ac:dyDescent="0.25">
      <c r="C172" s="387"/>
      <c r="D172" s="387"/>
      <c r="E172" s="387"/>
      <c r="F172" s="387"/>
      <c r="G172" s="387"/>
    </row>
    <row r="173" spans="3:7" x14ac:dyDescent="0.25">
      <c r="C173" s="387"/>
      <c r="D173" s="387"/>
      <c r="E173" s="387"/>
      <c r="F173" s="387"/>
      <c r="G173" s="387"/>
    </row>
    <row r="174" spans="3:7" x14ac:dyDescent="0.25">
      <c r="C174" s="387"/>
      <c r="D174" s="387"/>
      <c r="E174" s="387"/>
      <c r="F174" s="387"/>
      <c r="G174" s="387"/>
    </row>
    <row r="175" spans="3:7" x14ac:dyDescent="0.25">
      <c r="C175" s="387"/>
      <c r="D175" s="387"/>
      <c r="E175" s="387"/>
      <c r="F175" s="387"/>
      <c r="G175" s="387"/>
    </row>
    <row r="176" spans="3:7" ht="16.5" thickBot="1" x14ac:dyDescent="0.3">
      <c r="F176" s="683">
        <f>SUM(F138:F175)</f>
        <v>0</v>
      </c>
      <c r="G176" s="683">
        <f>SUM(G138:G175)</f>
        <v>0</v>
      </c>
    </row>
    <row r="177" spans="3:7" ht="16.5" thickTop="1" x14ac:dyDescent="0.25"/>
    <row r="178" spans="3:7" x14ac:dyDescent="0.25">
      <c r="C178" s="2" t="s">
        <v>1696</v>
      </c>
    </row>
    <row r="180" spans="3:7" x14ac:dyDescent="0.25">
      <c r="C180" s="387"/>
      <c r="D180" s="387"/>
      <c r="E180" s="387"/>
      <c r="F180" s="387"/>
      <c r="G180" s="387"/>
    </row>
    <row r="181" spans="3:7" x14ac:dyDescent="0.25">
      <c r="C181" s="387"/>
      <c r="D181" s="387"/>
      <c r="E181" s="387"/>
      <c r="F181" s="387"/>
      <c r="G181" s="387"/>
    </row>
    <row r="182" spans="3:7" x14ac:dyDescent="0.25">
      <c r="C182" s="387"/>
      <c r="D182" s="387"/>
      <c r="E182" s="387"/>
      <c r="F182" s="387"/>
      <c r="G182" s="387"/>
    </row>
    <row r="183" spans="3:7" x14ac:dyDescent="0.25">
      <c r="C183" s="387"/>
      <c r="D183" s="387"/>
      <c r="E183" s="387"/>
      <c r="F183" s="387"/>
      <c r="G183" s="387"/>
    </row>
    <row r="184" spans="3:7" x14ac:dyDescent="0.25">
      <c r="C184" s="387"/>
      <c r="D184" s="387"/>
      <c r="E184" s="387"/>
      <c r="F184" s="387"/>
      <c r="G184" s="387"/>
    </row>
    <row r="185" spans="3:7" x14ac:dyDescent="0.25">
      <c r="C185" s="387"/>
      <c r="D185" s="387"/>
      <c r="E185" s="387"/>
      <c r="F185" s="387"/>
      <c r="G185" s="387"/>
    </row>
    <row r="186" spans="3:7" x14ac:dyDescent="0.25">
      <c r="C186" s="387"/>
      <c r="D186" s="387"/>
      <c r="E186" s="387"/>
      <c r="F186" s="387"/>
      <c r="G186" s="387"/>
    </row>
    <row r="187" spans="3:7" x14ac:dyDescent="0.25">
      <c r="C187" s="387"/>
      <c r="D187" s="387"/>
      <c r="E187" s="387"/>
      <c r="F187" s="387"/>
      <c r="G187" s="387"/>
    </row>
    <row r="188" spans="3:7" x14ac:dyDescent="0.25">
      <c r="C188" s="387"/>
      <c r="D188" s="387"/>
      <c r="E188" s="387"/>
      <c r="F188" s="387"/>
      <c r="G188" s="387"/>
    </row>
    <row r="189" spans="3:7" x14ac:dyDescent="0.25">
      <c r="C189" s="387"/>
      <c r="D189" s="387"/>
      <c r="E189" s="387"/>
      <c r="F189" s="387"/>
      <c r="G189" s="387"/>
    </row>
    <row r="190" spans="3:7" x14ac:dyDescent="0.25">
      <c r="C190" s="387"/>
      <c r="D190" s="387"/>
      <c r="E190" s="387"/>
      <c r="F190" s="387"/>
      <c r="G190" s="387"/>
    </row>
    <row r="191" spans="3:7" x14ac:dyDescent="0.25">
      <c r="C191" s="387"/>
      <c r="D191" s="387"/>
      <c r="E191" s="387"/>
      <c r="F191" s="387"/>
      <c r="G191" s="387"/>
    </row>
    <row r="192" spans="3:7" x14ac:dyDescent="0.25">
      <c r="C192" s="387"/>
      <c r="D192" s="387"/>
      <c r="E192" s="387"/>
      <c r="F192" s="387"/>
      <c r="G192" s="387"/>
    </row>
    <row r="193" spans="3:7" x14ac:dyDescent="0.25">
      <c r="C193" s="387"/>
      <c r="D193" s="387"/>
      <c r="E193" s="387"/>
      <c r="F193" s="387"/>
      <c r="G193" s="387"/>
    </row>
    <row r="194" spans="3:7" x14ac:dyDescent="0.25">
      <c r="C194" s="387"/>
      <c r="D194" s="387"/>
      <c r="E194" s="387"/>
      <c r="F194" s="387"/>
      <c r="G194" s="387"/>
    </row>
    <row r="195" spans="3:7" x14ac:dyDescent="0.25">
      <c r="C195" s="387"/>
      <c r="D195" s="387"/>
      <c r="E195" s="387"/>
      <c r="F195" s="387"/>
      <c r="G195" s="387"/>
    </row>
    <row r="196" spans="3:7" x14ac:dyDescent="0.25">
      <c r="C196" s="387"/>
      <c r="D196" s="387"/>
      <c r="E196" s="387"/>
      <c r="F196" s="387"/>
      <c r="G196" s="387"/>
    </row>
    <row r="197" spans="3:7" x14ac:dyDescent="0.25">
      <c r="C197" s="387"/>
      <c r="D197" s="387"/>
      <c r="E197" s="387"/>
      <c r="F197" s="387"/>
      <c r="G197" s="387"/>
    </row>
    <row r="198" spans="3:7" x14ac:dyDescent="0.25">
      <c r="C198" s="387"/>
      <c r="D198" s="387"/>
      <c r="E198" s="387"/>
      <c r="F198" s="387"/>
      <c r="G198" s="387"/>
    </row>
    <row r="199" spans="3:7" x14ac:dyDescent="0.25">
      <c r="C199" s="387"/>
      <c r="D199" s="387"/>
      <c r="E199" s="387"/>
      <c r="F199" s="387"/>
      <c r="G199" s="387"/>
    </row>
    <row r="200" spans="3:7" x14ac:dyDescent="0.25">
      <c r="C200" s="387"/>
      <c r="D200" s="387"/>
      <c r="E200" s="387"/>
      <c r="F200" s="387"/>
      <c r="G200" s="387"/>
    </row>
    <row r="201" spans="3:7" x14ac:dyDescent="0.25">
      <c r="C201" s="387"/>
      <c r="D201" s="387"/>
      <c r="E201" s="387"/>
      <c r="F201" s="387"/>
      <c r="G201" s="387"/>
    </row>
    <row r="202" spans="3:7" x14ac:dyDescent="0.25">
      <c r="C202" s="387"/>
      <c r="D202" s="387"/>
      <c r="E202" s="387"/>
      <c r="F202" s="387"/>
      <c r="G202" s="387"/>
    </row>
    <row r="203" spans="3:7" x14ac:dyDescent="0.25">
      <c r="C203" s="387"/>
      <c r="D203" s="387"/>
      <c r="E203" s="387"/>
      <c r="F203" s="387"/>
      <c r="G203" s="387"/>
    </row>
    <row r="204" spans="3:7" x14ac:dyDescent="0.25">
      <c r="C204" s="387"/>
      <c r="D204" s="387"/>
      <c r="E204" s="387"/>
      <c r="F204" s="387"/>
      <c r="G204" s="387"/>
    </row>
    <row r="205" spans="3:7" x14ac:dyDescent="0.25">
      <c r="C205" s="387"/>
      <c r="D205" s="387"/>
      <c r="E205" s="387"/>
      <c r="F205" s="387"/>
      <c r="G205" s="387"/>
    </row>
    <row r="206" spans="3:7" x14ac:dyDescent="0.25">
      <c r="C206" s="387"/>
      <c r="D206" s="387"/>
      <c r="E206" s="387"/>
      <c r="F206" s="387"/>
      <c r="G206" s="387"/>
    </row>
    <row r="207" spans="3:7" x14ac:dyDescent="0.25">
      <c r="C207" s="387"/>
      <c r="D207" s="387"/>
      <c r="E207" s="387"/>
      <c r="F207" s="387"/>
      <c r="G207" s="387"/>
    </row>
    <row r="208" spans="3:7" x14ac:dyDescent="0.25">
      <c r="C208" s="387"/>
      <c r="D208" s="387"/>
      <c r="E208" s="387"/>
      <c r="F208" s="387"/>
      <c r="G208" s="387"/>
    </row>
    <row r="209" spans="3:10" x14ac:dyDescent="0.25">
      <c r="C209" s="387"/>
      <c r="D209" s="387"/>
      <c r="E209" s="387"/>
      <c r="F209" s="387"/>
      <c r="G209" s="387"/>
    </row>
    <row r="210" spans="3:10" x14ac:dyDescent="0.25">
      <c r="C210" s="387"/>
      <c r="D210" s="387"/>
      <c r="E210" s="387"/>
      <c r="F210" s="387"/>
      <c r="G210" s="387"/>
    </row>
    <row r="211" spans="3:10" x14ac:dyDescent="0.25">
      <c r="C211" s="387"/>
      <c r="D211" s="387"/>
      <c r="E211" s="387"/>
      <c r="F211" s="387"/>
      <c r="G211" s="387"/>
    </row>
    <row r="212" spans="3:10" x14ac:dyDescent="0.25">
      <c r="C212" s="387"/>
      <c r="D212" s="387"/>
      <c r="E212" s="387"/>
      <c r="F212" s="387"/>
      <c r="G212" s="387"/>
    </row>
    <row r="213" spans="3:10" x14ac:dyDescent="0.25">
      <c r="C213" s="387"/>
      <c r="D213" s="387"/>
      <c r="E213" s="387"/>
      <c r="F213" s="387"/>
      <c r="G213" s="387"/>
    </row>
    <row r="214" spans="3:10" x14ac:dyDescent="0.25">
      <c r="C214" s="387"/>
      <c r="D214" s="387"/>
      <c r="E214" s="387"/>
      <c r="F214" s="387"/>
      <c r="G214" s="387"/>
    </row>
    <row r="215" spans="3:10" x14ac:dyDescent="0.25">
      <c r="C215" s="387"/>
      <c r="D215" s="387"/>
      <c r="E215" s="387"/>
      <c r="F215" s="387"/>
      <c r="G215" s="387"/>
    </row>
    <row r="216" spans="3:10" x14ac:dyDescent="0.25">
      <c r="C216" s="387"/>
      <c r="D216" s="387"/>
      <c r="E216" s="387"/>
      <c r="F216" s="387"/>
      <c r="G216" s="387"/>
    </row>
    <row r="217" spans="3:10" x14ac:dyDescent="0.25">
      <c r="C217" s="387"/>
      <c r="D217" s="387"/>
      <c r="E217" s="387"/>
      <c r="F217" s="387"/>
      <c r="G217" s="387"/>
    </row>
    <row r="218" spans="3:10" ht="16.5" thickBot="1" x14ac:dyDescent="0.3">
      <c r="F218" s="683">
        <f>SUM(F180:F217)</f>
        <v>0</v>
      </c>
      <c r="G218" s="683">
        <f>SUM(G180:G217)</f>
        <v>0</v>
      </c>
    </row>
    <row r="219" spans="3:10" ht="16.5" thickTop="1" x14ac:dyDescent="0.25"/>
    <row r="220" spans="3:10" x14ac:dyDescent="0.25">
      <c r="C220" s="20" t="s">
        <v>1598</v>
      </c>
      <c r="F220" s="380"/>
      <c r="G220" s="380" t="s">
        <v>454</v>
      </c>
      <c r="H220" s="380" t="s">
        <v>1046</v>
      </c>
      <c r="I220" s="380" t="s">
        <v>1047</v>
      </c>
      <c r="J220" s="380" t="s">
        <v>455</v>
      </c>
    </row>
    <row r="221" spans="3:10" x14ac:dyDescent="0.25">
      <c r="F221" s="381" t="s">
        <v>1379</v>
      </c>
      <c r="G221" s="381" t="s">
        <v>647</v>
      </c>
      <c r="H221" s="381" t="s">
        <v>648</v>
      </c>
      <c r="I221" s="381" t="s">
        <v>647</v>
      </c>
      <c r="J221" s="381" t="s">
        <v>942</v>
      </c>
    </row>
    <row r="222" spans="3:10" x14ac:dyDescent="0.25">
      <c r="C222" s="2" t="s">
        <v>59</v>
      </c>
      <c r="F222" s="382">
        <v>0.02</v>
      </c>
      <c r="G222" s="382">
        <v>0.2</v>
      </c>
      <c r="H222" s="382">
        <v>0.2</v>
      </c>
      <c r="I222" s="382">
        <v>0.33339999999999997</v>
      </c>
      <c r="J222" s="382">
        <v>0.2</v>
      </c>
    </row>
    <row r="223" spans="3:10" x14ac:dyDescent="0.25">
      <c r="F223" s="383" t="s">
        <v>954</v>
      </c>
      <c r="G223" s="383" t="s">
        <v>954</v>
      </c>
      <c r="H223" s="383" t="s">
        <v>954</v>
      </c>
      <c r="I223" s="383" t="s">
        <v>954</v>
      </c>
      <c r="J223" s="383" t="s">
        <v>954</v>
      </c>
    </row>
    <row r="226" spans="3:14" x14ac:dyDescent="0.25">
      <c r="C226" s="20" t="s">
        <v>955</v>
      </c>
      <c r="F226" s="21" t="str">
        <f t="shared" ref="F226:I227" si="1">G220</f>
        <v>Plant and</v>
      </c>
      <c r="G226" s="21" t="str">
        <f t="shared" si="1"/>
        <v>Motor</v>
      </c>
      <c r="H226" s="21" t="str">
        <f t="shared" si="1"/>
        <v>Electronic</v>
      </c>
      <c r="I226" s="21" t="str">
        <f t="shared" si="1"/>
        <v>Furniture and</v>
      </c>
      <c r="J226" s="21"/>
      <c r="L226" s="8"/>
      <c r="M226" s="8"/>
    </row>
    <row r="227" spans="3:14" x14ac:dyDescent="0.25">
      <c r="F227" s="25" t="str">
        <f t="shared" si="1"/>
        <v>equipment</v>
      </c>
      <c r="G227" s="25" t="str">
        <f t="shared" si="1"/>
        <v>vehicles</v>
      </c>
      <c r="H227" s="25" t="str">
        <f t="shared" si="1"/>
        <v>equipment</v>
      </c>
      <c r="I227" s="25" t="str">
        <f t="shared" si="1"/>
        <v>fittings</v>
      </c>
      <c r="J227" s="25" t="s">
        <v>456</v>
      </c>
      <c r="L227" s="8"/>
      <c r="M227" s="8"/>
    </row>
    <row r="228" spans="3:14" x14ac:dyDescent="0.25">
      <c r="C228" s="2" t="s">
        <v>239</v>
      </c>
      <c r="E228" s="10">
        <f>G21</f>
        <v>44985</v>
      </c>
      <c r="F228" s="302">
        <f>F231-F232</f>
        <v>0</v>
      </c>
      <c r="G228" s="303">
        <f>G231-G232</f>
        <v>0</v>
      </c>
      <c r="H228" s="302">
        <f>H231-H232</f>
        <v>0</v>
      </c>
      <c r="I228" s="302">
        <f>I231-I232</f>
        <v>0</v>
      </c>
      <c r="J228" s="302">
        <f>J231-J232</f>
        <v>0</v>
      </c>
      <c r="L228" s="8"/>
      <c r="M228" s="8"/>
      <c r="N228" s="4"/>
    </row>
    <row r="229" spans="3:14" ht="3.6" customHeight="1" x14ac:dyDescent="0.25">
      <c r="E229" s="10"/>
      <c r="F229" s="302"/>
      <c r="G229" s="303"/>
      <c r="H229" s="302"/>
      <c r="I229" s="302"/>
      <c r="J229" s="302"/>
      <c r="L229" s="8"/>
      <c r="M229" s="8"/>
      <c r="N229" s="4"/>
    </row>
    <row r="230" spans="3:14" ht="4.1500000000000004" customHeight="1" x14ac:dyDescent="0.25">
      <c r="E230" s="10"/>
      <c r="F230" s="304"/>
      <c r="G230" s="305"/>
      <c r="H230" s="306"/>
      <c r="I230" s="306"/>
      <c r="J230" s="307"/>
      <c r="L230" s="8"/>
      <c r="M230" s="8"/>
      <c r="N230" s="4"/>
    </row>
    <row r="231" spans="3:14" x14ac:dyDescent="0.25">
      <c r="C231" s="2" t="s">
        <v>457</v>
      </c>
      <c r="E231" s="8"/>
      <c r="F231" s="384"/>
      <c r="G231" s="385"/>
      <c r="H231" s="386"/>
      <c r="I231" s="386"/>
      <c r="J231" s="308">
        <f>SUM(F231:I231)</f>
        <v>0</v>
      </c>
      <c r="L231" s="8"/>
      <c r="M231" s="8"/>
      <c r="N231" s="4"/>
    </row>
    <row r="232" spans="3:14" x14ac:dyDescent="0.25">
      <c r="C232" s="2" t="s">
        <v>956</v>
      </c>
      <c r="E232" s="8"/>
      <c r="F232" s="384"/>
      <c r="G232" s="385"/>
      <c r="H232" s="386"/>
      <c r="I232" s="386"/>
      <c r="J232" s="308">
        <f>SUM(F232:I232)</f>
        <v>0</v>
      </c>
      <c r="L232" s="8"/>
      <c r="M232" s="8"/>
      <c r="N232" s="4"/>
    </row>
    <row r="233" spans="3:14" ht="3.6" customHeight="1" x14ac:dyDescent="0.25">
      <c r="C233" s="1"/>
      <c r="E233" s="8"/>
      <c r="F233" s="309"/>
      <c r="G233" s="310"/>
      <c r="H233" s="310"/>
      <c r="I233" s="310"/>
      <c r="J233" s="311"/>
      <c r="L233" s="8"/>
      <c r="M233" s="8"/>
      <c r="N233" s="4"/>
    </row>
    <row r="234" spans="3:14" x14ac:dyDescent="0.25">
      <c r="E234" s="8"/>
      <c r="F234" s="302"/>
      <c r="G234" s="302"/>
      <c r="H234" s="302"/>
      <c r="I234" s="302"/>
      <c r="J234" s="302"/>
      <c r="L234" s="8"/>
      <c r="M234" s="8"/>
      <c r="N234" s="4"/>
    </row>
    <row r="235" spans="3:14" x14ac:dyDescent="0.25">
      <c r="C235" s="2" t="s">
        <v>239</v>
      </c>
      <c r="E235" s="10">
        <f>G20</f>
        <v>45351</v>
      </c>
      <c r="F235" s="302">
        <f>F238-F239</f>
        <v>0</v>
      </c>
      <c r="G235" s="302">
        <f>G238-G239</f>
        <v>0</v>
      </c>
      <c r="H235" s="302">
        <f>H238-H239</f>
        <v>0</v>
      </c>
      <c r="I235" s="302">
        <f>I238-I239</f>
        <v>0</v>
      </c>
      <c r="J235" s="302">
        <f>J238-J239</f>
        <v>0</v>
      </c>
      <c r="L235" s="8"/>
      <c r="M235" s="8"/>
      <c r="N235" s="4"/>
    </row>
    <row r="236" spans="3:14" ht="3.6" customHeight="1" x14ac:dyDescent="0.25">
      <c r="E236" s="10"/>
      <c r="F236" s="302"/>
      <c r="G236" s="302"/>
      <c r="H236" s="302"/>
      <c r="I236" s="302"/>
      <c r="J236" s="302"/>
      <c r="L236" s="8"/>
      <c r="M236" s="8"/>
      <c r="N236" s="4"/>
    </row>
    <row r="237" spans="3:14" ht="3.6" customHeight="1" x14ac:dyDescent="0.25">
      <c r="E237" s="10"/>
      <c r="F237" s="304"/>
      <c r="G237" s="306"/>
      <c r="H237" s="306"/>
      <c r="I237" s="306"/>
      <c r="J237" s="307"/>
      <c r="L237" s="8"/>
      <c r="M237" s="8"/>
      <c r="N237" s="4"/>
    </row>
    <row r="238" spans="3:14" x14ac:dyDescent="0.25">
      <c r="C238" s="2" t="s">
        <v>457</v>
      </c>
      <c r="E238" s="8"/>
      <c r="F238" s="384"/>
      <c r="G238" s="385"/>
      <c r="H238" s="386"/>
      <c r="I238" s="386"/>
      <c r="J238" s="308">
        <f>SUM(F238:I238)</f>
        <v>0</v>
      </c>
      <c r="L238" s="8"/>
      <c r="M238" s="8"/>
      <c r="N238" s="4"/>
    </row>
    <row r="239" spans="3:14" x14ac:dyDescent="0.25">
      <c r="C239" s="2" t="s">
        <v>956</v>
      </c>
      <c r="E239" s="8"/>
      <c r="F239" s="384"/>
      <c r="G239" s="385"/>
      <c r="H239" s="386"/>
      <c r="I239" s="386"/>
      <c r="J239" s="308">
        <f>SUM(F239:I239)</f>
        <v>0</v>
      </c>
      <c r="L239" s="8"/>
      <c r="M239" s="8"/>
      <c r="N239" s="4"/>
    </row>
    <row r="240" spans="3:14" ht="3.6" customHeight="1" x14ac:dyDescent="0.25">
      <c r="E240" s="8"/>
      <c r="F240" s="309"/>
      <c r="G240" s="310"/>
      <c r="H240" s="310"/>
      <c r="I240" s="310"/>
      <c r="J240" s="311"/>
      <c r="L240" s="8"/>
      <c r="M240" s="8"/>
      <c r="N240" s="4"/>
    </row>
    <row r="242" spans="3:10" x14ac:dyDescent="0.25">
      <c r="C242" s="20" t="s">
        <v>1386</v>
      </c>
    </row>
    <row r="243" spans="3:10" x14ac:dyDescent="0.25">
      <c r="C243" s="2" t="s">
        <v>1387</v>
      </c>
      <c r="F243" s="384">
        <v>10</v>
      </c>
      <c r="G243" s="2" t="s">
        <v>1388</v>
      </c>
    </row>
    <row r="245" spans="3:10" x14ac:dyDescent="0.25">
      <c r="C245" s="20" t="s">
        <v>109</v>
      </c>
      <c r="G245" s="5">
        <f>E22</f>
        <v>2024</v>
      </c>
      <c r="H245" s="5">
        <f>E27</f>
        <v>2023</v>
      </c>
    </row>
    <row r="246" spans="3:10" x14ac:dyDescent="0.25">
      <c r="F246" s="27" t="s">
        <v>111</v>
      </c>
    </row>
    <row r="247" spans="3:10" x14ac:dyDescent="0.25">
      <c r="F247" s="27"/>
    </row>
    <row r="248" spans="3:10" x14ac:dyDescent="0.25">
      <c r="C248" s="2" t="s">
        <v>978</v>
      </c>
      <c r="F248" s="119">
        <f>SUM(TrialBalance!L306:L311)</f>
        <v>0</v>
      </c>
      <c r="G248" s="699" t="s">
        <v>903</v>
      </c>
      <c r="H248" s="699"/>
    </row>
    <row r="249" spans="3:10" x14ac:dyDescent="0.25">
      <c r="C249" s="2" t="s">
        <v>957</v>
      </c>
      <c r="F249" s="119"/>
      <c r="G249" s="387"/>
      <c r="H249" s="387"/>
    </row>
    <row r="250" spans="3:10" x14ac:dyDescent="0.25">
      <c r="F250" s="119"/>
    </row>
    <row r="251" spans="3:10" x14ac:dyDescent="0.25">
      <c r="C251" s="2" t="s">
        <v>958</v>
      </c>
      <c r="F251" s="119">
        <f>SUM(TrialBalance!L312:L317)</f>
        <v>0</v>
      </c>
      <c r="G251" s="699" t="s">
        <v>903</v>
      </c>
      <c r="H251" s="699"/>
    </row>
    <row r="252" spans="3:10" x14ac:dyDescent="0.25">
      <c r="C252" s="2" t="s">
        <v>959</v>
      </c>
      <c r="F252" s="119"/>
      <c r="G252" s="387"/>
      <c r="H252" s="387"/>
    </row>
    <row r="254" spans="3:10" x14ac:dyDescent="0.25">
      <c r="C254" s="20" t="s">
        <v>960</v>
      </c>
    </row>
    <row r="256" spans="3:10" x14ac:dyDescent="0.25">
      <c r="C256" s="2">
        <f>TrialBalance!C320</f>
        <v>0</v>
      </c>
      <c r="E256" s="119">
        <f>TrialBalance!L320</f>
        <v>0</v>
      </c>
      <c r="G256" s="388" t="s">
        <v>448</v>
      </c>
      <c r="H256" s="169"/>
      <c r="I256" s="169"/>
      <c r="J256" s="169"/>
    </row>
    <row r="257" spans="3:10" x14ac:dyDescent="0.25">
      <c r="E257" s="119"/>
      <c r="G257" s="388" t="s">
        <v>449</v>
      </c>
      <c r="H257" s="169"/>
      <c r="I257" s="169"/>
      <c r="J257" s="169"/>
    </row>
    <row r="258" spans="3:10" x14ac:dyDescent="0.25">
      <c r="E258" s="119"/>
    </row>
    <row r="259" spans="3:10" x14ac:dyDescent="0.25">
      <c r="C259" s="2">
        <f>TrialBalance!C321</f>
        <v>0</v>
      </c>
      <c r="E259" s="119">
        <f>TrialBalance!L321</f>
        <v>0</v>
      </c>
      <c r="G259" s="388" t="s">
        <v>448</v>
      </c>
      <c r="H259" s="169"/>
      <c r="I259" s="169"/>
      <c r="J259" s="169"/>
    </row>
    <row r="260" spans="3:10" x14ac:dyDescent="0.25">
      <c r="E260" s="119"/>
      <c r="G260" s="388" t="s">
        <v>449</v>
      </c>
      <c r="H260" s="169"/>
      <c r="I260" s="169"/>
      <c r="J260" s="169"/>
    </row>
    <row r="261" spans="3:10" x14ac:dyDescent="0.25">
      <c r="E261" s="119"/>
    </row>
    <row r="262" spans="3:10" x14ac:dyDescent="0.25">
      <c r="C262" s="2">
        <f>TrialBalance!C322</f>
        <v>0</v>
      </c>
      <c r="E262" s="119">
        <f>TrialBalance!L322</f>
        <v>0</v>
      </c>
      <c r="G262" s="388" t="s">
        <v>448</v>
      </c>
      <c r="H262" s="169"/>
      <c r="I262" s="169"/>
      <c r="J262" s="169"/>
    </row>
    <row r="263" spans="3:10" x14ac:dyDescent="0.25">
      <c r="E263" s="119"/>
      <c r="G263" s="388" t="s">
        <v>449</v>
      </c>
      <c r="H263" s="169"/>
      <c r="I263" s="169"/>
      <c r="J263" s="169"/>
    </row>
    <row r="264" spans="3:10" x14ac:dyDescent="0.25">
      <c r="E264" s="119"/>
    </row>
    <row r="265" spans="3:10" x14ac:dyDescent="0.25">
      <c r="C265" s="2">
        <f>TrialBalance!C323</f>
        <v>0</v>
      </c>
      <c r="E265" s="119">
        <f>TrialBalance!L323</f>
        <v>0</v>
      </c>
      <c r="G265" s="388" t="s">
        <v>448</v>
      </c>
      <c r="H265" s="169"/>
      <c r="I265" s="169"/>
      <c r="J265" s="169"/>
    </row>
    <row r="266" spans="3:10" x14ac:dyDescent="0.25">
      <c r="E266" s="119"/>
      <c r="G266" s="388" t="s">
        <v>449</v>
      </c>
      <c r="H266" s="169"/>
      <c r="I266" s="169"/>
      <c r="J266" s="169"/>
    </row>
    <row r="267" spans="3:10" x14ac:dyDescent="0.25">
      <c r="E267" s="119"/>
    </row>
    <row r="268" spans="3:10" x14ac:dyDescent="0.25">
      <c r="C268" s="2">
        <f>TrialBalance!C324</f>
        <v>0</v>
      </c>
      <c r="E268" s="119">
        <f>TrialBalance!L324</f>
        <v>0</v>
      </c>
      <c r="G268" s="388" t="s">
        <v>448</v>
      </c>
      <c r="H268" s="169"/>
      <c r="I268" s="169"/>
      <c r="J268" s="169"/>
    </row>
    <row r="269" spans="3:10" x14ac:dyDescent="0.25">
      <c r="E269" s="119"/>
      <c r="G269" s="388" t="s">
        <v>449</v>
      </c>
      <c r="H269" s="169"/>
      <c r="I269" s="169"/>
      <c r="J269" s="169"/>
    </row>
    <row r="270" spans="3:10" x14ac:dyDescent="0.25">
      <c r="E270" s="119"/>
    </row>
    <row r="271" spans="3:10" x14ac:dyDescent="0.25">
      <c r="C271" s="2">
        <f>TrialBalance!C325</f>
        <v>0</v>
      </c>
      <c r="E271" s="119">
        <f>TrialBalance!L325</f>
        <v>0</v>
      </c>
      <c r="G271" s="388" t="s">
        <v>448</v>
      </c>
      <c r="H271" s="169"/>
      <c r="I271" s="169"/>
      <c r="J271" s="169"/>
    </row>
    <row r="272" spans="3:10" x14ac:dyDescent="0.25">
      <c r="E272" s="119"/>
      <c r="G272" s="388" t="s">
        <v>449</v>
      </c>
      <c r="H272" s="169"/>
      <c r="I272" s="169"/>
      <c r="J272" s="169"/>
    </row>
    <row r="273" spans="3:10" x14ac:dyDescent="0.25">
      <c r="E273" s="119"/>
    </row>
    <row r="274" spans="3:10" x14ac:dyDescent="0.25">
      <c r="C274" s="2">
        <f>TrialBalance!C326</f>
        <v>0</v>
      </c>
      <c r="E274" s="119">
        <f>TrialBalance!L326</f>
        <v>0</v>
      </c>
      <c r="G274" s="388" t="s">
        <v>448</v>
      </c>
      <c r="H274" s="169"/>
      <c r="I274" s="169"/>
      <c r="J274" s="169"/>
    </row>
    <row r="275" spans="3:10" x14ac:dyDescent="0.25">
      <c r="E275" s="119"/>
      <c r="G275" s="388" t="s">
        <v>449</v>
      </c>
      <c r="H275" s="169"/>
      <c r="I275" s="169"/>
      <c r="J275" s="169"/>
    </row>
    <row r="276" spans="3:10" x14ac:dyDescent="0.25">
      <c r="E276" s="119"/>
    </row>
    <row r="277" spans="3:10" x14ac:dyDescent="0.25">
      <c r="C277" s="2">
        <f>TrialBalance!C327</f>
        <v>0</v>
      </c>
      <c r="E277" s="119">
        <f>TrialBalance!L327</f>
        <v>0</v>
      </c>
      <c r="G277" s="388" t="s">
        <v>448</v>
      </c>
      <c r="H277" s="169"/>
      <c r="I277" s="169"/>
      <c r="J277" s="169"/>
    </row>
    <row r="278" spans="3:10" x14ac:dyDescent="0.25">
      <c r="E278" s="119"/>
      <c r="G278" s="388" t="s">
        <v>449</v>
      </c>
      <c r="H278" s="169"/>
      <c r="I278" s="169"/>
      <c r="J278" s="169"/>
    </row>
    <row r="279" spans="3:10" x14ac:dyDescent="0.25">
      <c r="E279" s="119"/>
    </row>
    <row r="280" spans="3:10" x14ac:dyDescent="0.25">
      <c r="C280" s="2">
        <f>TrialBalance!C328</f>
        <v>0</v>
      </c>
      <c r="E280" s="119">
        <f>TrialBalance!L328</f>
        <v>0</v>
      </c>
      <c r="G280" s="388" t="s">
        <v>448</v>
      </c>
      <c r="H280" s="169"/>
      <c r="I280" s="169"/>
      <c r="J280" s="169"/>
    </row>
    <row r="281" spans="3:10" x14ac:dyDescent="0.25">
      <c r="E281" s="119"/>
      <c r="G281" s="388" t="s">
        <v>449</v>
      </c>
      <c r="H281" s="169"/>
      <c r="I281" s="169"/>
      <c r="J281" s="169"/>
    </row>
    <row r="282" spans="3:10" x14ac:dyDescent="0.25">
      <c r="E282" s="119"/>
    </row>
    <row r="283" spans="3:10" x14ac:dyDescent="0.25">
      <c r="C283" s="2">
        <f>TrialBalance!C329</f>
        <v>0</v>
      </c>
      <c r="E283" s="119">
        <f>TrialBalance!L329</f>
        <v>0</v>
      </c>
      <c r="G283" s="388" t="s">
        <v>448</v>
      </c>
      <c r="H283" s="169"/>
      <c r="I283" s="169"/>
      <c r="J283" s="169"/>
    </row>
    <row r="284" spans="3:10" x14ac:dyDescent="0.25">
      <c r="E284" s="119"/>
      <c r="G284" s="388" t="s">
        <v>449</v>
      </c>
      <c r="H284" s="169"/>
      <c r="I284" s="169"/>
      <c r="J284" s="169"/>
    </row>
    <row r="285" spans="3:10" x14ac:dyDescent="0.25">
      <c r="E285" s="119"/>
    </row>
    <row r="286" spans="3:10" x14ac:dyDescent="0.25">
      <c r="C286" s="2">
        <f>TrialBalance!C343</f>
        <v>0</v>
      </c>
      <c r="E286" s="119">
        <f>TrialBalance!L343</f>
        <v>0</v>
      </c>
      <c r="G286" s="388" t="s">
        <v>448</v>
      </c>
      <c r="H286" s="169"/>
      <c r="I286" s="169"/>
      <c r="J286" s="169"/>
    </row>
    <row r="287" spans="3:10" x14ac:dyDescent="0.25">
      <c r="E287" s="119"/>
      <c r="G287" s="388" t="s">
        <v>449</v>
      </c>
      <c r="H287" s="169"/>
      <c r="I287" s="169"/>
      <c r="J287" s="169"/>
    </row>
    <row r="288" spans="3:10" x14ac:dyDescent="0.25">
      <c r="E288" s="119"/>
    </row>
    <row r="289" spans="3:10" x14ac:dyDescent="0.25">
      <c r="C289" s="2">
        <f>TrialBalance!C344</f>
        <v>0</v>
      </c>
      <c r="E289" s="119">
        <f>TrialBalance!L344</f>
        <v>0</v>
      </c>
      <c r="G289" s="388" t="s">
        <v>448</v>
      </c>
      <c r="H289" s="169"/>
      <c r="I289" s="169"/>
      <c r="J289" s="169"/>
    </row>
    <row r="290" spans="3:10" x14ac:dyDescent="0.25">
      <c r="E290" s="119"/>
      <c r="G290" s="388" t="s">
        <v>449</v>
      </c>
      <c r="H290" s="169"/>
      <c r="I290" s="169"/>
      <c r="J290" s="169"/>
    </row>
    <row r="291" spans="3:10" x14ac:dyDescent="0.25">
      <c r="E291" s="119"/>
    </row>
    <row r="292" spans="3:10" x14ac:dyDescent="0.25">
      <c r="C292" s="2">
        <f>TrialBalance!C345</f>
        <v>0</v>
      </c>
      <c r="E292" s="119">
        <f>TrialBalance!L345</f>
        <v>0</v>
      </c>
      <c r="G292" s="388" t="s">
        <v>448</v>
      </c>
      <c r="H292" s="169"/>
      <c r="I292" s="169"/>
      <c r="J292" s="169"/>
    </row>
    <row r="293" spans="3:10" x14ac:dyDescent="0.25">
      <c r="E293" s="119"/>
      <c r="G293" s="388" t="s">
        <v>449</v>
      </c>
      <c r="H293" s="169"/>
      <c r="I293" s="169"/>
      <c r="J293" s="169"/>
    </row>
    <row r="294" spans="3:10" x14ac:dyDescent="0.25">
      <c r="E294" s="119"/>
    </row>
    <row r="295" spans="3:10" x14ac:dyDescent="0.25">
      <c r="C295" s="2">
        <f>TrialBalance!C346</f>
        <v>0</v>
      </c>
      <c r="E295" s="119">
        <f>TrialBalance!L346</f>
        <v>0</v>
      </c>
      <c r="G295" s="388" t="s">
        <v>448</v>
      </c>
      <c r="H295" s="169"/>
      <c r="I295" s="169"/>
      <c r="J295" s="169"/>
    </row>
    <row r="296" spans="3:10" x14ac:dyDescent="0.25">
      <c r="E296" s="119"/>
      <c r="G296" s="388" t="s">
        <v>449</v>
      </c>
      <c r="H296" s="169"/>
      <c r="I296" s="169"/>
      <c r="J296" s="169"/>
    </row>
    <row r="298" spans="3:10" x14ac:dyDescent="0.25">
      <c r="C298" s="20" t="s">
        <v>931</v>
      </c>
    </row>
    <row r="300" spans="3:10" x14ac:dyDescent="0.25">
      <c r="C300" s="2" t="s">
        <v>961</v>
      </c>
      <c r="G300" s="366" t="s">
        <v>108</v>
      </c>
    </row>
    <row r="302" spans="3:10" x14ac:dyDescent="0.25">
      <c r="F302" s="2" t="s">
        <v>110</v>
      </c>
      <c r="G302" s="388" t="s">
        <v>962</v>
      </c>
      <c r="H302" s="169"/>
      <c r="I302" s="169"/>
    </row>
    <row r="303" spans="3:10" x14ac:dyDescent="0.25">
      <c r="G303" s="388"/>
      <c r="H303" s="169"/>
      <c r="I303" s="169"/>
    </row>
    <row r="305" spans="3:9" x14ac:dyDescent="0.25">
      <c r="C305" s="20" t="s">
        <v>964</v>
      </c>
      <c r="E305" s="27" t="s">
        <v>111</v>
      </c>
    </row>
    <row r="307" spans="3:9" x14ac:dyDescent="0.25">
      <c r="C307" s="2">
        <f>TrialBalance!C185</f>
        <v>0</v>
      </c>
      <c r="E307" s="119">
        <f>-TrialBalance!L185</f>
        <v>0</v>
      </c>
      <c r="F307" s="388" t="s">
        <v>1635</v>
      </c>
      <c r="G307" s="169"/>
      <c r="H307" s="169"/>
      <c r="I307" s="169"/>
    </row>
    <row r="308" spans="3:9" x14ac:dyDescent="0.25">
      <c r="E308" s="119"/>
      <c r="F308" s="388" t="s">
        <v>1636</v>
      </c>
      <c r="G308" s="169"/>
      <c r="H308" s="169"/>
      <c r="I308" s="169"/>
    </row>
    <row r="309" spans="3:9" x14ac:dyDescent="0.25">
      <c r="E309" s="119"/>
      <c r="F309" s="388" t="s">
        <v>1638</v>
      </c>
      <c r="G309" s="169"/>
      <c r="H309" s="169"/>
      <c r="I309" s="169"/>
    </row>
    <row r="310" spans="3:9" x14ac:dyDescent="0.25">
      <c r="E310" s="119"/>
      <c r="F310" s="388" t="s">
        <v>1637</v>
      </c>
      <c r="G310" s="169"/>
      <c r="H310" s="169"/>
      <c r="I310" s="169"/>
    </row>
    <row r="311" spans="3:9" x14ac:dyDescent="0.25">
      <c r="E311" s="119"/>
    </row>
    <row r="312" spans="3:9" x14ac:dyDescent="0.25">
      <c r="C312" s="2">
        <f>TrialBalance!C186</f>
        <v>0</v>
      </c>
      <c r="E312" s="119">
        <f>-TrialBalance!L186</f>
        <v>0</v>
      </c>
      <c r="F312" s="388" t="s">
        <v>1635</v>
      </c>
      <c r="G312" s="169"/>
      <c r="H312" s="169"/>
      <c r="I312" s="169"/>
    </row>
    <row r="313" spans="3:9" x14ac:dyDescent="0.25">
      <c r="E313" s="119"/>
      <c r="F313" s="388" t="s">
        <v>1636</v>
      </c>
      <c r="G313" s="169"/>
      <c r="H313" s="169"/>
      <c r="I313" s="169"/>
    </row>
    <row r="314" spans="3:9" x14ac:dyDescent="0.25">
      <c r="E314" s="119"/>
      <c r="F314" s="388" t="s">
        <v>1638</v>
      </c>
      <c r="G314" s="169"/>
      <c r="H314" s="169"/>
      <c r="I314" s="169"/>
    </row>
    <row r="315" spans="3:9" x14ac:dyDescent="0.25">
      <c r="E315" s="119"/>
      <c r="F315" s="388" t="s">
        <v>1637</v>
      </c>
      <c r="G315" s="169"/>
      <c r="H315" s="169"/>
      <c r="I315" s="169"/>
    </row>
    <row r="316" spans="3:9" x14ac:dyDescent="0.25">
      <c r="E316" s="119"/>
    </row>
    <row r="317" spans="3:9" x14ac:dyDescent="0.25">
      <c r="C317" s="2">
        <f>TrialBalance!C187</f>
        <v>0</v>
      </c>
      <c r="E317" s="119">
        <f>-TrialBalance!L187</f>
        <v>0</v>
      </c>
      <c r="F317" s="388" t="s">
        <v>1635</v>
      </c>
      <c r="G317" s="169"/>
      <c r="H317" s="169"/>
      <c r="I317" s="169"/>
    </row>
    <row r="318" spans="3:9" x14ac:dyDescent="0.25">
      <c r="E318" s="119"/>
      <c r="F318" s="388" t="s">
        <v>1636</v>
      </c>
      <c r="G318" s="169"/>
      <c r="H318" s="169"/>
      <c r="I318" s="169"/>
    </row>
    <row r="319" spans="3:9" x14ac:dyDescent="0.25">
      <c r="E319" s="119"/>
      <c r="F319" s="388" t="s">
        <v>1638</v>
      </c>
      <c r="G319" s="169"/>
      <c r="H319" s="169"/>
      <c r="I319" s="169"/>
    </row>
    <row r="320" spans="3:9" x14ac:dyDescent="0.25">
      <c r="E320" s="119"/>
      <c r="F320" s="388" t="s">
        <v>1637</v>
      </c>
      <c r="G320" s="169"/>
      <c r="H320" s="169"/>
      <c r="I320" s="169"/>
    </row>
    <row r="321" spans="3:9" x14ac:dyDescent="0.25">
      <c r="E321" s="119"/>
    </row>
    <row r="322" spans="3:9" x14ac:dyDescent="0.25">
      <c r="C322" s="2">
        <f>TrialBalance!C188</f>
        <v>0</v>
      </c>
      <c r="E322" s="119">
        <f>-TrialBalance!L188</f>
        <v>0</v>
      </c>
      <c r="F322" s="388" t="s">
        <v>1635</v>
      </c>
      <c r="G322" s="169"/>
      <c r="H322" s="169"/>
      <c r="I322" s="169"/>
    </row>
    <row r="323" spans="3:9" x14ac:dyDescent="0.25">
      <c r="E323" s="119"/>
      <c r="F323" s="388" t="s">
        <v>1636</v>
      </c>
      <c r="G323" s="169"/>
      <c r="H323" s="169"/>
      <c r="I323" s="169"/>
    </row>
    <row r="324" spans="3:9" x14ac:dyDescent="0.25">
      <c r="E324" s="119"/>
      <c r="F324" s="388" t="s">
        <v>1638</v>
      </c>
      <c r="G324" s="169"/>
      <c r="H324" s="169"/>
      <c r="I324" s="169"/>
    </row>
    <row r="325" spans="3:9" x14ac:dyDescent="0.25">
      <c r="E325" s="119"/>
      <c r="F325" s="388" t="s">
        <v>1637</v>
      </c>
      <c r="G325" s="169"/>
      <c r="H325" s="169"/>
      <c r="I325" s="169"/>
    </row>
    <row r="326" spans="3:9" x14ac:dyDescent="0.25">
      <c r="E326" s="119"/>
    </row>
    <row r="327" spans="3:9" x14ac:dyDescent="0.25">
      <c r="C327" s="2">
        <f>TrialBalance!C189</f>
        <v>0</v>
      </c>
      <c r="E327" s="119">
        <f>-TrialBalance!L189</f>
        <v>0</v>
      </c>
      <c r="F327" s="388" t="s">
        <v>1635</v>
      </c>
      <c r="G327" s="169"/>
      <c r="H327" s="169"/>
      <c r="I327" s="169"/>
    </row>
    <row r="328" spans="3:9" x14ac:dyDescent="0.25">
      <c r="E328" s="119"/>
      <c r="F328" s="388" t="s">
        <v>1636</v>
      </c>
      <c r="G328" s="169"/>
      <c r="H328" s="169"/>
      <c r="I328" s="169"/>
    </row>
    <row r="329" spans="3:9" x14ac:dyDescent="0.25">
      <c r="E329" s="119"/>
      <c r="F329" s="388" t="s">
        <v>1638</v>
      </c>
      <c r="G329" s="169"/>
      <c r="H329" s="169"/>
      <c r="I329" s="169"/>
    </row>
    <row r="330" spans="3:9" x14ac:dyDescent="0.25">
      <c r="E330" s="119"/>
      <c r="F330" s="388" t="s">
        <v>1637</v>
      </c>
      <c r="G330" s="169"/>
      <c r="H330" s="169"/>
      <c r="I330" s="169"/>
    </row>
    <row r="331" spans="3:9" x14ac:dyDescent="0.25">
      <c r="E331" s="119"/>
    </row>
    <row r="332" spans="3:9" x14ac:dyDescent="0.25">
      <c r="C332" s="2">
        <f>TrialBalance!C190</f>
        <v>0</v>
      </c>
      <c r="E332" s="119">
        <f>-TrialBalance!L190</f>
        <v>0</v>
      </c>
      <c r="F332" s="388" t="s">
        <v>1635</v>
      </c>
      <c r="G332" s="169"/>
      <c r="H332" s="169"/>
      <c r="I332" s="169"/>
    </row>
    <row r="333" spans="3:9" x14ac:dyDescent="0.25">
      <c r="E333" s="119"/>
      <c r="F333" s="388" t="s">
        <v>1636</v>
      </c>
      <c r="G333" s="169"/>
      <c r="H333" s="169"/>
      <c r="I333" s="169"/>
    </row>
    <row r="334" spans="3:9" x14ac:dyDescent="0.25">
      <c r="E334" s="119"/>
      <c r="F334" s="388" t="s">
        <v>1638</v>
      </c>
      <c r="G334" s="169"/>
      <c r="H334" s="169"/>
      <c r="I334" s="169"/>
    </row>
    <row r="335" spans="3:9" x14ac:dyDescent="0.25">
      <c r="E335" s="119"/>
      <c r="F335" s="388" t="s">
        <v>1637</v>
      </c>
      <c r="G335" s="169"/>
      <c r="H335" s="169"/>
      <c r="I335" s="169"/>
    </row>
    <row r="336" spans="3:9" x14ac:dyDescent="0.25">
      <c r="E336" s="119"/>
    </row>
    <row r="337" spans="3:9" x14ac:dyDescent="0.25">
      <c r="C337" s="2">
        <f>TrialBalance!C191</f>
        <v>0</v>
      </c>
      <c r="E337" s="119">
        <f>-TrialBalance!L191</f>
        <v>0</v>
      </c>
      <c r="F337" s="388" t="s">
        <v>1635</v>
      </c>
      <c r="G337" s="169"/>
      <c r="H337" s="169"/>
      <c r="I337" s="169"/>
    </row>
    <row r="338" spans="3:9" x14ac:dyDescent="0.25">
      <c r="E338" s="119"/>
      <c r="F338" s="388" t="s">
        <v>1636</v>
      </c>
      <c r="G338" s="169"/>
      <c r="H338" s="169"/>
      <c r="I338" s="169"/>
    </row>
    <row r="339" spans="3:9" x14ac:dyDescent="0.25">
      <c r="E339" s="119"/>
      <c r="F339" s="388" t="s">
        <v>1638</v>
      </c>
      <c r="G339" s="169"/>
      <c r="H339" s="169"/>
      <c r="I339" s="169"/>
    </row>
    <row r="340" spans="3:9" x14ac:dyDescent="0.25">
      <c r="E340" s="119"/>
      <c r="F340" s="388" t="s">
        <v>1637</v>
      </c>
      <c r="G340" s="169"/>
      <c r="H340" s="169"/>
      <c r="I340" s="169"/>
    </row>
    <row r="341" spans="3:9" x14ac:dyDescent="0.25">
      <c r="E341" s="119"/>
    </row>
    <row r="342" spans="3:9" x14ac:dyDescent="0.25">
      <c r="C342" s="2">
        <f>TrialBalance!C192</f>
        <v>0</v>
      </c>
      <c r="E342" s="119">
        <f>-TrialBalance!L192</f>
        <v>0</v>
      </c>
      <c r="F342" s="388" t="s">
        <v>1635</v>
      </c>
      <c r="G342" s="169"/>
      <c r="H342" s="169"/>
      <c r="I342" s="169"/>
    </row>
    <row r="343" spans="3:9" x14ac:dyDescent="0.25">
      <c r="E343" s="119"/>
      <c r="F343" s="388" t="s">
        <v>1636</v>
      </c>
      <c r="G343" s="169"/>
      <c r="H343" s="169"/>
      <c r="I343" s="169"/>
    </row>
    <row r="344" spans="3:9" x14ac:dyDescent="0.25">
      <c r="E344" s="119"/>
      <c r="F344" s="388" t="s">
        <v>1638</v>
      </c>
      <c r="G344" s="169"/>
      <c r="H344" s="169"/>
      <c r="I344" s="169"/>
    </row>
    <row r="345" spans="3:9" x14ac:dyDescent="0.25">
      <c r="E345" s="119"/>
      <c r="F345" s="388" t="s">
        <v>1637</v>
      </c>
      <c r="G345" s="169"/>
      <c r="H345" s="169"/>
      <c r="I345" s="169"/>
    </row>
    <row r="346" spans="3:9" x14ac:dyDescent="0.25">
      <c r="E346" s="119"/>
    </row>
    <row r="347" spans="3:9" x14ac:dyDescent="0.25">
      <c r="C347" s="2">
        <f>TrialBalance!C193</f>
        <v>0</v>
      </c>
      <c r="E347" s="119">
        <f>-TrialBalance!L193</f>
        <v>0</v>
      </c>
      <c r="F347" s="388" t="s">
        <v>1635</v>
      </c>
      <c r="G347" s="169"/>
      <c r="H347" s="169"/>
      <c r="I347" s="169"/>
    </row>
    <row r="348" spans="3:9" x14ac:dyDescent="0.25">
      <c r="E348" s="119"/>
      <c r="F348" s="388" t="s">
        <v>1636</v>
      </c>
      <c r="G348" s="169"/>
      <c r="H348" s="169"/>
      <c r="I348" s="169"/>
    </row>
    <row r="349" spans="3:9" x14ac:dyDescent="0.25">
      <c r="E349" s="119"/>
      <c r="F349" s="388" t="s">
        <v>1638</v>
      </c>
      <c r="G349" s="169"/>
      <c r="H349" s="169"/>
      <c r="I349" s="169"/>
    </row>
    <row r="350" spans="3:9" x14ac:dyDescent="0.25">
      <c r="E350" s="119"/>
      <c r="F350" s="388" t="s">
        <v>1637</v>
      </c>
      <c r="G350" s="169"/>
      <c r="H350" s="169"/>
      <c r="I350" s="169"/>
    </row>
    <row r="351" spans="3:9" x14ac:dyDescent="0.25">
      <c r="E351" s="119"/>
    </row>
    <row r="352" spans="3:9" x14ac:dyDescent="0.25">
      <c r="C352" s="2">
        <f>TrialBalance!C194</f>
        <v>0</v>
      </c>
      <c r="E352" s="119">
        <f>-TrialBalance!L194</f>
        <v>0</v>
      </c>
      <c r="F352" s="388" t="s">
        <v>1635</v>
      </c>
      <c r="G352" s="169"/>
      <c r="H352" s="169"/>
      <c r="I352" s="169"/>
    </row>
    <row r="353" spans="3:9" x14ac:dyDescent="0.25">
      <c r="E353" s="119"/>
      <c r="F353" s="388" t="s">
        <v>1636</v>
      </c>
      <c r="G353" s="169"/>
      <c r="H353" s="169"/>
      <c r="I353" s="169"/>
    </row>
    <row r="354" spans="3:9" x14ac:dyDescent="0.25">
      <c r="E354" s="119"/>
      <c r="F354" s="388" t="s">
        <v>1638</v>
      </c>
      <c r="G354" s="169"/>
      <c r="H354" s="169"/>
      <c r="I354" s="169"/>
    </row>
    <row r="355" spans="3:9" x14ac:dyDescent="0.25">
      <c r="E355" s="119"/>
      <c r="F355" s="388" t="s">
        <v>1637</v>
      </c>
      <c r="G355" s="169"/>
      <c r="H355" s="169"/>
      <c r="I355" s="169"/>
    </row>
    <row r="356" spans="3:9" x14ac:dyDescent="0.25">
      <c r="E356" s="119"/>
    </row>
    <row r="357" spans="3:9" x14ac:dyDescent="0.25">
      <c r="C357" s="2">
        <f>TrialBalance!C195</f>
        <v>0</v>
      </c>
      <c r="E357" s="119">
        <f>-TrialBalance!L195</f>
        <v>0</v>
      </c>
      <c r="F357" s="388" t="s">
        <v>1635</v>
      </c>
      <c r="G357" s="169"/>
      <c r="H357" s="169"/>
      <c r="I357" s="169"/>
    </row>
    <row r="358" spans="3:9" x14ac:dyDescent="0.25">
      <c r="C358"/>
      <c r="D358"/>
      <c r="E358" s="275"/>
      <c r="F358" s="388" t="s">
        <v>1636</v>
      </c>
      <c r="G358" s="169"/>
      <c r="H358" s="169"/>
      <c r="I358" s="169"/>
    </row>
    <row r="359" spans="3:9" x14ac:dyDescent="0.25">
      <c r="C359"/>
      <c r="D359"/>
      <c r="E359" s="275"/>
      <c r="F359" s="388" t="s">
        <v>1638</v>
      </c>
      <c r="G359" s="169"/>
      <c r="H359" s="169"/>
      <c r="I359" s="169"/>
    </row>
    <row r="360" spans="3:9" x14ac:dyDescent="0.25">
      <c r="E360" s="119"/>
      <c r="F360" s="388" t="s">
        <v>1637</v>
      </c>
      <c r="G360" s="169"/>
      <c r="H360" s="169"/>
      <c r="I360" s="169"/>
    </row>
    <row r="361" spans="3:9" x14ac:dyDescent="0.25">
      <c r="E361" s="119"/>
    </row>
    <row r="362" spans="3:9" x14ac:dyDescent="0.25">
      <c r="C362" s="2">
        <f>TrialBalance!C196</f>
        <v>0</v>
      </c>
      <c r="E362" s="119">
        <f>-TrialBalance!L196</f>
        <v>0</v>
      </c>
      <c r="F362" s="388" t="s">
        <v>1635</v>
      </c>
      <c r="G362" s="169"/>
      <c r="H362" s="169"/>
      <c r="I362" s="169"/>
    </row>
    <row r="363" spans="3:9" x14ac:dyDescent="0.25">
      <c r="C363"/>
      <c r="D363"/>
      <c r="E363" s="275"/>
      <c r="F363" s="388" t="s">
        <v>1636</v>
      </c>
      <c r="G363" s="169"/>
      <c r="H363" s="169"/>
      <c r="I363" s="169"/>
    </row>
    <row r="364" spans="3:9" x14ac:dyDescent="0.25">
      <c r="E364" s="119"/>
      <c r="F364" s="388" t="s">
        <v>1638</v>
      </c>
      <c r="G364" s="169"/>
      <c r="H364" s="169"/>
      <c r="I364" s="169"/>
    </row>
    <row r="365" spans="3:9" x14ac:dyDescent="0.25">
      <c r="E365" s="119"/>
      <c r="F365" s="388" t="s">
        <v>1637</v>
      </c>
      <c r="G365" s="169"/>
      <c r="H365" s="169"/>
      <c r="I365" s="169"/>
    </row>
    <row r="366" spans="3:9" x14ac:dyDescent="0.25">
      <c r="E366" s="119"/>
    </row>
    <row r="367" spans="3:9" x14ac:dyDescent="0.25">
      <c r="C367" s="2">
        <f>TrialBalance!C197</f>
        <v>0</v>
      </c>
      <c r="E367" s="119">
        <f>-TrialBalance!L197</f>
        <v>0</v>
      </c>
      <c r="F367" s="388" t="s">
        <v>1635</v>
      </c>
      <c r="G367" s="169"/>
      <c r="H367" s="169"/>
      <c r="I367" s="169"/>
    </row>
    <row r="368" spans="3:9" x14ac:dyDescent="0.25">
      <c r="E368" s="119"/>
      <c r="F368" s="388" t="s">
        <v>1636</v>
      </c>
      <c r="G368" s="169"/>
      <c r="H368" s="169"/>
      <c r="I368" s="169"/>
    </row>
    <row r="369" spans="3:9" x14ac:dyDescent="0.25">
      <c r="E369" s="119"/>
      <c r="F369" s="388" t="s">
        <v>1638</v>
      </c>
      <c r="G369" s="169"/>
      <c r="H369" s="169"/>
      <c r="I369" s="169"/>
    </row>
    <row r="370" spans="3:9" x14ac:dyDescent="0.25">
      <c r="E370" s="119"/>
      <c r="F370" s="388" t="s">
        <v>1637</v>
      </c>
      <c r="G370" s="169"/>
      <c r="H370" s="169"/>
      <c r="I370" s="169"/>
    </row>
    <row r="371" spans="3:9" x14ac:dyDescent="0.25">
      <c r="E371" s="119"/>
    </row>
    <row r="372" spans="3:9" x14ac:dyDescent="0.25">
      <c r="C372" s="2">
        <f>TrialBalance!C198</f>
        <v>0</v>
      </c>
      <c r="E372" s="119">
        <f>-TrialBalance!L198</f>
        <v>0</v>
      </c>
      <c r="F372" s="388" t="s">
        <v>1635</v>
      </c>
      <c r="G372" s="169"/>
      <c r="H372" s="169"/>
      <c r="I372" s="169"/>
    </row>
    <row r="373" spans="3:9" x14ac:dyDescent="0.25">
      <c r="E373" s="119"/>
      <c r="F373" s="388" t="s">
        <v>1636</v>
      </c>
      <c r="G373" s="169"/>
      <c r="H373" s="169"/>
      <c r="I373" s="169"/>
    </row>
    <row r="374" spans="3:9" x14ac:dyDescent="0.25">
      <c r="E374" s="119"/>
      <c r="F374" s="388" t="s">
        <v>1638</v>
      </c>
      <c r="G374" s="169"/>
      <c r="H374" s="169"/>
      <c r="I374" s="169"/>
    </row>
    <row r="375" spans="3:9" x14ac:dyDescent="0.25">
      <c r="E375" s="119"/>
      <c r="F375" s="388" t="s">
        <v>1637</v>
      </c>
      <c r="G375" s="169"/>
      <c r="H375" s="169"/>
      <c r="I375" s="169"/>
    </row>
    <row r="376" spans="3:9" x14ac:dyDescent="0.25">
      <c r="E376" s="119"/>
    </row>
    <row r="377" spans="3:9" x14ac:dyDescent="0.25">
      <c r="C377" s="2">
        <f>TrialBalance!C199</f>
        <v>0</v>
      </c>
      <c r="E377" s="119">
        <f>-TrialBalance!L199</f>
        <v>0</v>
      </c>
      <c r="F377" s="388" t="s">
        <v>1635</v>
      </c>
      <c r="G377" s="169"/>
      <c r="H377" s="169"/>
      <c r="I377" s="169"/>
    </row>
    <row r="378" spans="3:9" x14ac:dyDescent="0.25">
      <c r="E378" s="119"/>
      <c r="F378" s="388" t="s">
        <v>1636</v>
      </c>
      <c r="G378" s="169"/>
      <c r="H378" s="169"/>
      <c r="I378" s="169"/>
    </row>
    <row r="379" spans="3:9" x14ac:dyDescent="0.25">
      <c r="E379" s="119"/>
      <c r="F379" s="388" t="s">
        <v>1638</v>
      </c>
      <c r="G379" s="169"/>
      <c r="H379" s="169"/>
      <c r="I379" s="169"/>
    </row>
    <row r="380" spans="3:9" x14ac:dyDescent="0.25">
      <c r="E380" s="119"/>
      <c r="F380" s="388" t="s">
        <v>1637</v>
      </c>
      <c r="G380" s="169"/>
      <c r="H380" s="169"/>
      <c r="I380" s="169"/>
    </row>
    <row r="382" spans="3:9" x14ac:dyDescent="0.25">
      <c r="C382" s="20" t="s">
        <v>1613</v>
      </c>
    </row>
    <row r="383" spans="3:9" x14ac:dyDescent="0.25">
      <c r="C383" s="20"/>
      <c r="F383" s="28">
        <f>E22</f>
        <v>2024</v>
      </c>
      <c r="G383" s="28">
        <f>E27</f>
        <v>2023</v>
      </c>
    </row>
    <row r="385" spans="3:7" x14ac:dyDescent="0.25">
      <c r="C385" s="2" t="s">
        <v>1614</v>
      </c>
      <c r="E385" s="2" t="s">
        <v>1610</v>
      </c>
      <c r="F385" s="387"/>
      <c r="G385" s="387"/>
    </row>
    <row r="386" spans="3:7" x14ac:dyDescent="0.25">
      <c r="E386" s="2" t="s">
        <v>1615</v>
      </c>
      <c r="F386" s="387"/>
      <c r="G386" s="387"/>
    </row>
    <row r="387" spans="3:7" x14ac:dyDescent="0.25">
      <c r="E387" s="2" t="s">
        <v>1612</v>
      </c>
      <c r="F387" s="387"/>
      <c r="G387" s="387"/>
    </row>
    <row r="389" spans="3:7" x14ac:dyDescent="0.25">
      <c r="C389" s="20" t="s">
        <v>1616</v>
      </c>
    </row>
    <row r="390" spans="3:7" x14ac:dyDescent="0.25">
      <c r="C390" s="2" t="s">
        <v>1668</v>
      </c>
    </row>
    <row r="392" spans="3:7" x14ac:dyDescent="0.25">
      <c r="C392" s="2" t="s">
        <v>1614</v>
      </c>
      <c r="E392" s="2" t="s">
        <v>1610</v>
      </c>
      <c r="F392" s="387"/>
      <c r="G392" s="387"/>
    </row>
    <row r="393" spans="3:7" x14ac:dyDescent="0.25">
      <c r="E393" s="2" t="s">
        <v>1615</v>
      </c>
      <c r="F393" s="387"/>
      <c r="G393" s="387"/>
    </row>
    <row r="394" spans="3:7" x14ac:dyDescent="0.25">
      <c r="E394" s="2" t="s">
        <v>1612</v>
      </c>
      <c r="F394" s="387"/>
      <c r="G394" s="387"/>
    </row>
    <row r="396" spans="3:7" ht="19.5" x14ac:dyDescent="0.35">
      <c r="C396" s="165" t="s">
        <v>1062</v>
      </c>
    </row>
    <row r="398" spans="3:7" x14ac:dyDescent="0.25">
      <c r="C398" s="20"/>
      <c r="F398" s="28" t="s">
        <v>47</v>
      </c>
      <c r="G398" s="28"/>
    </row>
    <row r="399" spans="3:7" x14ac:dyDescent="0.25">
      <c r="F399" s="28">
        <f>E27</f>
        <v>2023</v>
      </c>
      <c r="G399" s="28"/>
    </row>
    <row r="401" spans="3:13" x14ac:dyDescent="0.25">
      <c r="C401" s="2" t="s">
        <v>965</v>
      </c>
      <c r="F401" s="389"/>
    </row>
    <row r="402" spans="3:13" x14ac:dyDescent="0.25">
      <c r="C402" s="2" t="s">
        <v>966</v>
      </c>
      <c r="F402" s="389"/>
    </row>
    <row r="403" spans="3:13" x14ac:dyDescent="0.25">
      <c r="C403" s="2" t="s">
        <v>967</v>
      </c>
      <c r="F403" s="389"/>
    </row>
    <row r="406" spans="3:13" x14ac:dyDescent="0.25">
      <c r="C406" s="3" t="s">
        <v>266</v>
      </c>
      <c r="F406" s="312">
        <f>F425-F426</f>
        <v>0</v>
      </c>
      <c r="H406" s="17"/>
      <c r="K406" s="6"/>
      <c r="L406" s="6"/>
      <c r="M406" s="8">
        <f>SUM(T409:T431)</f>
        <v>0</v>
      </c>
    </row>
    <row r="407" spans="3:13" ht="4.5" customHeight="1" x14ac:dyDescent="0.25">
      <c r="C407" s="3"/>
      <c r="F407" s="313"/>
      <c r="H407" s="11"/>
      <c r="K407" s="6"/>
      <c r="L407" s="6"/>
      <c r="M407" s="8"/>
    </row>
    <row r="408" spans="3:13" ht="4.5" customHeight="1" x14ac:dyDescent="0.25">
      <c r="C408" s="3"/>
      <c r="F408" s="314"/>
      <c r="H408" s="113"/>
      <c r="I408"/>
      <c r="J408"/>
      <c r="K408" s="6"/>
      <c r="L408" s="6"/>
      <c r="M408" s="8"/>
    </row>
    <row r="409" spans="3:13" x14ac:dyDescent="0.25">
      <c r="C409" s="2" t="s">
        <v>909</v>
      </c>
      <c r="F409" s="315">
        <f>H409</f>
        <v>0</v>
      </c>
      <c r="H409" s="390"/>
    </row>
    <row r="410" spans="3:13" x14ac:dyDescent="0.25">
      <c r="C410" s="2" t="s">
        <v>267</v>
      </c>
      <c r="F410" s="315">
        <f>H410</f>
        <v>0</v>
      </c>
      <c r="H410" s="390"/>
    </row>
    <row r="411" spans="3:13" ht="3.6" customHeight="1" x14ac:dyDescent="0.25">
      <c r="F411" s="316"/>
      <c r="H411" s="390"/>
    </row>
    <row r="412" spans="3:13" ht="3.6" customHeight="1" x14ac:dyDescent="0.25">
      <c r="F412" s="315"/>
      <c r="H412" s="390"/>
    </row>
    <row r="413" spans="3:13" x14ac:dyDescent="0.25">
      <c r="C413" s="2" t="s">
        <v>268</v>
      </c>
      <c r="F413" s="315">
        <f>F409-F410</f>
        <v>0</v>
      </c>
      <c r="H413" s="390"/>
    </row>
    <row r="414" spans="3:13" x14ac:dyDescent="0.25">
      <c r="C414" s="2" t="s">
        <v>269</v>
      </c>
      <c r="F414" s="315">
        <f>SUM(F417:F422)</f>
        <v>0</v>
      </c>
      <c r="H414" s="390"/>
    </row>
    <row r="415" spans="3:13" ht="3.6" customHeight="1" x14ac:dyDescent="0.25">
      <c r="F415" s="315"/>
      <c r="H415" s="390"/>
    </row>
    <row r="416" spans="3:13" ht="3.6" customHeight="1" x14ac:dyDescent="0.25">
      <c r="F416" s="317"/>
      <c r="H416" s="390"/>
    </row>
    <row r="417" spans="3:10" x14ac:dyDescent="0.25">
      <c r="C417" s="2" t="s">
        <v>270</v>
      </c>
      <c r="F417" s="315">
        <f>H417</f>
        <v>0</v>
      </c>
      <c r="H417" s="390"/>
    </row>
    <row r="418" spans="3:10" x14ac:dyDescent="0.25">
      <c r="C418" s="2" t="s">
        <v>271</v>
      </c>
      <c r="F418" s="315">
        <f>H418</f>
        <v>0</v>
      </c>
      <c r="H418" s="390"/>
    </row>
    <row r="419" spans="3:10" x14ac:dyDescent="0.25">
      <c r="C419" s="2" t="s">
        <v>642</v>
      </c>
      <c r="F419" s="315">
        <f>H419</f>
        <v>0</v>
      </c>
      <c r="H419" s="390"/>
    </row>
    <row r="420" spans="3:10" x14ac:dyDescent="0.25">
      <c r="C420" s="2" t="s">
        <v>643</v>
      </c>
      <c r="F420" s="315">
        <f>H420</f>
        <v>0</v>
      </c>
      <c r="H420" s="390"/>
    </row>
    <row r="421" spans="3:10" x14ac:dyDescent="0.25">
      <c r="C421" s="2" t="s">
        <v>644</v>
      </c>
      <c r="F421" s="315">
        <f>H421</f>
        <v>0</v>
      </c>
      <c r="H421" s="390"/>
    </row>
    <row r="422" spans="3:10" ht="3.6" customHeight="1" x14ac:dyDescent="0.25">
      <c r="F422" s="316"/>
      <c r="H422" s="390"/>
    </row>
    <row r="423" spans="3:10" ht="3.6" customHeight="1" x14ac:dyDescent="0.25">
      <c r="F423" s="318"/>
      <c r="H423" s="390"/>
    </row>
    <row r="424" spans="3:10" ht="3.6" customHeight="1" x14ac:dyDescent="0.25">
      <c r="F424" s="315"/>
      <c r="H424" s="390"/>
      <c r="I424"/>
      <c r="J424"/>
    </row>
    <row r="425" spans="3:10" x14ac:dyDescent="0.25">
      <c r="F425" s="315">
        <f>SUM(F413:F414)</f>
        <v>0</v>
      </c>
      <c r="H425" s="390"/>
    </row>
    <row r="426" spans="3:10" x14ac:dyDescent="0.25">
      <c r="C426" s="2" t="s">
        <v>272</v>
      </c>
      <c r="F426" s="315">
        <f>SUM(F429:F431)</f>
        <v>0</v>
      </c>
      <c r="H426" s="390"/>
    </row>
    <row r="427" spans="3:10" ht="3.6" customHeight="1" x14ac:dyDescent="0.25">
      <c r="F427" s="315"/>
      <c r="H427" s="390"/>
    </row>
    <row r="428" spans="3:10" ht="3.6" customHeight="1" x14ac:dyDescent="0.25">
      <c r="F428" s="317"/>
      <c r="H428" s="390"/>
    </row>
    <row r="429" spans="3:10" x14ac:dyDescent="0.25">
      <c r="C429" s="2" t="s">
        <v>892</v>
      </c>
      <c r="F429" s="315">
        <f>H429</f>
        <v>0</v>
      </c>
      <c r="H429" s="390"/>
    </row>
    <row r="430" spans="3:10" x14ac:dyDescent="0.25">
      <c r="C430" s="2" t="s">
        <v>645</v>
      </c>
      <c r="F430" s="315">
        <f>H430</f>
        <v>0</v>
      </c>
      <c r="H430" s="390"/>
    </row>
    <row r="431" spans="3:10" x14ac:dyDescent="0.25">
      <c r="C431" s="2" t="s">
        <v>273</v>
      </c>
      <c r="F431" s="315">
        <f>H431</f>
        <v>0</v>
      </c>
      <c r="H431" s="390"/>
    </row>
    <row r="432" spans="3:10" ht="3.6" customHeight="1" x14ac:dyDescent="0.25">
      <c r="F432" s="316"/>
      <c r="H432" s="390"/>
    </row>
    <row r="433" spans="3:11" ht="3.6" customHeight="1" x14ac:dyDescent="0.25">
      <c r="F433" s="316"/>
      <c r="H433" s="390"/>
    </row>
    <row r="434" spans="3:11" ht="3.6" customHeight="1" x14ac:dyDescent="0.25">
      <c r="F434" s="319"/>
      <c r="H434" s="390"/>
      <c r="I434"/>
      <c r="J434"/>
    </row>
    <row r="435" spans="3:11" x14ac:dyDescent="0.25">
      <c r="F435" s="319"/>
      <c r="H435" s="390"/>
    </row>
    <row r="436" spans="3:11" x14ac:dyDescent="0.25">
      <c r="C436" s="3" t="s">
        <v>274</v>
      </c>
      <c r="F436" s="320">
        <f>SUM(F439:F443)</f>
        <v>0</v>
      </c>
      <c r="H436" s="390"/>
    </row>
    <row r="437" spans="3:11" ht="6.75" customHeight="1" x14ac:dyDescent="0.25">
      <c r="F437" s="319"/>
      <c r="H437" s="390"/>
      <c r="I437"/>
      <c r="J437"/>
    </row>
    <row r="438" spans="3:11" ht="6.75" customHeight="1" x14ac:dyDescent="0.25">
      <c r="F438" s="317"/>
      <c r="H438" s="390"/>
      <c r="I438"/>
      <c r="J438"/>
    </row>
    <row r="439" spans="3:11" x14ac:dyDescent="0.25">
      <c r="C439" s="2" t="s">
        <v>968</v>
      </c>
      <c r="F439" s="315">
        <f t="shared" ref="F439:F443" si="2">H439</f>
        <v>0</v>
      </c>
      <c r="G439" s="17"/>
      <c r="H439" s="390"/>
    </row>
    <row r="440" spans="3:11" x14ac:dyDescent="0.25">
      <c r="C440" s="2" t="s">
        <v>1532</v>
      </c>
      <c r="F440" s="315">
        <f t="shared" si="2"/>
        <v>0</v>
      </c>
      <c r="G440" s="17"/>
      <c r="H440" s="390"/>
    </row>
    <row r="441" spans="3:11" x14ac:dyDescent="0.25">
      <c r="C441" s="2" t="s">
        <v>969</v>
      </c>
      <c r="F441" s="315">
        <f t="shared" si="2"/>
        <v>0</v>
      </c>
      <c r="H441" s="390"/>
    </row>
    <row r="442" spans="3:11" x14ac:dyDescent="0.25">
      <c r="C442" s="2" t="s">
        <v>970</v>
      </c>
      <c r="F442" s="315">
        <f t="shared" si="2"/>
        <v>0</v>
      </c>
      <c r="H442" s="390"/>
      <c r="K442" s="119"/>
    </row>
    <row r="443" spans="3:11" ht="15.75" customHeight="1" x14ac:dyDescent="0.25">
      <c r="C443" s="2" t="s">
        <v>971</v>
      </c>
      <c r="F443" s="315">
        <f t="shared" si="2"/>
        <v>0</v>
      </c>
      <c r="H443" s="390"/>
    </row>
    <row r="444" spans="3:11" ht="3.75" customHeight="1" x14ac:dyDescent="0.25">
      <c r="F444" s="316"/>
      <c r="H444" s="390"/>
    </row>
    <row r="445" spans="3:11" ht="3.75" customHeight="1" x14ac:dyDescent="0.25">
      <c r="F445" s="319"/>
      <c r="H445" s="390"/>
      <c r="I445"/>
      <c r="J445"/>
    </row>
    <row r="446" spans="3:11" x14ac:dyDescent="0.25">
      <c r="F446" s="319"/>
      <c r="H446" s="390"/>
    </row>
    <row r="447" spans="3:11" x14ac:dyDescent="0.25">
      <c r="C447" s="3" t="s">
        <v>144</v>
      </c>
      <c r="F447" s="320">
        <f>SUM(F449:F455)</f>
        <v>0</v>
      </c>
      <c r="H447" s="390"/>
    </row>
    <row r="448" spans="3:11" ht="3.75" customHeight="1" x14ac:dyDescent="0.25">
      <c r="F448" s="319"/>
      <c r="H448" s="390"/>
    </row>
    <row r="449" spans="3:10" ht="4.5" customHeight="1" x14ac:dyDescent="0.25">
      <c r="F449" s="317"/>
      <c r="H449" s="390"/>
    </row>
    <row r="450" spans="3:10" x14ac:dyDescent="0.25">
      <c r="C450" s="2" t="s">
        <v>646</v>
      </c>
      <c r="F450" s="315">
        <f>H450</f>
        <v>0</v>
      </c>
      <c r="H450" s="390"/>
    </row>
    <row r="451" spans="3:10" x14ac:dyDescent="0.25">
      <c r="C451" s="2" t="s">
        <v>1230</v>
      </c>
      <c r="F451" s="315">
        <f t="shared" ref="F451" si="3">H451</f>
        <v>0</v>
      </c>
      <c r="H451" s="390"/>
    </row>
    <row r="452" spans="3:10" x14ac:dyDescent="0.25">
      <c r="C452" s="2" t="s">
        <v>972</v>
      </c>
      <c r="F452" s="315">
        <f>H452</f>
        <v>0</v>
      </c>
      <c r="H452" s="390"/>
    </row>
    <row r="453" spans="3:10" x14ac:dyDescent="0.25">
      <c r="C453" s="2" t="s">
        <v>973</v>
      </c>
      <c r="F453" s="315">
        <f>H453</f>
        <v>0</v>
      </c>
      <c r="H453" s="390"/>
    </row>
    <row r="454" spans="3:10" x14ac:dyDescent="0.25">
      <c r="C454" s="2" t="s">
        <v>1667</v>
      </c>
      <c r="F454" s="315">
        <f>H454</f>
        <v>0</v>
      </c>
      <c r="H454" s="390"/>
    </row>
    <row r="455" spans="3:10" ht="4.5" customHeight="1" x14ac:dyDescent="0.25">
      <c r="F455" s="316"/>
      <c r="H455" s="390"/>
    </row>
    <row r="456" spans="3:10" ht="4.5" customHeight="1" x14ac:dyDescent="0.25">
      <c r="F456" s="321"/>
      <c r="H456" s="390"/>
      <c r="I456"/>
      <c r="J456"/>
    </row>
    <row r="457" spans="3:10" ht="4.5" customHeight="1" x14ac:dyDescent="0.25">
      <c r="F457" s="319"/>
      <c r="H457" s="390"/>
      <c r="I457"/>
      <c r="J457"/>
    </row>
    <row r="458" spans="3:10" x14ac:dyDescent="0.25">
      <c r="C458" s="3" t="s">
        <v>145</v>
      </c>
      <c r="F458" s="319"/>
      <c r="H458" s="390"/>
    </row>
    <row r="459" spans="3:10" x14ac:dyDescent="0.25">
      <c r="C459" s="3" t="s">
        <v>146</v>
      </c>
      <c r="F459" s="320">
        <f>F406+F436+F447</f>
        <v>0</v>
      </c>
      <c r="H459" s="390"/>
      <c r="I459"/>
      <c r="J459"/>
    </row>
    <row r="460" spans="3:10" x14ac:dyDescent="0.25">
      <c r="C460" s="3"/>
      <c r="F460" s="319"/>
      <c r="H460" s="390"/>
      <c r="I460"/>
      <c r="J460"/>
    </row>
    <row r="461" spans="3:10" x14ac:dyDescent="0.25">
      <c r="C461" s="3" t="s">
        <v>205</v>
      </c>
      <c r="F461" s="119"/>
      <c r="H461" s="390"/>
    </row>
    <row r="462" spans="3:10" x14ac:dyDescent="0.25">
      <c r="C462" s="2" t="s">
        <v>206</v>
      </c>
      <c r="F462" s="319">
        <f>H462</f>
        <v>0</v>
      </c>
      <c r="H462" s="390"/>
    </row>
    <row r="463" spans="3:10" x14ac:dyDescent="0.25">
      <c r="F463" s="319"/>
      <c r="H463" s="145"/>
    </row>
    <row r="464" spans="3:10" ht="3.75" customHeight="1" x14ac:dyDescent="0.25">
      <c r="F464" s="322"/>
      <c r="H464" s="145"/>
      <c r="I464"/>
      <c r="J464"/>
    </row>
    <row r="465" spans="1:22" ht="4.5" customHeight="1" x14ac:dyDescent="0.25">
      <c r="F465" s="319"/>
      <c r="I465"/>
      <c r="J465"/>
    </row>
    <row r="466" spans="1:22" ht="16.5" thickBot="1" x14ac:dyDescent="0.3">
      <c r="C466" s="2" t="s">
        <v>207</v>
      </c>
      <c r="F466" s="323">
        <f>SUM(F458:F463)</f>
        <v>0</v>
      </c>
      <c r="I466"/>
      <c r="J466"/>
    </row>
    <row r="467" spans="1:22" ht="16.5" thickTop="1" x14ac:dyDescent="0.25">
      <c r="F467" s="319"/>
      <c r="I467"/>
      <c r="J467"/>
    </row>
    <row r="468" spans="1:22" ht="19.5" x14ac:dyDescent="0.35">
      <c r="C468" s="165" t="s">
        <v>761</v>
      </c>
      <c r="F468" s="145"/>
      <c r="I468"/>
      <c r="J468"/>
    </row>
    <row r="469" spans="1:22" ht="19.5" x14ac:dyDescent="0.35">
      <c r="C469" s="165"/>
      <c r="F469" s="28">
        <f>E22</f>
        <v>2024</v>
      </c>
      <c r="G469" s="28">
        <f>E27</f>
        <v>2023</v>
      </c>
      <c r="I469"/>
      <c r="J469"/>
    </row>
    <row r="470" spans="1:22" ht="19.5" x14ac:dyDescent="0.35">
      <c r="C470" s="165"/>
      <c r="F470" s="145"/>
      <c r="I470"/>
      <c r="J470"/>
    </row>
    <row r="471" spans="1:22" x14ac:dyDescent="0.25">
      <c r="C471" s="2" t="s">
        <v>1584</v>
      </c>
      <c r="F471" s="614">
        <v>0.27</v>
      </c>
      <c r="G471" s="614">
        <v>0.28000000000000003</v>
      </c>
      <c r="I471"/>
      <c r="J471"/>
    </row>
    <row r="472" spans="1:22" ht="19.5" x14ac:dyDescent="0.35">
      <c r="C472" s="165"/>
      <c r="F472" s="145"/>
      <c r="I472"/>
      <c r="J472"/>
    </row>
    <row r="473" spans="1:22" x14ac:dyDescent="0.25">
      <c r="C473" s="2" t="s">
        <v>977</v>
      </c>
      <c r="F473" s="366" t="s">
        <v>108</v>
      </c>
      <c r="I473"/>
      <c r="J473"/>
    </row>
    <row r="474" spans="1:22" ht="18.75" x14ac:dyDescent="0.3">
      <c r="A474" s="273"/>
      <c r="B474" s="1"/>
      <c r="C474" s="274"/>
      <c r="G474" s="3" t="s">
        <v>857</v>
      </c>
      <c r="I474" s="366" t="s">
        <v>107</v>
      </c>
      <c r="N474" s="366" t="s">
        <v>108</v>
      </c>
      <c r="Q474" s="1"/>
      <c r="S474" s="366" t="s">
        <v>108</v>
      </c>
      <c r="V474" s="1"/>
    </row>
    <row r="475" spans="1:22" x14ac:dyDescent="0.25">
      <c r="A475" s="9"/>
      <c r="B475" s="2"/>
      <c r="C475" s="20"/>
      <c r="Q475" s="2"/>
      <c r="V475" s="2"/>
    </row>
    <row r="476" spans="1:22" x14ac:dyDescent="0.25">
      <c r="A476" s="9"/>
      <c r="B476" s="2"/>
      <c r="C476" s="20"/>
      <c r="F476" s="145"/>
      <c r="H476" s="391" t="s">
        <v>1583</v>
      </c>
      <c r="I476" s="1"/>
      <c r="J476" s="1"/>
      <c r="M476" s="391" t="s">
        <v>1582</v>
      </c>
      <c r="N476" s="1"/>
      <c r="O476" s="1"/>
      <c r="P476" s="2"/>
      <c r="Q476" s="2"/>
      <c r="R476" s="391" t="s">
        <v>858</v>
      </c>
      <c r="S476" s="1"/>
      <c r="T476" s="1"/>
      <c r="U476" s="2"/>
      <c r="V476" s="2"/>
    </row>
    <row r="477" spans="1:22" x14ac:dyDescent="0.25">
      <c r="A477" s="9"/>
      <c r="B477" s="2"/>
      <c r="C477" s="20"/>
      <c r="F477" s="145"/>
      <c r="H477" s="144" t="s">
        <v>853</v>
      </c>
      <c r="I477" s="144" t="s">
        <v>854</v>
      </c>
      <c r="J477" s="144"/>
      <c r="K477" s="144" t="s">
        <v>855</v>
      </c>
      <c r="M477" s="144" t="s">
        <v>853</v>
      </c>
      <c r="N477" s="144" t="s">
        <v>854</v>
      </c>
      <c r="O477" s="144"/>
      <c r="P477" s="144" t="s">
        <v>855</v>
      </c>
      <c r="Q477" s="2"/>
      <c r="R477" s="144" t="s">
        <v>853</v>
      </c>
      <c r="S477" s="144" t="s">
        <v>854</v>
      </c>
      <c r="T477" s="144"/>
      <c r="U477" s="144" t="s">
        <v>855</v>
      </c>
      <c r="V477" s="2"/>
    </row>
    <row r="478" spans="1:22" x14ac:dyDescent="0.25">
      <c r="A478" s="9"/>
      <c r="B478" s="2"/>
      <c r="C478" s="20"/>
      <c r="F478" s="145" t="s">
        <v>856</v>
      </c>
      <c r="H478" s="392">
        <v>0</v>
      </c>
      <c r="I478" s="392">
        <v>95750</v>
      </c>
      <c r="J478" s="392"/>
      <c r="K478" s="393">
        <v>0</v>
      </c>
      <c r="M478" s="392">
        <v>0</v>
      </c>
      <c r="N478" s="392">
        <v>91250</v>
      </c>
      <c r="O478" s="392"/>
      <c r="P478" s="393">
        <v>0</v>
      </c>
      <c r="Q478" s="2"/>
      <c r="R478" s="392"/>
      <c r="S478" s="392"/>
      <c r="T478" s="392"/>
      <c r="U478" s="393"/>
      <c r="V478" s="2"/>
    </row>
    <row r="479" spans="1:22" x14ac:dyDescent="0.25">
      <c r="A479" s="9"/>
      <c r="B479" s="2"/>
      <c r="C479" s="20"/>
      <c r="F479" s="145"/>
      <c r="H479" s="392">
        <v>95750</v>
      </c>
      <c r="I479" s="392">
        <v>365000</v>
      </c>
      <c r="J479" s="392"/>
      <c r="K479" s="393">
        <v>7.0000000000000007E-2</v>
      </c>
      <c r="M479" s="392">
        <v>91250</v>
      </c>
      <c r="N479" s="392">
        <v>365000</v>
      </c>
      <c r="O479" s="392"/>
      <c r="P479" s="393">
        <v>7.0000000000000007E-2</v>
      </c>
      <c r="Q479" s="2"/>
      <c r="R479" s="392"/>
      <c r="S479" s="392"/>
      <c r="T479" s="392"/>
      <c r="U479" s="393"/>
      <c r="V479" s="119"/>
    </row>
    <row r="480" spans="1:22" x14ac:dyDescent="0.25">
      <c r="A480" s="9"/>
      <c r="B480" s="2"/>
      <c r="C480" s="20"/>
      <c r="F480" s="145"/>
      <c r="H480" s="392">
        <v>365000</v>
      </c>
      <c r="I480" s="392">
        <v>550000</v>
      </c>
      <c r="J480" s="392">
        <v>18848</v>
      </c>
      <c r="K480" s="393">
        <v>0.21</v>
      </c>
      <c r="M480" s="392">
        <v>365000</v>
      </c>
      <c r="N480" s="392">
        <v>550000</v>
      </c>
      <c r="O480" s="392">
        <v>19163</v>
      </c>
      <c r="P480" s="393">
        <v>0.21</v>
      </c>
      <c r="Q480" s="2"/>
      <c r="R480" s="392"/>
      <c r="S480" s="392"/>
      <c r="T480" s="392"/>
      <c r="U480" s="393"/>
      <c r="V480" s="17"/>
    </row>
    <row r="481" spans="1:22" x14ac:dyDescent="0.25">
      <c r="A481" s="9"/>
      <c r="B481" s="2"/>
      <c r="C481" s="20"/>
      <c r="F481" s="145"/>
      <c r="H481" s="392">
        <v>550000</v>
      </c>
      <c r="I481" s="392"/>
      <c r="J481" s="392">
        <v>57698</v>
      </c>
      <c r="K481" s="393">
        <v>0.27</v>
      </c>
      <c r="M481" s="392">
        <v>550000</v>
      </c>
      <c r="N481" s="392"/>
      <c r="O481" s="392">
        <v>58013</v>
      </c>
      <c r="P481" s="393">
        <v>0.28000000000000003</v>
      </c>
      <c r="Q481" s="2"/>
      <c r="R481" s="392"/>
      <c r="S481" s="392"/>
      <c r="T481" s="392"/>
      <c r="U481" s="393"/>
      <c r="V481" s="119"/>
    </row>
    <row r="482" spans="1:22" x14ac:dyDescent="0.25">
      <c r="A482" s="9"/>
      <c r="B482" s="2"/>
      <c r="C482" s="20"/>
      <c r="F482" s="145"/>
      <c r="M482" s="2"/>
      <c r="N482" s="2"/>
      <c r="O482" s="2"/>
      <c r="P482" s="2"/>
      <c r="Q482" s="2"/>
      <c r="R482" s="2"/>
      <c r="S482" s="2"/>
      <c r="T482" s="2"/>
      <c r="U482" s="2"/>
      <c r="V482" s="119"/>
    </row>
    <row r="483" spans="1:22" ht="16.5" thickBot="1" x14ac:dyDescent="0.3">
      <c r="A483" s="9"/>
      <c r="B483" s="2"/>
      <c r="C483" s="20"/>
      <c r="F483" s="145"/>
      <c r="K483" s="276">
        <f>IF(FS!$O2803&gt;Criteria!H481,Criteria!J481+(FS!$O2803-Criteria!H481)*Criteria!K481,IF(FS!$O2803&gt;Criteria!H480,Criteria!J480+(FS!$O2803-Criteria!H480)*Criteria!K480,IF(FS!$O2803&gt;Criteria!H479,(FS!$O2803-Criteria!H479)*Criteria!K479,0)))</f>
        <v>0</v>
      </c>
      <c r="M483" s="2"/>
      <c r="N483" s="2"/>
      <c r="O483" s="2"/>
      <c r="P483" s="276">
        <f>IF(FS!$O2803&gt;Criteria!M481,Criteria!O481+(FS!$O2803-Criteria!M481)*Criteria!P481,IF(FS!$O2803&gt;Criteria!M480,Criteria!O480+(FS!$O2803-Criteria!M480)*Criteria!P480,IF(FS!$O2803&gt;Criteria!M479,(FS!$O2803-Criteria!M479)*Criteria!P479,0)))</f>
        <v>0</v>
      </c>
      <c r="Q483" s="2"/>
      <c r="R483" s="2"/>
      <c r="S483" s="2"/>
      <c r="T483" s="2"/>
      <c r="U483" s="276">
        <f>IF(FS!$O2803&gt;Criteria!R481,Criteria!T481+(FS!$O2803-Criteria!R481)*Criteria!U481,IF(FS!$O2803&gt;Criteria!R480,Criteria!T480+(FS!$O2803-Criteria!R480)*Criteria!U480,IF(FS!$O2803&gt;Criteria!R479,(FS!$O2803-Criteria!R479)*Criteria!U479,0)))</f>
        <v>0</v>
      </c>
      <c r="V483" s="119"/>
    </row>
    <row r="484" spans="1:22" ht="16.5" thickTop="1" x14ac:dyDescent="0.25">
      <c r="G484" s="28">
        <f>E22</f>
        <v>2024</v>
      </c>
      <c r="K484" s="119"/>
      <c r="P484" s="275"/>
    </row>
    <row r="485" spans="1:22" x14ac:dyDescent="0.25">
      <c r="J485" s="17"/>
      <c r="K485" s="119"/>
      <c r="P485" s="34"/>
    </row>
    <row r="486" spans="1:22" x14ac:dyDescent="0.25">
      <c r="C486" s="2" t="s">
        <v>974</v>
      </c>
      <c r="G486" s="387"/>
      <c r="I486" s="119"/>
      <c r="J486" s="119"/>
      <c r="K486" s="119"/>
      <c r="P486" s="34"/>
    </row>
    <row r="487" spans="1:22" x14ac:dyDescent="0.25">
      <c r="C487" s="2" t="s">
        <v>975</v>
      </c>
      <c r="G487" s="387"/>
      <c r="I487" s="119"/>
      <c r="K487" s="119"/>
      <c r="P487" s="34"/>
    </row>
    <row r="488" spans="1:22" x14ac:dyDescent="0.25">
      <c r="I488" s="119"/>
    </row>
    <row r="489" spans="1:22" x14ac:dyDescent="0.25">
      <c r="C489" s="2" t="s">
        <v>883</v>
      </c>
    </row>
    <row r="490" spans="1:22" x14ac:dyDescent="0.25">
      <c r="C490" s="2" t="s">
        <v>885</v>
      </c>
      <c r="G490" s="387">
        <f>ROUND(TARegister!Q15,0)</f>
        <v>0</v>
      </c>
    </row>
    <row r="491" spans="1:22" x14ac:dyDescent="0.25">
      <c r="C491" s="387"/>
      <c r="D491" s="299"/>
      <c r="E491" s="299"/>
      <c r="G491" s="387"/>
    </row>
    <row r="492" spans="1:22" x14ac:dyDescent="0.25">
      <c r="C492" s="387"/>
      <c r="D492" s="299"/>
      <c r="E492" s="299"/>
      <c r="G492" s="387"/>
    </row>
    <row r="493" spans="1:22" x14ac:dyDescent="0.25">
      <c r="C493" s="387"/>
      <c r="D493" s="299"/>
      <c r="E493" s="299"/>
      <c r="G493" s="387"/>
    </row>
    <row r="494" spans="1:22" x14ac:dyDescent="0.25">
      <c r="C494" s="387"/>
      <c r="D494" s="299"/>
      <c r="E494" s="299"/>
      <c r="G494" s="387"/>
    </row>
    <row r="495" spans="1:22" x14ac:dyDescent="0.25">
      <c r="C495" s="2" t="s">
        <v>884</v>
      </c>
    </row>
    <row r="496" spans="1:22" x14ac:dyDescent="0.25">
      <c r="C496" s="2" t="s">
        <v>886</v>
      </c>
      <c r="G496" s="387">
        <f>ROUND(SUM(TARegister!T11:T14),0)</f>
        <v>0</v>
      </c>
    </row>
    <row r="497" spans="3:8" x14ac:dyDescent="0.25">
      <c r="C497" s="2" t="s">
        <v>932</v>
      </c>
      <c r="F497" s="9"/>
      <c r="G497" s="387">
        <f>ROUND(TARegister!T10,0)</f>
        <v>0</v>
      </c>
    </row>
    <row r="498" spans="3:8" x14ac:dyDescent="0.25">
      <c r="C498" s="2" t="s">
        <v>889</v>
      </c>
      <c r="G498" s="387">
        <f>ROUND(TARegister!R15,0)</f>
        <v>0</v>
      </c>
    </row>
    <row r="499" spans="3:8" x14ac:dyDescent="0.25">
      <c r="C499" s="387"/>
      <c r="D499" s="299"/>
      <c r="E499" s="299"/>
      <c r="G499" s="387"/>
    </row>
    <row r="500" spans="3:8" x14ac:dyDescent="0.25">
      <c r="C500" s="387"/>
      <c r="D500" s="299"/>
      <c r="E500" s="299"/>
      <c r="G500" s="387"/>
    </row>
    <row r="502" spans="3:8" x14ac:dyDescent="0.25">
      <c r="G502" s="5" t="s">
        <v>395</v>
      </c>
      <c r="H502" s="5" t="s">
        <v>396</v>
      </c>
    </row>
    <row r="503" spans="3:8" x14ac:dyDescent="0.25">
      <c r="C503" s="2" t="s">
        <v>976</v>
      </c>
      <c r="G503" s="387">
        <f>ROUND(IF(TARegister!S15&gt;0,TARegister!S15,0),0)</f>
        <v>0</v>
      </c>
      <c r="H503" s="387">
        <f>ROUND(IF(TARegister!S15&lt;0,-TARegister!S15,0),0)</f>
        <v>0</v>
      </c>
    </row>
    <row r="505" spans="3:8" x14ac:dyDescent="0.25">
      <c r="C505" s="20" t="s">
        <v>1057</v>
      </c>
      <c r="G505" s="5">
        <f>E22</f>
        <v>2024</v>
      </c>
      <c r="H505" s="5">
        <f>E27</f>
        <v>2023</v>
      </c>
    </row>
    <row r="506" spans="3:8" x14ac:dyDescent="0.25">
      <c r="G506" s="5"/>
      <c r="H506" s="5"/>
    </row>
    <row r="507" spans="3:8" x14ac:dyDescent="0.25">
      <c r="C507" s="2" t="s">
        <v>1058</v>
      </c>
      <c r="H507" s="387"/>
    </row>
    <row r="508" spans="3:8" x14ac:dyDescent="0.25">
      <c r="C508" s="2" t="s">
        <v>1600</v>
      </c>
    </row>
    <row r="510" spans="3:8" x14ac:dyDescent="0.25">
      <c r="C510" s="2" t="s">
        <v>1061</v>
      </c>
      <c r="H510" s="387"/>
    </row>
    <row r="512" spans="3:8" x14ac:dyDescent="0.25">
      <c r="C512" s="2" t="s">
        <v>1601</v>
      </c>
      <c r="G512" s="326">
        <f>FS!V1431</f>
        <v>0</v>
      </c>
    </row>
    <row r="513" spans="3:8" x14ac:dyDescent="0.25">
      <c r="C513" s="2" t="s">
        <v>1059</v>
      </c>
      <c r="G513" s="387"/>
    </row>
    <row r="516" spans="3:8" ht="19.5" x14ac:dyDescent="0.35">
      <c r="C516" s="165" t="s">
        <v>1063</v>
      </c>
    </row>
    <row r="518" spans="3:8" x14ac:dyDescent="0.25">
      <c r="C518" s="2" t="s">
        <v>1069</v>
      </c>
    </row>
    <row r="519" spans="3:8" x14ac:dyDescent="0.25">
      <c r="F519" s="2" t="s">
        <v>1072</v>
      </c>
    </row>
    <row r="520" spans="3:8" x14ac:dyDescent="0.25">
      <c r="C520" s="2" t="s">
        <v>1067</v>
      </c>
      <c r="E520" s="5" t="s">
        <v>1070</v>
      </c>
      <c r="F520" s="5" t="s">
        <v>1073</v>
      </c>
    </row>
    <row r="521" spans="3:8" x14ac:dyDescent="0.25">
      <c r="C521" s="387"/>
      <c r="E521" s="387"/>
      <c r="F521" s="387"/>
      <c r="G521" s="2">
        <f>IF(COUNTIF(E521:E530,"&gt;0")&gt;0,1,IF(COUNTIF(E521:E530,"&lt;0")&gt;0,1,0))</f>
        <v>0</v>
      </c>
      <c r="H521" s="2">
        <f>IF(COUNTIF(F521:F530,"&gt;0")&gt;0,1,IF(COUNTIF(F521:F530,"&lt;0")&gt;0,1,0))</f>
        <v>0</v>
      </c>
    </row>
    <row r="522" spans="3:8" x14ac:dyDescent="0.25">
      <c r="C522" s="387"/>
      <c r="E522" s="387"/>
      <c r="F522" s="387"/>
    </row>
    <row r="523" spans="3:8" x14ac:dyDescent="0.25">
      <c r="C523" s="387"/>
      <c r="E523" s="387"/>
      <c r="F523" s="387"/>
    </row>
    <row r="524" spans="3:8" x14ac:dyDescent="0.25">
      <c r="C524" s="387"/>
      <c r="E524" s="387"/>
      <c r="F524" s="387"/>
    </row>
    <row r="525" spans="3:8" x14ac:dyDescent="0.25">
      <c r="C525" s="387"/>
      <c r="E525" s="387"/>
      <c r="F525" s="387"/>
    </row>
    <row r="526" spans="3:8" x14ac:dyDescent="0.25">
      <c r="C526" s="387"/>
      <c r="E526" s="387"/>
      <c r="F526" s="387"/>
    </row>
    <row r="527" spans="3:8" x14ac:dyDescent="0.25">
      <c r="C527" s="387"/>
      <c r="E527" s="387"/>
      <c r="F527" s="387"/>
    </row>
    <row r="528" spans="3:8" x14ac:dyDescent="0.25">
      <c r="C528" s="387"/>
      <c r="E528" s="387"/>
      <c r="F528" s="387"/>
    </row>
    <row r="529" spans="3:6" x14ac:dyDescent="0.25">
      <c r="C529" s="387"/>
      <c r="E529" s="387"/>
      <c r="F529" s="387"/>
    </row>
    <row r="530" spans="3:6" x14ac:dyDescent="0.25">
      <c r="C530" s="387"/>
      <c r="E530" s="387"/>
      <c r="F530" s="387"/>
    </row>
  </sheetData>
  <sheetProtection algorithmName="SHA-512" hashValue="/XuUPidEzePGiIHRoLhGh8kOjWCEOCxpySHtA+1rLVst4gg4p2BYtKLpsxSPoBCKnQZ0UZKMUvI/rNBiM6YWdg==" saltValue="50Oe3T9cAOXW6Sm47grmSA==" spinCount="100000" sheet="1" objects="1" scenarios="1" selectLockedCells="1"/>
  <mergeCells count="11">
    <mergeCell ref="G248:H248"/>
    <mergeCell ref="G251:H251"/>
    <mergeCell ref="A79:J79"/>
    <mergeCell ref="E11:G11"/>
    <mergeCell ref="E9:G9"/>
    <mergeCell ref="E10:G10"/>
    <mergeCell ref="E13:G13"/>
    <mergeCell ref="E14:G14"/>
    <mergeCell ref="C83:F83"/>
    <mergeCell ref="E15:G15"/>
    <mergeCell ref="E16:G16"/>
  </mergeCells>
  <phoneticPr fontId="0" type="noConversion"/>
  <dataValidations count="2">
    <dataValidation type="list" allowBlank="1" showInputMessage="1" showErrorMessage="1" sqref="E24 G50 F133 N474 I474 F473 F85 F87 F89 F91 F93 F97 F100 S474 G300 F106 F108 E120 F123" xr:uid="{00000000-0002-0000-0300-00000D000000}">
      <formula1>$F$25:$G$25</formula1>
    </dataValidation>
    <dataValidation type="list" allowBlank="1" showInputMessage="1" showErrorMessage="1" sqref="E29" xr:uid="{4B992463-D1AB-474C-BC28-FB8CE4C7B1B3}">
      <formula1>$E$30:$G$30</formula1>
    </dataValidation>
  </dataValidations>
  <hyperlinks>
    <hyperlink ref="E3" r:id="rId1" xr:uid="{16A95704-CD2A-4AE6-9F83-9DCD0D1E0E4D}"/>
    <hyperlink ref="E4" r:id="rId2" xr:uid="{E3401419-B55A-46B4-93C9-021ED672D37A}"/>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8"/>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x14ac:dyDescent="0.2"/>
  <cols>
    <col min="1" max="1" width="15.85546875" style="14" bestFit="1" customWidth="1"/>
    <col min="2" max="2" width="8.7109375" bestFit="1" customWidth="1"/>
    <col min="3" max="3" width="37.85546875" style="15" bestFit="1" customWidth="1"/>
    <col min="4" max="4" width="15.28515625" style="170" bestFit="1" customWidth="1"/>
    <col min="5" max="5" width="15.28515625" style="170" customWidth="1"/>
    <col min="6" max="8" width="13.140625" style="16" customWidth="1"/>
    <col min="9" max="9" width="15.85546875" style="16" bestFit="1" customWidth="1"/>
    <col min="10" max="10" width="13.85546875" style="16" bestFit="1" customWidth="1"/>
    <col min="11" max="11" width="13.42578125" style="16" customWidth="1"/>
    <col min="12" max="12" width="15.85546875" style="214" bestFit="1" customWidth="1"/>
    <col min="13" max="13" width="4.85546875" style="85" customWidth="1"/>
    <col min="14" max="14" width="15.7109375" customWidth="1"/>
    <col min="15" max="15" width="4.140625" customWidth="1"/>
    <col min="16" max="16" width="13.85546875" customWidth="1"/>
    <col min="17" max="17" width="13.85546875" style="51" bestFit="1" customWidth="1"/>
    <col min="18" max="18" width="14.28515625" bestFit="1" customWidth="1"/>
    <col min="19" max="20" width="13.140625" bestFit="1" customWidth="1"/>
    <col min="21" max="21" width="13.85546875" bestFit="1" customWidth="1"/>
  </cols>
  <sheetData>
    <row r="1" spans="1:21" x14ac:dyDescent="0.2">
      <c r="A1" s="413"/>
      <c r="B1" s="414"/>
      <c r="C1" s="414"/>
      <c r="D1" s="705" t="str">
        <f>Criteria!E13</f>
        <v>SEAFRONT HOTEL</v>
      </c>
      <c r="E1" s="705"/>
      <c r="F1" s="410" t="str">
        <f>Criteria!E14</f>
        <v>SEAFRONT RESTAURANT</v>
      </c>
      <c r="G1" s="410" t="str">
        <f>Criteria!E15</f>
        <v>RENTAL PROPERTIES</v>
      </c>
      <c r="H1" s="410">
        <f>Criteria!E16</f>
        <v>0</v>
      </c>
      <c r="I1" s="415"/>
      <c r="J1" s="416" t="s">
        <v>202</v>
      </c>
      <c r="K1" s="416"/>
      <c r="L1" s="417">
        <f>Criteria!E22</f>
        <v>2024</v>
      </c>
      <c r="M1" s="417"/>
      <c r="N1" s="417">
        <f>Criteria!E27</f>
        <v>2023</v>
      </c>
      <c r="O1" s="414"/>
      <c r="P1" s="707" t="s">
        <v>415</v>
      </c>
      <c r="Q1" s="707"/>
      <c r="S1" s="71"/>
    </row>
    <row r="2" spans="1:21" x14ac:dyDescent="0.2">
      <c r="A2" s="418" t="s">
        <v>1437</v>
      </c>
      <c r="B2" s="414"/>
      <c r="C2" s="414"/>
      <c r="D2" s="706">
        <f>D403-E403</f>
        <v>0</v>
      </c>
      <c r="E2" s="706"/>
      <c r="F2" s="419">
        <f>F403</f>
        <v>0</v>
      </c>
      <c r="G2" s="419">
        <f>G403</f>
        <v>0</v>
      </c>
      <c r="H2" s="419">
        <f>H403</f>
        <v>0</v>
      </c>
      <c r="I2" s="420" t="s">
        <v>521</v>
      </c>
      <c r="J2" s="415">
        <f>J403</f>
        <v>0</v>
      </c>
      <c r="K2" s="421">
        <f>D2-E2+F2+G2+H2</f>
        <v>0</v>
      </c>
      <c r="L2" s="422">
        <f>L403</f>
        <v>0</v>
      </c>
      <c r="M2" s="423"/>
      <c r="N2" s="424">
        <f>N403</f>
        <v>0</v>
      </c>
      <c r="O2" s="414"/>
      <c r="P2" s="417">
        <f>Criteria!E22</f>
        <v>2024</v>
      </c>
      <c r="Q2" s="417">
        <f>Criteria!E27</f>
        <v>2023</v>
      </c>
      <c r="S2" s="72"/>
    </row>
    <row r="3" spans="1:21" x14ac:dyDescent="0.2">
      <c r="A3" s="418" t="s">
        <v>727</v>
      </c>
      <c r="B3" s="425"/>
      <c r="C3" s="425" t="s">
        <v>284</v>
      </c>
      <c r="D3" s="418" t="s">
        <v>285</v>
      </c>
      <c r="E3" s="418" t="s">
        <v>286</v>
      </c>
      <c r="F3" s="418" t="s">
        <v>727</v>
      </c>
      <c r="G3" s="418" t="s">
        <v>727</v>
      </c>
      <c r="H3" s="418" t="s">
        <v>727</v>
      </c>
      <c r="I3" s="426" t="s">
        <v>166</v>
      </c>
      <c r="J3" s="413"/>
      <c r="K3" s="427"/>
      <c r="L3" s="407"/>
      <c r="M3" s="428"/>
      <c r="N3" s="414"/>
      <c r="O3" s="414"/>
      <c r="P3" s="424">
        <f>SUM(L5:L164)</f>
        <v>0</v>
      </c>
      <c r="Q3" s="429">
        <f>SUM(N5:N164)</f>
        <v>0</v>
      </c>
    </row>
    <row r="4" spans="1:21" x14ac:dyDescent="0.2">
      <c r="A4" s="166"/>
      <c r="B4" s="114" t="s">
        <v>287</v>
      </c>
      <c r="C4" s="397" t="s">
        <v>137</v>
      </c>
      <c r="D4" s="213"/>
      <c r="E4" s="212"/>
      <c r="F4" s="60"/>
      <c r="G4" s="60"/>
      <c r="H4" s="60"/>
      <c r="I4" s="60"/>
      <c r="J4" s="47"/>
      <c r="K4" s="48"/>
      <c r="L4" s="212"/>
      <c r="M4" s="68"/>
      <c r="N4" s="55" t="s">
        <v>284</v>
      </c>
      <c r="Q4" s="52"/>
    </row>
    <row r="5" spans="1:21" x14ac:dyDescent="0.2">
      <c r="A5" s="394"/>
      <c r="B5" s="13" t="s">
        <v>288</v>
      </c>
      <c r="C5" s="398" t="s">
        <v>1308</v>
      </c>
      <c r="D5" s="406"/>
      <c r="E5" s="407"/>
      <c r="F5" s="185"/>
      <c r="G5" s="185"/>
      <c r="H5" s="185"/>
      <c r="I5" s="88"/>
      <c r="J5" s="348">
        <f>SUMIF(Journals!D$14:D$920,TrialBalance!P5,Journals!J$14:J$920)+SUMIF(Journals!E$14:E$920,TrialBalance!P5,Journals!J$14:J$920)</f>
        <v>0</v>
      </c>
      <c r="K5" s="409"/>
      <c r="L5" s="411">
        <f t="shared" ref="L5:L10" si="0">ROUND(D5-E5+F5+G5+H5+J5+I5,0)</f>
        <v>0</v>
      </c>
      <c r="M5" s="84"/>
      <c r="N5" s="57">
        <f t="shared" ref="N5:N73" si="1">ROUND(SUM(A5),0)</f>
        <v>0</v>
      </c>
      <c r="P5" s="197" t="str">
        <f t="shared" ref="P5:P41" si="2">CONCATENATE(B5,C5)</f>
        <v>1000/001Sale of goods</v>
      </c>
      <c r="Q5" s="79"/>
      <c r="S5" s="80"/>
      <c r="T5" s="60"/>
      <c r="U5" s="34"/>
    </row>
    <row r="6" spans="1:21" x14ac:dyDescent="0.2">
      <c r="A6" s="394"/>
      <c r="B6" s="114" t="s">
        <v>289</v>
      </c>
      <c r="C6" s="398" t="s">
        <v>1309</v>
      </c>
      <c r="D6" s="406"/>
      <c r="E6" s="407"/>
      <c r="F6" s="185"/>
      <c r="G6" s="185"/>
      <c r="H6" s="185"/>
      <c r="I6" s="88"/>
      <c r="J6" s="348">
        <f>SUMIF(Journals!D$14:D$920,TrialBalance!P6,Journals!J$14:J$920)+SUMIF(Journals!E$14:E$920,TrialBalance!P6,Journals!J$14:J$920)</f>
        <v>0</v>
      </c>
      <c r="K6" s="409"/>
      <c r="L6" s="411">
        <f t="shared" ref="L6:L9" si="3">ROUND(D6-E6+F6+G6+H6+J6+I6,0)</f>
        <v>0</v>
      </c>
      <c r="M6" s="84"/>
      <c r="N6" s="57">
        <f t="shared" ref="N6:N9" si="4">ROUND(SUM(A6),0)</f>
        <v>0</v>
      </c>
      <c r="P6" s="197" t="str">
        <f t="shared" ref="P6:P9" si="5">CONCATENATE(B6,C6)</f>
        <v>1000/002Rendering of services</v>
      </c>
      <c r="Q6" s="79"/>
      <c r="S6" s="80"/>
      <c r="T6" s="60"/>
      <c r="U6" s="34"/>
    </row>
    <row r="7" spans="1:21" x14ac:dyDescent="0.2">
      <c r="A7" s="394"/>
      <c r="B7" s="114" t="s">
        <v>290</v>
      </c>
      <c r="C7" s="398" t="s">
        <v>1310</v>
      </c>
      <c r="D7" s="406"/>
      <c r="E7" s="407"/>
      <c r="F7" s="185"/>
      <c r="G7" s="185"/>
      <c r="H7" s="185"/>
      <c r="I7" s="88"/>
      <c r="J7" s="348">
        <f>SUMIF(Journals!D$14:D$920,TrialBalance!P7,Journals!J$14:J$920)+SUMIF(Journals!E$14:E$920,TrialBalance!P7,Journals!J$14:J$920)</f>
        <v>0</v>
      </c>
      <c r="K7" s="409"/>
      <c r="L7" s="411">
        <f t="shared" si="3"/>
        <v>0</v>
      </c>
      <c r="M7" s="84"/>
      <c r="N7" s="57">
        <f t="shared" si="4"/>
        <v>0</v>
      </c>
      <c r="P7" s="197" t="str">
        <f t="shared" si="5"/>
        <v>1000/003Commissions received</v>
      </c>
      <c r="Q7" s="79"/>
      <c r="S7" s="80"/>
      <c r="T7" s="60"/>
      <c r="U7" s="34"/>
    </row>
    <row r="8" spans="1:21" x14ac:dyDescent="0.2">
      <c r="A8" s="394"/>
      <c r="B8" s="114" t="s">
        <v>1311</v>
      </c>
      <c r="C8" s="399"/>
      <c r="D8" s="406"/>
      <c r="E8" s="407"/>
      <c r="F8" s="185"/>
      <c r="G8" s="185"/>
      <c r="H8" s="185"/>
      <c r="I8" s="88"/>
      <c r="J8" s="348">
        <f>SUMIF(Journals!D$14:D$920,TrialBalance!P8,Journals!J$14:J$920)+SUMIF(Journals!E$14:E$920,TrialBalance!P8,Journals!J$14:J$920)</f>
        <v>0</v>
      </c>
      <c r="K8" s="409"/>
      <c r="L8" s="411">
        <f t="shared" si="3"/>
        <v>0</v>
      </c>
      <c r="M8" s="84"/>
      <c r="N8" s="57">
        <f t="shared" si="4"/>
        <v>0</v>
      </c>
      <c r="P8" s="197" t="str">
        <f t="shared" si="5"/>
        <v>1000/004</v>
      </c>
      <c r="Q8" s="79"/>
      <c r="S8" s="80"/>
      <c r="T8" s="60"/>
      <c r="U8" s="34"/>
    </row>
    <row r="9" spans="1:21" x14ac:dyDescent="0.2">
      <c r="A9" s="394"/>
      <c r="B9" s="114" t="s">
        <v>1312</v>
      </c>
      <c r="C9" s="399"/>
      <c r="D9" s="406"/>
      <c r="E9" s="407"/>
      <c r="F9" s="185"/>
      <c r="G9" s="185"/>
      <c r="H9" s="185"/>
      <c r="I9" s="88"/>
      <c r="J9" s="348">
        <f>SUMIF(Journals!D$14:D$920,TrialBalance!P9,Journals!J$14:J$920)+SUMIF(Journals!E$14:E$920,TrialBalance!P9,Journals!J$14:J$920)</f>
        <v>0</v>
      </c>
      <c r="K9" s="409"/>
      <c r="L9" s="411">
        <f t="shared" si="3"/>
        <v>0</v>
      </c>
      <c r="M9" s="84"/>
      <c r="N9" s="57">
        <f t="shared" si="4"/>
        <v>0</v>
      </c>
      <c r="P9" s="197" t="str">
        <f t="shared" si="5"/>
        <v>1000/005</v>
      </c>
      <c r="Q9" s="79"/>
      <c r="S9" s="80"/>
      <c r="T9" s="60"/>
      <c r="U9" s="34"/>
    </row>
    <row r="10" spans="1:21" x14ac:dyDescent="0.2">
      <c r="A10" s="394"/>
      <c r="B10" s="114" t="s">
        <v>1313</v>
      </c>
      <c r="C10" s="399"/>
      <c r="D10" s="407"/>
      <c r="E10" s="407"/>
      <c r="F10" s="185"/>
      <c r="G10" s="185"/>
      <c r="H10" s="185"/>
      <c r="I10" s="88"/>
      <c r="J10" s="348">
        <f>SUMIF(Journals!D$14:D$920,TrialBalance!P10,Journals!J$14:J$920)+SUMIF(Journals!E$14:E$920,TrialBalance!P10,Journals!J$14:J$920)</f>
        <v>0</v>
      </c>
      <c r="K10" s="409"/>
      <c r="L10" s="411">
        <f t="shared" si="0"/>
        <v>0</v>
      </c>
      <c r="M10" s="84"/>
      <c r="N10" s="57">
        <f t="shared" si="1"/>
        <v>0</v>
      </c>
      <c r="P10" s="197" t="str">
        <f t="shared" si="2"/>
        <v>1000/006</v>
      </c>
      <c r="Q10" s="79"/>
      <c r="S10" s="80"/>
      <c r="T10" s="60"/>
      <c r="U10" s="34"/>
    </row>
    <row r="11" spans="1:21" x14ac:dyDescent="0.2">
      <c r="A11" s="394"/>
      <c r="B11" s="114" t="s">
        <v>1314</v>
      </c>
      <c r="C11" s="396" t="s">
        <v>433</v>
      </c>
      <c r="D11" s="407"/>
      <c r="E11" s="407"/>
      <c r="F11" s="185"/>
      <c r="G11" s="185"/>
      <c r="H11" s="185"/>
      <c r="I11" s="88"/>
      <c r="J11" s="348">
        <f>SUMIF(Journals!D$14:D$920,TrialBalance!P11,Journals!J$14:J$920)+SUMIF(Journals!E$14:E$920,TrialBalance!P11,Journals!J$14:J$920)</f>
        <v>0</v>
      </c>
      <c r="K11" s="409"/>
      <c r="L11" s="411">
        <f>ROUND(D11-E11+F11+G11+H11+J11+I11,0)</f>
        <v>0</v>
      </c>
      <c r="M11" s="84"/>
      <c r="N11" s="57">
        <f t="shared" si="1"/>
        <v>0</v>
      </c>
      <c r="P11" s="197" t="str">
        <f t="shared" si="2"/>
        <v>1000/007Rent received</v>
      </c>
      <c r="Q11" s="79"/>
      <c r="S11" s="80"/>
      <c r="T11" s="60"/>
      <c r="U11" s="34"/>
    </row>
    <row r="12" spans="1:21" x14ac:dyDescent="0.2">
      <c r="A12" s="394"/>
      <c r="B12" s="63" t="s">
        <v>291</v>
      </c>
      <c r="C12" s="397" t="s">
        <v>138</v>
      </c>
      <c r="D12" s="406"/>
      <c r="E12" s="407"/>
      <c r="F12" s="185"/>
      <c r="G12" s="185"/>
      <c r="H12" s="185"/>
      <c r="I12" s="88"/>
      <c r="J12" s="348">
        <f>SUMIF(Journals!D$14:D$920,TrialBalance!P12,Journals!J$14:J$920)+SUMIF(Journals!E$14:E$920,TrialBalance!P12,Journals!J$14:J$920)</f>
        <v>0</v>
      </c>
      <c r="K12" s="409"/>
      <c r="L12" s="411">
        <f t="shared" ref="L12:L75" si="6">ROUND(D12-E12+F12+G12+H12+J12+I12,0)</f>
        <v>0</v>
      </c>
      <c r="M12" s="84"/>
      <c r="N12" s="57">
        <f t="shared" si="1"/>
        <v>0</v>
      </c>
      <c r="P12" s="197" t="str">
        <f t="shared" si="2"/>
        <v>2000/000COST OF SALES</v>
      </c>
      <c r="Q12" s="79"/>
      <c r="S12" s="80"/>
      <c r="T12" s="60"/>
      <c r="U12" s="34"/>
    </row>
    <row r="13" spans="1:21" x14ac:dyDescent="0.2">
      <c r="A13" s="394"/>
      <c r="B13" s="63" t="s">
        <v>292</v>
      </c>
      <c r="C13" s="398" t="s">
        <v>773</v>
      </c>
      <c r="D13" s="406"/>
      <c r="E13" s="407"/>
      <c r="F13" s="185"/>
      <c r="G13" s="185"/>
      <c r="H13" s="185"/>
      <c r="I13" s="88"/>
      <c r="J13" s="348">
        <f>SUMIF(Journals!D$14:D$920,TrialBalance!P13,Journals!J$14:J$920)+SUMIF(Journals!E$14:E$920,TrialBalance!P13,Journals!J$14:J$920)</f>
        <v>0</v>
      </c>
      <c r="K13" s="409"/>
      <c r="L13" s="411">
        <f t="shared" si="6"/>
        <v>0</v>
      </c>
      <c r="M13" s="84"/>
      <c r="N13" s="57">
        <f t="shared" si="1"/>
        <v>0</v>
      </c>
      <c r="P13" s="197" t="str">
        <f t="shared" si="2"/>
        <v>2000/001Opening stock - Raw materials</v>
      </c>
      <c r="Q13" s="79"/>
      <c r="S13" s="80"/>
      <c r="T13" s="60"/>
      <c r="U13" s="34"/>
    </row>
    <row r="14" spans="1:21" x14ac:dyDescent="0.2">
      <c r="A14" s="394"/>
      <c r="B14" s="63" t="s">
        <v>462</v>
      </c>
      <c r="C14" s="395" t="s">
        <v>463</v>
      </c>
      <c r="D14" s="406"/>
      <c r="E14" s="407"/>
      <c r="F14" s="185"/>
      <c r="G14" s="185"/>
      <c r="H14" s="185"/>
      <c r="I14" s="88"/>
      <c r="J14" s="348">
        <f>SUMIF(Journals!D$14:D$920,TrialBalance!P14,Journals!J$14:J$920)+SUMIF(Journals!E$14:E$920,TrialBalance!P14,Journals!J$14:J$920)</f>
        <v>0</v>
      </c>
      <c r="K14" s="409"/>
      <c r="L14" s="411">
        <f t="shared" si="6"/>
        <v>0</v>
      </c>
      <c r="M14" s="84"/>
      <c r="N14" s="57">
        <f t="shared" si="1"/>
        <v>0</v>
      </c>
      <c r="P14" s="197" t="str">
        <f t="shared" si="2"/>
        <v>2000/002Opening stock - WIP</v>
      </c>
      <c r="Q14" s="79"/>
      <c r="S14" s="80"/>
      <c r="T14" s="60"/>
      <c r="U14" s="34"/>
    </row>
    <row r="15" spans="1:21" x14ac:dyDescent="0.2">
      <c r="A15" s="394"/>
      <c r="B15" s="63" t="s">
        <v>464</v>
      </c>
      <c r="C15" s="395" t="s">
        <v>465</v>
      </c>
      <c r="D15" s="406"/>
      <c r="E15" s="407"/>
      <c r="F15" s="185"/>
      <c r="G15" s="185"/>
      <c r="H15" s="185"/>
      <c r="I15" s="88"/>
      <c r="J15" s="348">
        <f>SUMIF(Journals!D$14:D$920,TrialBalance!P15,Journals!J$14:J$920)+SUMIF(Journals!E$14:E$920,TrialBalance!P15,Journals!J$14:J$920)</f>
        <v>0</v>
      </c>
      <c r="K15" s="409"/>
      <c r="L15" s="411">
        <f t="shared" si="6"/>
        <v>0</v>
      </c>
      <c r="M15" s="84"/>
      <c r="N15" s="57">
        <f t="shared" si="1"/>
        <v>0</v>
      </c>
      <c r="P15" s="197" t="str">
        <f t="shared" si="2"/>
        <v>2000/003Opening stock - Finished goods</v>
      </c>
      <c r="Q15" s="79"/>
      <c r="S15" s="80"/>
      <c r="T15" s="60"/>
      <c r="U15" s="34"/>
    </row>
    <row r="16" spans="1:21" x14ac:dyDescent="0.2">
      <c r="A16" s="394"/>
      <c r="B16" s="63" t="s">
        <v>466</v>
      </c>
      <c r="C16" s="395" t="s">
        <v>467</v>
      </c>
      <c r="D16" s="406"/>
      <c r="E16" s="407"/>
      <c r="F16" s="185"/>
      <c r="G16" s="185"/>
      <c r="H16" s="185"/>
      <c r="I16" s="88"/>
      <c r="J16" s="348">
        <f>SUMIF(Journals!D$14:D$920,TrialBalance!P16,Journals!J$14:J$920)+SUMIF(Journals!E$14:E$920,TrialBalance!P16,Journals!J$14:J$920)</f>
        <v>0</v>
      </c>
      <c r="K16" s="409"/>
      <c r="L16" s="411">
        <f t="shared" si="6"/>
        <v>0</v>
      </c>
      <c r="M16" s="84"/>
      <c r="N16" s="57">
        <f t="shared" si="1"/>
        <v>0</v>
      </c>
      <c r="P16" s="197" t="str">
        <f t="shared" si="2"/>
        <v>2000/004Opening stock - Trading stock</v>
      </c>
      <c r="Q16" s="79"/>
      <c r="S16" s="80"/>
      <c r="T16" s="60"/>
      <c r="U16" s="34"/>
    </row>
    <row r="17" spans="1:21" x14ac:dyDescent="0.2">
      <c r="A17" s="394"/>
      <c r="B17" s="13" t="s">
        <v>468</v>
      </c>
      <c r="C17" s="395" t="s">
        <v>334</v>
      </c>
      <c r="D17" s="406"/>
      <c r="E17" s="407"/>
      <c r="F17" s="185"/>
      <c r="G17" s="185"/>
      <c r="H17" s="185"/>
      <c r="I17" s="88"/>
      <c r="J17" s="348">
        <f>SUMIF(Journals!D$14:D$920,TrialBalance!P17,Journals!J$14:J$920)+SUMIF(Journals!E$14:E$920,TrialBalance!P17,Journals!J$14:J$920)</f>
        <v>0</v>
      </c>
      <c r="K17" s="409"/>
      <c r="L17" s="411">
        <f t="shared" si="6"/>
        <v>0</v>
      </c>
      <c r="M17" s="84"/>
      <c r="N17" s="57">
        <f t="shared" si="1"/>
        <v>0</v>
      </c>
      <c r="P17" s="197" t="str">
        <f t="shared" si="2"/>
        <v>2000/010Purchases</v>
      </c>
      <c r="Q17" s="79"/>
      <c r="S17" s="80"/>
      <c r="T17" s="60"/>
      <c r="U17" s="34"/>
    </row>
    <row r="18" spans="1:21" x14ac:dyDescent="0.2">
      <c r="A18" s="394"/>
      <c r="B18" s="13" t="s">
        <v>469</v>
      </c>
      <c r="C18" s="399"/>
      <c r="D18" s="407"/>
      <c r="E18" s="407"/>
      <c r="F18" s="185"/>
      <c r="G18" s="185"/>
      <c r="H18" s="185"/>
      <c r="I18" s="88"/>
      <c r="J18" s="348">
        <f>SUMIF(Journals!D$14:D$920,TrialBalance!P18,Journals!J$14:J$920)+SUMIF(Journals!E$14:E$920,TrialBalance!P18,Journals!J$14:J$920)</f>
        <v>0</v>
      </c>
      <c r="K18" s="409"/>
      <c r="L18" s="411">
        <f t="shared" si="6"/>
        <v>0</v>
      </c>
      <c r="M18" s="84"/>
      <c r="N18" s="57">
        <f t="shared" si="1"/>
        <v>0</v>
      </c>
      <c r="P18" s="197" t="str">
        <f t="shared" si="2"/>
        <v>2000/011</v>
      </c>
      <c r="Q18" s="79"/>
      <c r="R18" s="34"/>
      <c r="S18" s="80"/>
      <c r="T18" s="60"/>
      <c r="U18" s="34"/>
    </row>
    <row r="19" spans="1:21" x14ac:dyDescent="0.2">
      <c r="A19" s="394"/>
      <c r="B19" s="63" t="s">
        <v>470</v>
      </c>
      <c r="C19" s="399"/>
      <c r="D19" s="407"/>
      <c r="E19" s="407"/>
      <c r="F19" s="185"/>
      <c r="G19" s="185"/>
      <c r="H19" s="185"/>
      <c r="I19" s="88"/>
      <c r="J19" s="348">
        <f>SUMIF(Journals!D$14:D$920,TrialBalance!P19,Journals!J$14:J$920)+SUMIF(Journals!E$14:E$920,TrialBalance!P19,Journals!J$14:J$920)</f>
        <v>0</v>
      </c>
      <c r="K19" s="409"/>
      <c r="L19" s="411">
        <f t="shared" si="6"/>
        <v>0</v>
      </c>
      <c r="M19" s="84"/>
      <c r="N19" s="57">
        <f t="shared" si="1"/>
        <v>0</v>
      </c>
      <c r="P19" s="197" t="str">
        <f t="shared" si="2"/>
        <v>2000/012</v>
      </c>
      <c r="Q19" s="79"/>
      <c r="S19" s="80"/>
      <c r="T19" s="60"/>
      <c r="U19" s="34"/>
    </row>
    <row r="20" spans="1:21" x14ac:dyDescent="0.2">
      <c r="A20" s="394"/>
      <c r="B20" s="63" t="s">
        <v>471</v>
      </c>
      <c r="C20" s="399"/>
      <c r="D20" s="407"/>
      <c r="E20" s="407"/>
      <c r="F20" s="185"/>
      <c r="G20" s="185"/>
      <c r="H20" s="185"/>
      <c r="I20" s="88"/>
      <c r="J20" s="348">
        <f>SUMIF(Journals!D$14:D$920,TrialBalance!P20,Journals!J$14:J$920)+SUMIF(Journals!E$14:E$920,TrialBalance!P20,Journals!J$14:J$920)</f>
        <v>0</v>
      </c>
      <c r="K20" s="409"/>
      <c r="L20" s="411">
        <f t="shared" si="6"/>
        <v>0</v>
      </c>
      <c r="M20" s="84"/>
      <c r="N20" s="57">
        <f t="shared" si="1"/>
        <v>0</v>
      </c>
      <c r="P20" s="197" t="str">
        <f t="shared" si="2"/>
        <v>2000/013</v>
      </c>
      <c r="Q20" s="79"/>
      <c r="S20" s="80"/>
      <c r="T20" s="60"/>
      <c r="U20" s="34"/>
    </row>
    <row r="21" spans="1:21" x14ac:dyDescent="0.2">
      <c r="A21" s="394"/>
      <c r="B21" s="63" t="s">
        <v>472</v>
      </c>
      <c r="C21" s="399"/>
      <c r="D21" s="407"/>
      <c r="E21" s="407"/>
      <c r="F21" s="185"/>
      <c r="G21" s="185"/>
      <c r="H21" s="185"/>
      <c r="I21" s="88"/>
      <c r="J21" s="348">
        <f>SUMIF(Journals!D$14:D$920,TrialBalance!P21,Journals!J$14:J$920)+SUMIF(Journals!E$14:E$920,TrialBalance!P21,Journals!J$14:J$920)</f>
        <v>0</v>
      </c>
      <c r="K21" s="409"/>
      <c r="L21" s="411">
        <f t="shared" si="6"/>
        <v>0</v>
      </c>
      <c r="M21" s="84"/>
      <c r="N21" s="57">
        <f t="shared" si="1"/>
        <v>0</v>
      </c>
      <c r="P21" s="197" t="str">
        <f t="shared" si="2"/>
        <v>2000/014</v>
      </c>
      <c r="Q21" s="79"/>
      <c r="S21" s="80"/>
      <c r="T21" s="60"/>
      <c r="U21" s="34"/>
    </row>
    <row r="22" spans="1:21" x14ac:dyDescent="0.2">
      <c r="A22" s="394"/>
      <c r="B22" s="63" t="s">
        <v>473</v>
      </c>
      <c r="C22" s="399"/>
      <c r="D22" s="407"/>
      <c r="E22" s="407"/>
      <c r="F22" s="185"/>
      <c r="G22" s="185"/>
      <c r="H22" s="185"/>
      <c r="I22" s="88"/>
      <c r="J22" s="348">
        <f>SUMIF(Journals!D$14:D$920,TrialBalance!P22,Journals!J$14:J$920)+SUMIF(Journals!E$14:E$920,TrialBalance!P22,Journals!J$14:J$920)</f>
        <v>0</v>
      </c>
      <c r="K22" s="409"/>
      <c r="L22" s="411">
        <f t="shared" si="6"/>
        <v>0</v>
      </c>
      <c r="M22" s="84"/>
      <c r="N22" s="57">
        <f t="shared" si="1"/>
        <v>0</v>
      </c>
      <c r="P22" s="197" t="str">
        <f t="shared" si="2"/>
        <v>2000/015</v>
      </c>
      <c r="Q22" s="79"/>
      <c r="S22" s="80"/>
      <c r="T22" s="60"/>
      <c r="U22" s="34"/>
    </row>
    <row r="23" spans="1:21" x14ac:dyDescent="0.2">
      <c r="A23" s="394"/>
      <c r="B23" s="63" t="s">
        <v>474</v>
      </c>
      <c r="C23" s="395" t="s">
        <v>475</v>
      </c>
      <c r="D23" s="406"/>
      <c r="E23" s="407"/>
      <c r="F23" s="185"/>
      <c r="G23" s="185"/>
      <c r="H23" s="185"/>
      <c r="I23" s="88"/>
      <c r="J23" s="348">
        <f>SUMIF(Journals!D$14:D$920,TrialBalance!P23,Journals!J$14:J$920)+SUMIF(Journals!E$14:E$920,TrialBalance!P23,Journals!J$14:J$920)</f>
        <v>0</v>
      </c>
      <c r="K23" s="409"/>
      <c r="L23" s="411">
        <f t="shared" si="6"/>
        <v>0</v>
      </c>
      <c r="M23" s="84"/>
      <c r="N23" s="57">
        <f t="shared" si="1"/>
        <v>0</v>
      </c>
      <c r="P23" s="197" t="str">
        <f t="shared" si="2"/>
        <v>2000/050Closing stock - Raw materials</v>
      </c>
      <c r="Q23" s="79"/>
      <c r="S23" s="80"/>
      <c r="T23" s="60"/>
      <c r="U23" s="34"/>
    </row>
    <row r="24" spans="1:21" x14ac:dyDescent="0.2">
      <c r="A24" s="394"/>
      <c r="B24" s="63" t="s">
        <v>476</v>
      </c>
      <c r="C24" s="395" t="s">
        <v>477</v>
      </c>
      <c r="D24" s="406"/>
      <c r="E24" s="407"/>
      <c r="F24" s="185"/>
      <c r="G24" s="185"/>
      <c r="H24" s="185"/>
      <c r="I24" s="88"/>
      <c r="J24" s="348">
        <f>SUMIF(Journals!D$14:D$920,TrialBalance!P24,Journals!J$14:J$920)+SUMIF(Journals!E$14:E$920,TrialBalance!P24,Journals!J$14:J$920)</f>
        <v>0</v>
      </c>
      <c r="K24" s="409"/>
      <c r="L24" s="411">
        <f t="shared" si="6"/>
        <v>0</v>
      </c>
      <c r="M24" s="84"/>
      <c r="N24" s="57">
        <f t="shared" si="1"/>
        <v>0</v>
      </c>
      <c r="P24" s="197" t="str">
        <f t="shared" si="2"/>
        <v>2000/051Closing stock - WIP</v>
      </c>
      <c r="Q24" s="79"/>
      <c r="S24" s="80"/>
      <c r="T24" s="60"/>
      <c r="U24" s="34"/>
    </row>
    <row r="25" spans="1:21" x14ac:dyDescent="0.2">
      <c r="A25" s="394"/>
      <c r="B25" s="63" t="s">
        <v>478</v>
      </c>
      <c r="C25" s="395" t="s">
        <v>479</v>
      </c>
      <c r="D25" s="406"/>
      <c r="E25" s="407"/>
      <c r="F25" s="185"/>
      <c r="G25" s="185"/>
      <c r="H25" s="185"/>
      <c r="I25" s="88"/>
      <c r="J25" s="348">
        <f>SUMIF(Journals!D$14:D$920,TrialBalance!P25,Journals!J$14:J$920)+SUMIF(Journals!E$14:E$920,TrialBalance!P25,Journals!J$14:J$920)</f>
        <v>0</v>
      </c>
      <c r="K25" s="409"/>
      <c r="L25" s="411">
        <f t="shared" si="6"/>
        <v>0</v>
      </c>
      <c r="M25" s="84"/>
      <c r="N25" s="57">
        <f t="shared" si="1"/>
        <v>0</v>
      </c>
      <c r="P25" s="197" t="str">
        <f t="shared" si="2"/>
        <v>2000/052Closing stock - Finished goods</v>
      </c>
      <c r="Q25" s="79"/>
      <c r="S25" s="80"/>
      <c r="T25" s="60"/>
      <c r="U25" s="34"/>
    </row>
    <row r="26" spans="1:21" x14ac:dyDescent="0.2">
      <c r="A26" s="394"/>
      <c r="B26" s="63" t="s">
        <v>480</v>
      </c>
      <c r="C26" s="395" t="s">
        <v>481</v>
      </c>
      <c r="D26" s="406"/>
      <c r="E26" s="407"/>
      <c r="F26" s="185"/>
      <c r="G26" s="185"/>
      <c r="H26" s="185"/>
      <c r="I26" s="88"/>
      <c r="J26" s="348">
        <f>SUMIF(Journals!D$14:D$920,TrialBalance!P26,Journals!J$14:J$920)+SUMIF(Journals!E$14:E$920,TrialBalance!P26,Journals!J$14:J$920)</f>
        <v>0</v>
      </c>
      <c r="K26" s="409"/>
      <c r="L26" s="411">
        <f t="shared" si="6"/>
        <v>0</v>
      </c>
      <c r="M26" s="84"/>
      <c r="N26" s="57">
        <f t="shared" si="1"/>
        <v>0</v>
      </c>
      <c r="P26" s="197" t="str">
        <f t="shared" si="2"/>
        <v>2000/053Closing stock - Trading stock</v>
      </c>
      <c r="Q26" s="79"/>
      <c r="S26" s="80"/>
      <c r="T26" s="60"/>
      <c r="U26" s="34"/>
    </row>
    <row r="27" spans="1:21" x14ac:dyDescent="0.2">
      <c r="A27" s="394"/>
      <c r="B27" s="65" t="s">
        <v>386</v>
      </c>
      <c r="C27" s="400" t="s">
        <v>385</v>
      </c>
      <c r="D27" s="407"/>
      <c r="E27" s="407"/>
      <c r="F27" s="185"/>
      <c r="G27" s="185"/>
      <c r="H27" s="185"/>
      <c r="I27" s="88"/>
      <c r="J27" s="348">
        <f>SUMIF(Journals!D$14:D$920,TrialBalance!P27,Journals!J$14:J$920)+SUMIF(Journals!E$14:E$920,TrialBalance!P27,Journals!J$14:J$920)</f>
        <v>0</v>
      </c>
      <c r="K27" s="409"/>
      <c r="L27" s="411">
        <f t="shared" si="6"/>
        <v>0</v>
      </c>
      <c r="M27" s="84"/>
      <c r="N27" s="57">
        <f t="shared" si="1"/>
        <v>0</v>
      </c>
      <c r="P27" s="197" t="str">
        <f t="shared" si="2"/>
        <v>2050/000OTHER OPERATING INCOME</v>
      </c>
      <c r="Q27" s="79"/>
      <c r="S27" s="80"/>
      <c r="T27" s="60"/>
      <c r="U27" s="34"/>
    </row>
    <row r="28" spans="1:21" x14ac:dyDescent="0.2">
      <c r="A28" s="394"/>
      <c r="B28" s="65" t="s">
        <v>387</v>
      </c>
      <c r="C28" s="396" t="str">
        <f>IF(Criteria!H13=0,"Insurance claims",IF(Criteria!H14=0,"Insurance claims",CONCATENATE("Insurance claims - ",Criteria!H13)))</f>
        <v>Insurance claims - Seafront Hotel</v>
      </c>
      <c r="D28" s="407"/>
      <c r="E28" s="407"/>
      <c r="F28" s="185"/>
      <c r="G28" s="185"/>
      <c r="H28" s="185"/>
      <c r="I28" s="88"/>
      <c r="J28" s="348">
        <f>SUMIF(Journals!D$14:D$920,TrialBalance!P28,Journals!J$14:J$920)+SUMIF(Journals!E$14:E$920,TrialBalance!P28,Journals!J$14:J$920)</f>
        <v>0</v>
      </c>
      <c r="K28" s="409"/>
      <c r="L28" s="411">
        <f t="shared" si="6"/>
        <v>0</v>
      </c>
      <c r="M28" s="84"/>
      <c r="N28" s="57">
        <f t="shared" si="1"/>
        <v>0</v>
      </c>
      <c r="P28" s="197" t="str">
        <f t="shared" si="2"/>
        <v>2050/001Insurance claims - Seafront Hotel</v>
      </c>
      <c r="Q28" s="79"/>
      <c r="S28" s="80"/>
      <c r="T28" s="60"/>
      <c r="U28" s="34"/>
    </row>
    <row r="29" spans="1:21" x14ac:dyDescent="0.2">
      <c r="A29" s="394"/>
      <c r="B29" s="65" t="s">
        <v>388</v>
      </c>
      <c r="C29" s="396" t="s">
        <v>1079</v>
      </c>
      <c r="D29" s="407"/>
      <c r="E29" s="407"/>
      <c r="F29" s="185"/>
      <c r="G29" s="185"/>
      <c r="H29" s="185"/>
      <c r="I29" s="88"/>
      <c r="J29" s="348">
        <f>SUMIF(Journals!D$14:D$920,TrialBalance!P29,Journals!J$14:J$920)+SUMIF(Journals!E$14:E$920,TrialBalance!P29,Journals!J$14:J$920)</f>
        <v>0</v>
      </c>
      <c r="K29" s="409"/>
      <c r="L29" s="411">
        <f t="shared" si="6"/>
        <v>0</v>
      </c>
      <c r="M29" s="84"/>
      <c r="N29" s="57">
        <f t="shared" si="1"/>
        <v>0</v>
      </c>
      <c r="P29" s="197" t="str">
        <f t="shared" si="2"/>
        <v>2050/002Government grants received</v>
      </c>
      <c r="Q29" s="79"/>
      <c r="S29" s="80"/>
      <c r="T29" s="60"/>
      <c r="U29" s="34"/>
    </row>
    <row r="30" spans="1:21" x14ac:dyDescent="0.2">
      <c r="A30" s="394"/>
      <c r="B30" s="65" t="s">
        <v>389</v>
      </c>
      <c r="C30" s="399"/>
      <c r="D30" s="407"/>
      <c r="E30" s="407"/>
      <c r="F30" s="185"/>
      <c r="G30" s="185"/>
      <c r="H30" s="185"/>
      <c r="I30" s="88"/>
      <c r="J30" s="348">
        <f>SUMIF(Journals!D$14:D$920,TrialBalance!P30,Journals!J$14:J$920)+SUMIF(Journals!E$14:E$920,TrialBalance!P30,Journals!J$14:J$920)</f>
        <v>0</v>
      </c>
      <c r="K30" s="409"/>
      <c r="L30" s="411">
        <f t="shared" si="6"/>
        <v>0</v>
      </c>
      <c r="M30" s="84"/>
      <c r="N30" s="57">
        <f t="shared" si="1"/>
        <v>0</v>
      </c>
      <c r="P30" s="197" t="str">
        <f t="shared" si="2"/>
        <v>2050/003</v>
      </c>
      <c r="Q30" s="79"/>
      <c r="S30" s="80"/>
      <c r="T30" s="60"/>
      <c r="U30" s="34"/>
    </row>
    <row r="31" spans="1:21" x14ac:dyDescent="0.2">
      <c r="A31" s="394"/>
      <c r="B31" s="65" t="s">
        <v>390</v>
      </c>
      <c r="C31" s="399"/>
      <c r="D31" s="407"/>
      <c r="E31" s="407"/>
      <c r="F31" s="185"/>
      <c r="G31" s="185"/>
      <c r="H31" s="185"/>
      <c r="I31" s="88"/>
      <c r="J31" s="348">
        <f>SUMIF(Journals!D$14:D$920,TrialBalance!P31,Journals!J$14:J$920)+SUMIF(Journals!E$14:E$920,TrialBalance!P31,Journals!J$14:J$920)</f>
        <v>0</v>
      </c>
      <c r="K31" s="409"/>
      <c r="L31" s="411">
        <f t="shared" si="6"/>
        <v>0</v>
      </c>
      <c r="M31" s="84"/>
      <c r="N31" s="57">
        <f t="shared" si="1"/>
        <v>0</v>
      </c>
      <c r="P31" s="197" t="str">
        <f t="shared" si="2"/>
        <v>2050/004</v>
      </c>
      <c r="Q31" s="79"/>
      <c r="S31" s="80"/>
      <c r="T31" s="60"/>
      <c r="U31" s="34"/>
    </row>
    <row r="32" spans="1:21" x14ac:dyDescent="0.2">
      <c r="A32" s="394"/>
      <c r="B32" s="65" t="s">
        <v>391</v>
      </c>
      <c r="C32" s="399"/>
      <c r="D32" s="407"/>
      <c r="E32" s="407"/>
      <c r="F32" s="185"/>
      <c r="G32" s="185"/>
      <c r="H32" s="185"/>
      <c r="I32" s="88"/>
      <c r="J32" s="348">
        <f>SUMIF(Journals!D$14:D$920,TrialBalance!P32,Journals!J$14:J$920)+SUMIF(Journals!E$14:E$920,TrialBalance!P32,Journals!J$14:J$920)</f>
        <v>0</v>
      </c>
      <c r="K32" s="409"/>
      <c r="L32" s="411">
        <f t="shared" si="6"/>
        <v>0</v>
      </c>
      <c r="M32" s="84"/>
      <c r="N32" s="57">
        <f t="shared" si="1"/>
        <v>0</v>
      </c>
      <c r="P32" s="197" t="str">
        <f t="shared" si="2"/>
        <v>2050/005</v>
      </c>
      <c r="Q32" s="79"/>
      <c r="S32" s="80"/>
      <c r="T32" s="60"/>
      <c r="U32" s="34"/>
    </row>
    <row r="33" spans="1:21" x14ac:dyDescent="0.2">
      <c r="A33" s="394"/>
      <c r="B33" s="52" t="s">
        <v>1544</v>
      </c>
      <c r="C33" s="396" t="s">
        <v>1545</v>
      </c>
      <c r="D33" s="407"/>
      <c r="E33" s="407"/>
      <c r="F33" s="185"/>
      <c r="G33" s="185"/>
      <c r="H33" s="185"/>
      <c r="I33" s="88"/>
      <c r="J33" s="348">
        <f>SUMIF(Journals!D$14:D$920,TrialBalance!P33,Journals!J$14:J$920)+SUMIF(Journals!E$14:E$920,TrialBalance!P33,Journals!J$14:J$920)</f>
        <v>0</v>
      </c>
      <c r="K33" s="409"/>
      <c r="L33" s="411">
        <f t="shared" ref="L33" si="7">ROUND(D33-E33+F33+G33+H33+J33+I33,0)</f>
        <v>0</v>
      </c>
      <c r="M33" s="84"/>
      <c r="N33" s="57">
        <f t="shared" ref="N33" si="8">ROUND(SUM(A33),0)</f>
        <v>0</v>
      </c>
      <c r="P33" s="197" t="str">
        <f t="shared" ref="P33" si="9">CONCATENATE(B33,C33)</f>
        <v>2050/006Recoupment of depreciation</v>
      </c>
      <c r="Q33" s="79"/>
      <c r="S33" s="80"/>
      <c r="T33" s="60"/>
      <c r="U33" s="34"/>
    </row>
    <row r="34" spans="1:21" x14ac:dyDescent="0.2">
      <c r="A34" s="394"/>
      <c r="B34" s="52" t="s">
        <v>775</v>
      </c>
      <c r="C34" s="400" t="s">
        <v>774</v>
      </c>
      <c r="D34" s="407"/>
      <c r="E34" s="407"/>
      <c r="F34" s="185"/>
      <c r="G34" s="185"/>
      <c r="H34" s="185"/>
      <c r="I34" s="88"/>
      <c r="J34" s="348">
        <f>SUMIF(Journals!D$14:D$920,TrialBalance!P34,Journals!J$14:J$920)+SUMIF(Journals!E$14:E$920,TrialBalance!P34,Journals!J$14:J$920)</f>
        <v>0</v>
      </c>
      <c r="K34" s="409"/>
      <c r="L34" s="411">
        <f t="shared" si="6"/>
        <v>0</v>
      </c>
      <c r="M34" s="84"/>
      <c r="N34" s="57">
        <f t="shared" si="1"/>
        <v>0</v>
      </c>
      <c r="P34" s="197" t="str">
        <f t="shared" si="2"/>
        <v>2060/000NET (PROFIT)/LOSS OTHER</v>
      </c>
      <c r="Q34" s="79"/>
      <c r="S34" s="80"/>
      <c r="T34" s="60"/>
      <c r="U34" s="34"/>
    </row>
    <row r="35" spans="1:21" x14ac:dyDescent="0.2">
      <c r="A35" s="394"/>
      <c r="B35" s="52" t="s">
        <v>671</v>
      </c>
      <c r="C35" s="401" t="str">
        <f>CONCATENATE("Net (profit)/loss - ",Criteria!H14)</f>
        <v>Net (profit)/loss - Seafront Restaurant</v>
      </c>
      <c r="D35" s="407"/>
      <c r="E35" s="407"/>
      <c r="F35" s="185">
        <f>TrialBalanceA!N2</f>
        <v>0</v>
      </c>
      <c r="G35" s="185"/>
      <c r="H35" s="185"/>
      <c r="I35" s="88"/>
      <c r="J35" s="348">
        <f>SUMIF(Journals!D$14:D$920,TrialBalance!P35,Journals!J$14:J$920)+SUMIF(Journals!E$14:E$920,TrialBalance!P35,Journals!J$14:J$920)</f>
        <v>0</v>
      </c>
      <c r="K35" s="409"/>
      <c r="L35" s="411">
        <f t="shared" si="6"/>
        <v>0</v>
      </c>
      <c r="M35" s="84"/>
      <c r="N35" s="57">
        <f t="shared" si="1"/>
        <v>0</v>
      </c>
      <c r="P35" s="197" t="str">
        <f t="shared" si="2"/>
        <v>2060/001Net (profit)/loss - Seafront Restaurant</v>
      </c>
      <c r="Q35" s="79"/>
      <c r="S35" s="80"/>
      <c r="T35" s="60"/>
      <c r="U35" s="34"/>
    </row>
    <row r="36" spans="1:21" x14ac:dyDescent="0.2">
      <c r="A36" s="394"/>
      <c r="B36" s="52" t="s">
        <v>672</v>
      </c>
      <c r="C36" s="401" t="str">
        <f>CONCATENATE("Net (profit)/loss - ",Criteria!H15)</f>
        <v>Net (profit)/loss - Rental Properties</v>
      </c>
      <c r="D36" s="407"/>
      <c r="E36" s="407"/>
      <c r="F36" s="185"/>
      <c r="G36" s="185">
        <f>TrialBalanceB!N2</f>
        <v>0</v>
      </c>
      <c r="H36" s="185"/>
      <c r="I36" s="88"/>
      <c r="J36" s="348">
        <f>SUMIF(Journals!D$14:D$920,TrialBalance!P36,Journals!J$14:J$920)+SUMIF(Journals!E$14:E$920,TrialBalance!P36,Journals!J$14:J$920)</f>
        <v>0</v>
      </c>
      <c r="K36" s="409"/>
      <c r="L36" s="411">
        <f t="shared" si="6"/>
        <v>0</v>
      </c>
      <c r="M36" s="84"/>
      <c r="N36" s="57">
        <f t="shared" si="1"/>
        <v>0</v>
      </c>
      <c r="P36" s="197" t="str">
        <f t="shared" si="2"/>
        <v>2060/002Net (profit)/loss - Rental Properties</v>
      </c>
      <c r="Q36" s="79"/>
      <c r="S36" s="80"/>
      <c r="T36" s="60"/>
      <c r="U36" s="34"/>
    </row>
    <row r="37" spans="1:21" x14ac:dyDescent="0.2">
      <c r="A37" s="394"/>
      <c r="B37" s="52" t="s">
        <v>673</v>
      </c>
      <c r="C37" s="401" t="str">
        <f>CONCATENATE("Net (profit)/loss - ",Criteria!H16)</f>
        <v xml:space="preserve">Net (profit)/loss - </v>
      </c>
      <c r="D37" s="407"/>
      <c r="E37" s="407"/>
      <c r="F37" s="185"/>
      <c r="G37" s="185"/>
      <c r="H37" s="185">
        <f>TrialBalanceC!N2</f>
        <v>0</v>
      </c>
      <c r="I37" s="88"/>
      <c r="J37" s="348">
        <f>SUMIF(Journals!D$14:D$920,TrialBalance!P37,Journals!J$14:J$920)+SUMIF(Journals!E$14:E$920,TrialBalance!P37,Journals!J$14:J$920)</f>
        <v>0</v>
      </c>
      <c r="K37" s="409"/>
      <c r="L37" s="411">
        <f t="shared" si="6"/>
        <v>0</v>
      </c>
      <c r="M37" s="84"/>
      <c r="N37" s="57">
        <f t="shared" si="1"/>
        <v>0</v>
      </c>
      <c r="P37" s="197" t="str">
        <f t="shared" si="2"/>
        <v xml:space="preserve">2060/003Net (profit)/loss - </v>
      </c>
      <c r="Q37" s="79"/>
      <c r="S37" s="80"/>
      <c r="T37" s="60"/>
      <c r="U37" s="34"/>
    </row>
    <row r="38" spans="1:21" x14ac:dyDescent="0.2">
      <c r="A38" s="394"/>
      <c r="B38" s="52" t="s">
        <v>674</v>
      </c>
      <c r="C38" s="402"/>
      <c r="D38" s="407"/>
      <c r="E38" s="407"/>
      <c r="F38" s="185"/>
      <c r="G38" s="185"/>
      <c r="H38" s="185"/>
      <c r="I38" s="88"/>
      <c r="J38" s="348">
        <f>SUMIF(Journals!D$14:D$920,TrialBalance!P38,Journals!J$14:J$920)+SUMIF(Journals!E$14:E$920,TrialBalance!P38,Journals!J$14:J$920)</f>
        <v>0</v>
      </c>
      <c r="K38" s="409"/>
      <c r="L38" s="411">
        <f t="shared" si="6"/>
        <v>0</v>
      </c>
      <c r="M38" s="84"/>
      <c r="N38" s="57">
        <f t="shared" si="1"/>
        <v>0</v>
      </c>
      <c r="P38" s="197" t="str">
        <f t="shared" si="2"/>
        <v>2060/004</v>
      </c>
      <c r="Q38" s="79"/>
      <c r="S38" s="80"/>
      <c r="T38" s="60"/>
      <c r="U38" s="34"/>
    </row>
    <row r="39" spans="1:21" x14ac:dyDescent="0.2">
      <c r="A39" s="394"/>
      <c r="B39" s="63" t="s">
        <v>482</v>
      </c>
      <c r="C39" s="397" t="s">
        <v>1415</v>
      </c>
      <c r="D39" s="406"/>
      <c r="E39" s="407"/>
      <c r="F39" s="185"/>
      <c r="G39" s="185"/>
      <c r="H39" s="185"/>
      <c r="I39" s="88"/>
      <c r="J39" s="348">
        <f>SUMIF(Journals!D$14:D$920,TrialBalance!P39,Journals!J$14:J$920)+SUMIF(Journals!E$14:E$920,TrialBalance!P39,Journals!J$14:J$920)</f>
        <v>0</v>
      </c>
      <c r="K39" s="409"/>
      <c r="L39" s="411">
        <f t="shared" si="6"/>
        <v>0</v>
      </c>
      <c r="M39" s="84"/>
      <c r="N39" s="57">
        <f t="shared" si="1"/>
        <v>0</v>
      </c>
      <c r="P39" s="197" t="str">
        <f t="shared" si="2"/>
        <v>2100/000OPERATING EXPENSES</v>
      </c>
      <c r="Q39" s="79"/>
      <c r="S39" s="80"/>
      <c r="T39" s="60"/>
      <c r="U39" s="34"/>
    </row>
    <row r="40" spans="1:21" x14ac:dyDescent="0.2">
      <c r="A40" s="394"/>
      <c r="B40" s="63" t="s">
        <v>483</v>
      </c>
      <c r="C40" s="395" t="s">
        <v>335</v>
      </c>
      <c r="D40" s="406"/>
      <c r="E40" s="407"/>
      <c r="F40" s="185"/>
      <c r="G40" s="185"/>
      <c r="H40" s="185"/>
      <c r="I40" s="88"/>
      <c r="J40" s="348">
        <f>SUMIF(Journals!D$14:D$920,TrialBalance!P40,Journals!J$14:J$920)+SUMIF(Journals!E$14:E$920,TrialBalance!P40,Journals!J$14:J$920)</f>
        <v>0</v>
      </c>
      <c r="K40" s="410" t="s">
        <v>688</v>
      </c>
      <c r="L40" s="411">
        <f t="shared" si="6"/>
        <v>0</v>
      </c>
      <c r="M40" s="84"/>
      <c r="N40" s="57">
        <f t="shared" si="1"/>
        <v>0</v>
      </c>
      <c r="P40" s="197" t="str">
        <f t="shared" si="2"/>
        <v>2100/001Advertising</v>
      </c>
      <c r="Q40" s="79"/>
      <c r="S40" s="80"/>
      <c r="T40" s="60"/>
      <c r="U40" s="34"/>
    </row>
    <row r="41" spans="1:21" x14ac:dyDescent="0.2">
      <c r="A41" s="394"/>
      <c r="B41" s="63" t="s">
        <v>484</v>
      </c>
      <c r="C41" s="398" t="s">
        <v>887</v>
      </c>
      <c r="D41" s="406"/>
      <c r="E41" s="407"/>
      <c r="F41" s="185"/>
      <c r="G41" s="185"/>
      <c r="H41" s="185"/>
      <c r="I41" s="88"/>
      <c r="J41" s="348">
        <f>SUMIF(Journals!D$14:D$920,TrialBalance!P41,Journals!J$14:J$920)+SUMIF(Journals!E$14:E$920,TrialBalance!P41,Journals!J$14:J$920)</f>
        <v>0</v>
      </c>
      <c r="K41" s="409"/>
      <c r="L41" s="411">
        <f t="shared" si="6"/>
        <v>0</v>
      </c>
      <c r="M41" s="84"/>
      <c r="N41" s="57">
        <f t="shared" si="1"/>
        <v>0</v>
      </c>
      <c r="P41" s="197" t="str">
        <f t="shared" si="2"/>
        <v>2100/010Assets less than R7,000</v>
      </c>
      <c r="Q41" s="79"/>
      <c r="S41" s="80"/>
      <c r="T41" s="60"/>
      <c r="U41" s="34"/>
    </row>
    <row r="42" spans="1:21" x14ac:dyDescent="0.2">
      <c r="A42" s="394"/>
      <c r="B42" s="63" t="s">
        <v>485</v>
      </c>
      <c r="C42" s="395" t="s">
        <v>336</v>
      </c>
      <c r="D42" s="406"/>
      <c r="E42" s="407"/>
      <c r="F42" s="185"/>
      <c r="G42" s="185"/>
      <c r="H42" s="185"/>
      <c r="I42" s="88"/>
      <c r="J42" s="348">
        <f>SUMIF(Journals!D$14:D$920,TrialBalance!P42,Journals!J$14:J$920)+SUMIF(Journals!E$14:E$920,TrialBalance!P42,Journals!J$14:J$920)</f>
        <v>0</v>
      </c>
      <c r="K42" s="409"/>
      <c r="L42" s="411">
        <f t="shared" si="6"/>
        <v>0</v>
      </c>
      <c r="M42" s="84"/>
      <c r="N42" s="57">
        <f t="shared" si="1"/>
        <v>0</v>
      </c>
      <c r="P42" s="197" t="str">
        <f t="shared" ref="P42:P73" si="10">CONCATENATE(B42,C42)</f>
        <v>2100/020Consumables</v>
      </c>
      <c r="Q42" s="79"/>
      <c r="S42" s="80"/>
      <c r="T42" s="60"/>
      <c r="U42" s="34"/>
    </row>
    <row r="43" spans="1:21" x14ac:dyDescent="0.2">
      <c r="A43" s="394"/>
      <c r="B43" s="63" t="s">
        <v>486</v>
      </c>
      <c r="C43" s="397" t="s">
        <v>719</v>
      </c>
      <c r="D43" s="406"/>
      <c r="E43" s="407"/>
      <c r="F43" s="185"/>
      <c r="G43" s="185"/>
      <c r="H43" s="185"/>
      <c r="I43" s="88"/>
      <c r="J43" s="348">
        <f>SUMIF(Journals!D$14:D$920,TrialBalance!P43,Journals!J$14:J$920)+SUMIF(Journals!E$14:E$920,TrialBalance!P43,Journals!J$14:J$920)</f>
        <v>0</v>
      </c>
      <c r="K43" s="409"/>
      <c r="L43" s="411">
        <f t="shared" si="6"/>
        <v>0</v>
      </c>
      <c r="M43" s="84"/>
      <c r="N43" s="57">
        <f t="shared" si="1"/>
        <v>0</v>
      </c>
      <c r="P43" s="197" t="str">
        <f t="shared" si="10"/>
        <v>2100/030Depreciation---------------------------------</v>
      </c>
      <c r="Q43" s="79"/>
      <c r="S43" s="80"/>
      <c r="T43" s="60"/>
      <c r="U43" s="34"/>
    </row>
    <row r="44" spans="1:21" x14ac:dyDescent="0.2">
      <c r="A44" s="394"/>
      <c r="B44" s="63" t="s">
        <v>488</v>
      </c>
      <c r="C44" s="398" t="s">
        <v>1619</v>
      </c>
      <c r="D44" s="406"/>
      <c r="E44" s="407"/>
      <c r="F44" s="185"/>
      <c r="G44" s="185"/>
      <c r="H44" s="185"/>
      <c r="I44" s="88">
        <f>FARegister!Z12</f>
        <v>0</v>
      </c>
      <c r="J44" s="348">
        <f>SUMIF(Journals!D$14:D$920,TrialBalance!P44,Journals!J$14:J$920)+SUMIF(Journals!E$14:E$920,TrialBalance!P44,Journals!J$14:J$920)</f>
        <v>0</v>
      </c>
      <c r="K44" s="409"/>
      <c r="L44" s="411">
        <f t="shared" si="6"/>
        <v>0</v>
      </c>
      <c r="M44" s="84"/>
      <c r="N44" s="57">
        <f t="shared" si="1"/>
        <v>0</v>
      </c>
      <c r="P44" s="197" t="str">
        <f t="shared" si="10"/>
        <v>2100/031Depr - Property</v>
      </c>
      <c r="Q44" s="79"/>
      <c r="S44" s="80"/>
      <c r="T44" s="60"/>
      <c r="U44" s="34"/>
    </row>
    <row r="45" spans="1:21" x14ac:dyDescent="0.2">
      <c r="A45" s="394"/>
      <c r="B45" s="63" t="s">
        <v>489</v>
      </c>
      <c r="C45" s="398" t="s">
        <v>989</v>
      </c>
      <c r="D45" s="406"/>
      <c r="E45" s="407"/>
      <c r="F45" s="185"/>
      <c r="G45" s="185"/>
      <c r="H45" s="185"/>
      <c r="I45" s="88">
        <f>FARegister!Z13</f>
        <v>0</v>
      </c>
      <c r="J45" s="348">
        <f>SUMIF(Journals!D$14:D$920,TrialBalance!P45,Journals!J$14:J$920)+SUMIF(Journals!E$14:E$920,TrialBalance!P45,Journals!J$14:J$920)</f>
        <v>0</v>
      </c>
      <c r="K45" s="409"/>
      <c r="L45" s="411">
        <f t="shared" si="6"/>
        <v>0</v>
      </c>
      <c r="M45" s="84"/>
      <c r="N45" s="57">
        <f t="shared" si="1"/>
        <v>0</v>
      </c>
      <c r="P45" s="197" t="str">
        <f t="shared" si="10"/>
        <v>2100/032Depr - Plant and machinery</v>
      </c>
      <c r="Q45" s="79"/>
      <c r="S45" s="80"/>
      <c r="T45" s="60"/>
      <c r="U45" s="34"/>
    </row>
    <row r="46" spans="1:21" x14ac:dyDescent="0.2">
      <c r="A46" s="394"/>
      <c r="B46" s="63" t="s">
        <v>63</v>
      </c>
      <c r="C46" s="395" t="s">
        <v>64</v>
      </c>
      <c r="D46" s="406"/>
      <c r="E46" s="407"/>
      <c r="F46" s="185"/>
      <c r="G46" s="185"/>
      <c r="H46" s="185"/>
      <c r="I46" s="88">
        <f>FARegister!Z14</f>
        <v>0</v>
      </c>
      <c r="J46" s="348">
        <f>SUMIF(Journals!D$14:D$920,TrialBalance!P46,Journals!J$14:J$920)+SUMIF(Journals!E$14:E$920,TrialBalance!P46,Journals!J$14:J$920)</f>
        <v>0</v>
      </c>
      <c r="K46" s="409"/>
      <c r="L46" s="411">
        <f t="shared" si="6"/>
        <v>0</v>
      </c>
      <c r="M46" s="84"/>
      <c r="N46" s="57">
        <f t="shared" si="1"/>
        <v>0</v>
      </c>
      <c r="P46" s="197" t="str">
        <f t="shared" si="10"/>
        <v>2100/033Depr - Motor vehicles</v>
      </c>
      <c r="Q46" s="79"/>
      <c r="S46" s="80"/>
      <c r="T46" s="60"/>
      <c r="U46" s="34"/>
    </row>
    <row r="47" spans="1:21" x14ac:dyDescent="0.2">
      <c r="A47" s="394"/>
      <c r="B47" s="63" t="s">
        <v>66</v>
      </c>
      <c r="C47" s="395" t="s">
        <v>67</v>
      </c>
      <c r="D47" s="406"/>
      <c r="E47" s="407"/>
      <c r="F47" s="185"/>
      <c r="G47" s="185"/>
      <c r="H47" s="185"/>
      <c r="I47" s="88"/>
      <c r="J47" s="348">
        <f>SUMIF(Journals!D$14:D$920,TrialBalance!P47,Journals!J$14:J$920)+SUMIF(Journals!E$14:E$920,TrialBalance!P47,Journals!J$14:J$920)</f>
        <v>0</v>
      </c>
      <c r="K47" s="409"/>
      <c r="L47" s="411">
        <f t="shared" si="6"/>
        <v>0</v>
      </c>
      <c r="M47" s="84"/>
      <c r="N47" s="57">
        <f t="shared" si="1"/>
        <v>0</v>
      </c>
      <c r="P47" s="197" t="str">
        <f t="shared" si="10"/>
        <v>2100/040Discounts allowed</v>
      </c>
      <c r="Q47" s="79"/>
      <c r="S47" s="80"/>
      <c r="T47" s="60"/>
      <c r="U47" s="34"/>
    </row>
    <row r="48" spans="1:21" x14ac:dyDescent="0.2">
      <c r="A48" s="394"/>
      <c r="B48" s="63" t="s">
        <v>68</v>
      </c>
      <c r="C48" s="398" t="s">
        <v>933</v>
      </c>
      <c r="D48" s="406"/>
      <c r="E48" s="407"/>
      <c r="F48" s="185"/>
      <c r="G48" s="185"/>
      <c r="H48" s="185"/>
      <c r="I48" s="88"/>
      <c r="J48" s="348">
        <f>SUMIF(Journals!D$14:D$920,TrialBalance!P48,Journals!J$14:J$920)+SUMIF(Journals!E$14:E$920,TrialBalance!P48,Journals!J$14:J$920)</f>
        <v>0</v>
      </c>
      <c r="K48" s="409"/>
      <c r="L48" s="411">
        <f t="shared" si="6"/>
        <v>0</v>
      </c>
      <c r="M48" s="84"/>
      <c r="N48" s="57">
        <f t="shared" si="1"/>
        <v>0</v>
      </c>
      <c r="P48" s="197" t="str">
        <f t="shared" si="10"/>
        <v>2100/050Electricity and water</v>
      </c>
      <c r="Q48" s="79"/>
      <c r="S48" s="80"/>
      <c r="T48" s="60"/>
      <c r="U48" s="34"/>
    </row>
    <row r="49" spans="1:21" x14ac:dyDescent="0.2">
      <c r="A49" s="394"/>
      <c r="B49" s="63" t="s">
        <v>69</v>
      </c>
      <c r="C49" s="395" t="s">
        <v>74</v>
      </c>
      <c r="D49" s="406"/>
      <c r="E49" s="407"/>
      <c r="F49" s="185"/>
      <c r="G49" s="185"/>
      <c r="H49" s="185"/>
      <c r="I49" s="88"/>
      <c r="J49" s="348">
        <f>SUMIF(Journals!D$14:D$920,TrialBalance!P49,Journals!J$14:J$920)+SUMIF(Journals!E$14:E$920,TrialBalance!P49,Journals!J$14:J$920)</f>
        <v>0</v>
      </c>
      <c r="K49" s="409"/>
      <c r="L49" s="411">
        <f t="shared" si="6"/>
        <v>0</v>
      </c>
      <c r="M49" s="84"/>
      <c r="N49" s="57">
        <f t="shared" si="1"/>
        <v>0</v>
      </c>
      <c r="P49" s="197" t="str">
        <f t="shared" si="10"/>
        <v>2100/055Equipment lease</v>
      </c>
      <c r="Q49" s="79"/>
      <c r="S49" s="80"/>
      <c r="T49" s="60"/>
      <c r="U49" s="34"/>
    </row>
    <row r="50" spans="1:21" x14ac:dyDescent="0.2">
      <c r="A50" s="394"/>
      <c r="B50" s="63" t="s">
        <v>75</v>
      </c>
      <c r="C50" s="395" t="s">
        <v>338</v>
      </c>
      <c r="D50" s="406"/>
      <c r="E50" s="407"/>
      <c r="F50" s="185"/>
      <c r="G50" s="185"/>
      <c r="H50" s="185"/>
      <c r="I50" s="88"/>
      <c r="J50" s="348">
        <f>SUMIF(Journals!D$14:D$920,TrialBalance!P50,Journals!J$14:J$920)+SUMIF(Journals!E$14:E$920,TrialBalance!P50,Journals!J$14:J$920)</f>
        <v>0</v>
      </c>
      <c r="K50" s="410" t="s">
        <v>688</v>
      </c>
      <c r="L50" s="411">
        <f t="shared" si="6"/>
        <v>0</v>
      </c>
      <c r="M50" s="84"/>
      <c r="N50" s="57">
        <f t="shared" si="1"/>
        <v>0</v>
      </c>
      <c r="P50" s="197" t="str">
        <f t="shared" si="10"/>
        <v>2100/060Insurance</v>
      </c>
      <c r="Q50" s="79"/>
      <c r="S50" s="60"/>
      <c r="T50" s="60"/>
      <c r="U50" s="34"/>
    </row>
    <row r="51" spans="1:21" x14ac:dyDescent="0.2">
      <c r="A51" s="394"/>
      <c r="B51" s="63" t="s">
        <v>522</v>
      </c>
      <c r="C51" s="395" t="s">
        <v>210</v>
      </c>
      <c r="D51" s="406"/>
      <c r="E51" s="407"/>
      <c r="F51" s="185"/>
      <c r="G51" s="185"/>
      <c r="H51" s="185"/>
      <c r="I51" s="88"/>
      <c r="J51" s="348">
        <f>SUMIF(Journals!D$14:D$920,TrialBalance!P51,Journals!J$14:J$920)+SUMIF(Journals!E$14:E$920,TrialBalance!P51,Journals!J$14:J$920)</f>
        <v>0</v>
      </c>
      <c r="K51" s="409"/>
      <c r="L51" s="411">
        <f t="shared" si="6"/>
        <v>0</v>
      </c>
      <c r="M51" s="84"/>
      <c r="N51" s="57">
        <f t="shared" si="1"/>
        <v>0</v>
      </c>
      <c r="P51" s="197" t="str">
        <f t="shared" si="10"/>
        <v>2100/071Levies - SDL</v>
      </c>
      <c r="Q51" s="79"/>
      <c r="S51" s="80"/>
      <c r="T51" s="60"/>
      <c r="U51" s="34"/>
    </row>
    <row r="52" spans="1:21" x14ac:dyDescent="0.2">
      <c r="A52" s="394"/>
      <c r="B52" s="63" t="s">
        <v>211</v>
      </c>
      <c r="C52" s="395" t="s">
        <v>212</v>
      </c>
      <c r="D52" s="406"/>
      <c r="E52" s="407"/>
      <c r="F52" s="185"/>
      <c r="G52" s="185"/>
      <c r="H52" s="185"/>
      <c r="I52" s="88"/>
      <c r="J52" s="348">
        <f>SUMIF(Journals!D$14:D$920,TrialBalance!P52,Journals!J$14:J$920)+SUMIF(Journals!E$14:E$920,TrialBalance!P52,Journals!J$14:J$920)</f>
        <v>0</v>
      </c>
      <c r="K52" s="409"/>
      <c r="L52" s="411">
        <f t="shared" si="6"/>
        <v>0</v>
      </c>
      <c r="M52" s="84"/>
      <c r="N52" s="57">
        <f t="shared" si="1"/>
        <v>0</v>
      </c>
      <c r="P52" s="197" t="str">
        <f t="shared" si="10"/>
        <v>2100/072Levies - other</v>
      </c>
      <c r="Q52" s="79"/>
      <c r="S52" s="80"/>
      <c r="T52" s="60"/>
      <c r="U52" s="34"/>
    </row>
    <row r="53" spans="1:21" x14ac:dyDescent="0.2">
      <c r="A53" s="394"/>
      <c r="B53" s="63" t="s">
        <v>213</v>
      </c>
      <c r="C53" s="402" t="s">
        <v>422</v>
      </c>
      <c r="D53" s="407"/>
      <c r="E53" s="407"/>
      <c r="F53" s="185"/>
      <c r="G53" s="185"/>
      <c r="H53" s="185"/>
      <c r="I53" s="88"/>
      <c r="J53" s="348">
        <f>SUMIF(Journals!D$14:D$920,TrialBalance!P53,Journals!J$14:J$920)+SUMIF(Journals!E$14:E$920,TrialBalance!P53,Journals!J$14:J$920)</f>
        <v>0</v>
      </c>
      <c r="K53" s="409"/>
      <c r="L53" s="411">
        <f t="shared" si="6"/>
        <v>0</v>
      </c>
      <c r="M53" s="84"/>
      <c r="N53" s="57">
        <f t="shared" si="1"/>
        <v>0</v>
      </c>
      <c r="P53" s="197" t="str">
        <f t="shared" si="10"/>
        <v>2100/080Trade licenses</v>
      </c>
      <c r="Q53" s="79"/>
      <c r="S53" s="80"/>
      <c r="T53" s="60"/>
      <c r="U53" s="34"/>
    </row>
    <row r="54" spans="1:21" x14ac:dyDescent="0.2">
      <c r="A54" s="394"/>
      <c r="B54" s="63" t="s">
        <v>214</v>
      </c>
      <c r="C54" s="397" t="s">
        <v>215</v>
      </c>
      <c r="D54" s="406"/>
      <c r="E54" s="407"/>
      <c r="F54" s="185"/>
      <c r="G54" s="185"/>
      <c r="H54" s="185"/>
      <c r="I54" s="88"/>
      <c r="J54" s="348">
        <f>SUMIF(Journals!D$14:D$920,TrialBalance!P54,Journals!J$14:J$920)+SUMIF(Journals!E$14:E$920,TrialBalance!P54,Journals!J$14:J$920)</f>
        <v>0</v>
      </c>
      <c r="K54" s="409"/>
      <c r="L54" s="411">
        <f t="shared" si="6"/>
        <v>0</v>
      </c>
      <c r="M54" s="84"/>
      <c r="N54" s="57">
        <f t="shared" si="1"/>
        <v>0</v>
      </c>
      <c r="P54" s="197" t="str">
        <f t="shared" si="10"/>
        <v>2100/090Motor vehicle expenses------------------</v>
      </c>
      <c r="Q54" s="79"/>
      <c r="S54" s="80"/>
      <c r="T54" s="60"/>
      <c r="U54" s="34"/>
    </row>
    <row r="55" spans="1:21" x14ac:dyDescent="0.2">
      <c r="A55" s="394"/>
      <c r="B55" s="63" t="s">
        <v>216</v>
      </c>
      <c r="C55" s="395" t="s">
        <v>217</v>
      </c>
      <c r="D55" s="406"/>
      <c r="E55" s="407"/>
      <c r="F55" s="185"/>
      <c r="G55" s="185"/>
      <c r="H55" s="185"/>
      <c r="I55" s="88"/>
      <c r="J55" s="348">
        <f>SUMIF(Journals!D$14:D$920,TrialBalance!P55,Journals!J$14:J$920)+SUMIF(Journals!E$14:E$920,TrialBalance!P55,Journals!J$14:J$920)</f>
        <v>0</v>
      </c>
      <c r="K55" s="409"/>
      <c r="L55" s="411">
        <f t="shared" si="6"/>
        <v>0</v>
      </c>
      <c r="M55" s="84"/>
      <c r="N55" s="57">
        <f t="shared" si="1"/>
        <v>0</v>
      </c>
      <c r="P55" s="197" t="str">
        <f t="shared" si="10"/>
        <v>2100/091Motor vehicle expenses - Petrol and oil</v>
      </c>
      <c r="Q55" s="79"/>
      <c r="S55" s="80"/>
      <c r="T55" s="60"/>
      <c r="U55" s="34"/>
    </row>
    <row r="56" spans="1:21" x14ac:dyDescent="0.2">
      <c r="A56" s="394"/>
      <c r="B56" s="63" t="s">
        <v>218</v>
      </c>
      <c r="C56" s="395" t="s">
        <v>219</v>
      </c>
      <c r="D56" s="406"/>
      <c r="E56" s="407"/>
      <c r="F56" s="185"/>
      <c r="G56" s="185"/>
      <c r="H56" s="185"/>
      <c r="I56" s="88"/>
      <c r="J56" s="348">
        <f>SUMIF(Journals!D$14:D$920,TrialBalance!P56,Journals!J$14:J$920)+SUMIF(Journals!E$14:E$920,TrialBalance!P56,Journals!J$14:J$920)</f>
        <v>0</v>
      </c>
      <c r="K56" s="409"/>
      <c r="L56" s="411">
        <f t="shared" si="6"/>
        <v>0</v>
      </c>
      <c r="M56" s="84"/>
      <c r="N56" s="57">
        <f t="shared" si="1"/>
        <v>0</v>
      </c>
      <c r="P56" s="197" t="str">
        <f t="shared" si="10"/>
        <v>2100/092Motor vehicle expenses - R&amp;M</v>
      </c>
      <c r="Q56" s="79"/>
      <c r="S56" s="80"/>
      <c r="T56" s="60"/>
      <c r="U56" s="34"/>
    </row>
    <row r="57" spans="1:21" x14ac:dyDescent="0.2">
      <c r="A57" s="394"/>
      <c r="B57" s="63" t="s">
        <v>220</v>
      </c>
      <c r="C57" s="395" t="s">
        <v>221</v>
      </c>
      <c r="D57" s="406"/>
      <c r="E57" s="407"/>
      <c r="F57" s="185"/>
      <c r="G57" s="185"/>
      <c r="H57" s="185"/>
      <c r="I57" s="88"/>
      <c r="J57" s="348">
        <f>SUMIF(Journals!D$14:D$920,TrialBalance!P57,Journals!J$14:J$920)+SUMIF(Journals!E$14:E$920,TrialBalance!P57,Journals!J$14:J$920)</f>
        <v>0</v>
      </c>
      <c r="K57" s="409"/>
      <c r="L57" s="411">
        <f t="shared" si="6"/>
        <v>0</v>
      </c>
      <c r="M57" s="84"/>
      <c r="N57" s="57">
        <f t="shared" si="1"/>
        <v>0</v>
      </c>
      <c r="P57" s="197" t="str">
        <f t="shared" si="10"/>
        <v>2100/093Motor vehicle expenses - Insurance</v>
      </c>
      <c r="Q57" s="79"/>
      <c r="S57" s="80"/>
      <c r="T57" s="60"/>
      <c r="U57" s="34"/>
    </row>
    <row r="58" spans="1:21" x14ac:dyDescent="0.2">
      <c r="A58" s="394"/>
      <c r="B58" s="63" t="s">
        <v>222</v>
      </c>
      <c r="C58" s="396" t="s">
        <v>990</v>
      </c>
      <c r="D58" s="406"/>
      <c r="E58" s="407"/>
      <c r="F58" s="185"/>
      <c r="G58" s="185"/>
      <c r="H58" s="185"/>
      <c r="I58" s="88"/>
      <c r="J58" s="348">
        <f>SUMIF(Journals!D$14:D$920,TrialBalance!P58,Journals!J$14:J$920)+SUMIF(Journals!E$14:E$920,TrialBalance!P58,Journals!J$14:J$920)</f>
        <v>0</v>
      </c>
      <c r="K58" s="409"/>
      <c r="L58" s="411">
        <f t="shared" si="6"/>
        <v>0</v>
      </c>
      <c r="M58" s="84"/>
      <c r="N58" s="57">
        <f t="shared" si="1"/>
        <v>0</v>
      </c>
      <c r="P58" s="197" t="str">
        <f t="shared" si="10"/>
        <v>2100/094Motor vehicle expenses - Licenses</v>
      </c>
      <c r="Q58" s="79"/>
      <c r="S58" s="80"/>
      <c r="T58" s="60"/>
      <c r="U58" s="34"/>
    </row>
    <row r="59" spans="1:21" x14ac:dyDescent="0.2">
      <c r="A59" s="394"/>
      <c r="B59" s="63" t="s">
        <v>223</v>
      </c>
      <c r="C59" s="398" t="s">
        <v>991</v>
      </c>
      <c r="D59" s="406"/>
      <c r="E59" s="407"/>
      <c r="F59" s="185"/>
      <c r="G59" s="185"/>
      <c r="H59" s="185"/>
      <c r="I59" s="88"/>
      <c r="J59" s="348">
        <f>SUMIF(Journals!D$14:D$920,TrialBalance!P59,Journals!J$14:J$920)+SUMIF(Journals!E$14:E$920,TrialBalance!P59,Journals!J$14:J$920)</f>
        <v>0</v>
      </c>
      <c r="K59" s="409"/>
      <c r="L59" s="411">
        <f t="shared" si="6"/>
        <v>0</v>
      </c>
      <c r="M59" s="84"/>
      <c r="N59" s="57">
        <f t="shared" si="1"/>
        <v>0</v>
      </c>
      <c r="P59" s="197" t="str">
        <f t="shared" si="10"/>
        <v>2100/095Motor vehicle expenses - General</v>
      </c>
      <c r="Q59" s="79"/>
      <c r="S59" s="80"/>
      <c r="T59" s="60"/>
      <c r="U59" s="34"/>
    </row>
    <row r="60" spans="1:21" x14ac:dyDescent="0.2">
      <c r="A60" s="394"/>
      <c r="B60" s="63" t="s">
        <v>224</v>
      </c>
      <c r="C60" s="397" t="s">
        <v>720</v>
      </c>
      <c r="D60" s="406"/>
      <c r="E60" s="407"/>
      <c r="F60" s="185"/>
      <c r="G60" s="185"/>
      <c r="H60" s="185"/>
      <c r="I60" s="88"/>
      <c r="J60" s="348">
        <f>SUMIF(Journals!D$14:D$920,TrialBalance!P60,Journals!J$14:J$920)+SUMIF(Journals!E$14:E$920,TrialBalance!P60,Journals!J$14:J$920)</f>
        <v>0</v>
      </c>
      <c r="K60" s="409"/>
      <c r="L60" s="411">
        <f t="shared" si="6"/>
        <v>0</v>
      </c>
      <c r="M60" s="84"/>
      <c r="N60" s="57">
        <f t="shared" si="1"/>
        <v>0</v>
      </c>
      <c r="P60" s="197" t="str">
        <f t="shared" si="10"/>
        <v>2100/100Rent paid-------------------------------------</v>
      </c>
      <c r="Q60" s="79"/>
      <c r="S60" s="80"/>
      <c r="T60" s="60"/>
      <c r="U60" s="34"/>
    </row>
    <row r="61" spans="1:21" x14ac:dyDescent="0.2">
      <c r="A61" s="394"/>
      <c r="B61" s="63" t="s">
        <v>226</v>
      </c>
      <c r="C61" s="399" t="s">
        <v>1226</v>
      </c>
      <c r="D61" s="406"/>
      <c r="E61" s="407"/>
      <c r="F61" s="185"/>
      <c r="G61" s="185"/>
      <c r="H61" s="185"/>
      <c r="I61" s="88"/>
      <c r="J61" s="348">
        <f>SUMIF(Journals!D$14:D$920,TrialBalance!P61,Journals!J$14:J$920)+SUMIF(Journals!E$14:E$920,TrialBalance!P61,Journals!J$14:J$920)</f>
        <v>0</v>
      </c>
      <c r="K61" s="409"/>
      <c r="L61" s="411">
        <f t="shared" si="6"/>
        <v>0</v>
      </c>
      <c r="M61" s="84"/>
      <c r="N61" s="57">
        <f t="shared" si="1"/>
        <v>0</v>
      </c>
      <c r="P61" s="197" t="str">
        <f t="shared" si="10"/>
        <v>2100/101Premises</v>
      </c>
      <c r="Q61" s="79"/>
      <c r="S61" s="80"/>
      <c r="T61" s="60"/>
      <c r="U61" s="34"/>
    </row>
    <row r="62" spans="1:21" x14ac:dyDescent="0.2">
      <c r="A62" s="394"/>
      <c r="B62" s="63" t="s">
        <v>227</v>
      </c>
      <c r="C62" s="399"/>
      <c r="D62" s="406"/>
      <c r="E62" s="407"/>
      <c r="F62" s="185"/>
      <c r="G62" s="185"/>
      <c r="H62" s="185"/>
      <c r="I62" s="88"/>
      <c r="J62" s="348">
        <f>SUMIF(Journals!D$14:D$920,TrialBalance!P62,Journals!J$14:J$920)+SUMIF(Journals!E$14:E$920,TrialBalance!P62,Journals!J$14:J$920)</f>
        <v>0</v>
      </c>
      <c r="K62" s="409"/>
      <c r="L62" s="411">
        <f t="shared" si="6"/>
        <v>0</v>
      </c>
      <c r="M62" s="84"/>
      <c r="N62" s="57">
        <f t="shared" si="1"/>
        <v>0</v>
      </c>
      <c r="P62" s="197" t="str">
        <f t="shared" si="10"/>
        <v>2100/102</v>
      </c>
      <c r="Q62" s="79"/>
      <c r="S62" s="80"/>
      <c r="T62" s="60"/>
      <c r="U62" s="34"/>
    </row>
    <row r="63" spans="1:21" x14ac:dyDescent="0.2">
      <c r="A63" s="394"/>
      <c r="B63" s="63" t="s">
        <v>228</v>
      </c>
      <c r="C63" s="403"/>
      <c r="D63" s="406"/>
      <c r="E63" s="407"/>
      <c r="F63" s="185"/>
      <c r="G63" s="185"/>
      <c r="H63" s="185"/>
      <c r="I63" s="88"/>
      <c r="J63" s="348">
        <f>SUMIF(Journals!D$14:D$920,TrialBalance!P63,Journals!J$14:J$920)+SUMIF(Journals!E$14:E$920,TrialBalance!P63,Journals!J$14:J$920)</f>
        <v>0</v>
      </c>
      <c r="K63" s="409"/>
      <c r="L63" s="411">
        <f t="shared" si="6"/>
        <v>0</v>
      </c>
      <c r="M63" s="84"/>
      <c r="N63" s="57">
        <f t="shared" si="1"/>
        <v>0</v>
      </c>
      <c r="P63" s="197" t="str">
        <f t="shared" si="10"/>
        <v>2100/103</v>
      </c>
      <c r="Q63" s="79"/>
      <c r="S63" s="80"/>
      <c r="T63" s="60"/>
      <c r="U63" s="34"/>
    </row>
    <row r="64" spans="1:21" x14ac:dyDescent="0.2">
      <c r="A64" s="394"/>
      <c r="B64" s="63" t="s">
        <v>229</v>
      </c>
      <c r="C64" s="395" t="s">
        <v>82</v>
      </c>
      <c r="D64" s="406"/>
      <c r="E64" s="407"/>
      <c r="F64" s="185"/>
      <c r="G64" s="185"/>
      <c r="H64" s="185"/>
      <c r="I64" s="88"/>
      <c r="J64" s="348">
        <f>SUMIF(Journals!D$14:D$920,TrialBalance!P64,Journals!J$14:J$920)+SUMIF(Journals!E$14:E$920,TrialBalance!P64,Journals!J$14:J$920)</f>
        <v>0</v>
      </c>
      <c r="K64" s="409"/>
      <c r="L64" s="411">
        <f t="shared" si="6"/>
        <v>0</v>
      </c>
      <c r="M64" s="84"/>
      <c r="N64" s="57">
        <f t="shared" si="1"/>
        <v>0</v>
      </c>
      <c r="P64" s="197" t="str">
        <f t="shared" si="10"/>
        <v>2100/110Repairs and maintenance</v>
      </c>
      <c r="Q64" s="79"/>
      <c r="S64" s="80"/>
      <c r="T64" s="60"/>
      <c r="U64" s="34"/>
    </row>
    <row r="65" spans="1:21" x14ac:dyDescent="0.2">
      <c r="A65" s="394"/>
      <c r="B65" s="63" t="s">
        <v>83</v>
      </c>
      <c r="C65" s="395" t="s">
        <v>84</v>
      </c>
      <c r="D65" s="406"/>
      <c r="E65" s="407"/>
      <c r="F65" s="185"/>
      <c r="G65" s="185"/>
      <c r="H65" s="185"/>
      <c r="I65" s="88"/>
      <c r="J65" s="348">
        <f>SUMIF(Journals!D$14:D$920,TrialBalance!P65,Journals!J$14:J$920)+SUMIF(Journals!E$14:E$920,TrialBalance!P65,Journals!J$14:J$920)</f>
        <v>0</v>
      </c>
      <c r="K65" s="409"/>
      <c r="L65" s="411">
        <f t="shared" si="6"/>
        <v>0</v>
      </c>
      <c r="M65" s="84"/>
      <c r="N65" s="57">
        <f t="shared" si="1"/>
        <v>0</v>
      </c>
      <c r="P65" s="197" t="str">
        <f t="shared" si="10"/>
        <v>2100/120Salaries</v>
      </c>
      <c r="Q65" s="79"/>
      <c r="S65" s="80"/>
      <c r="T65" s="60"/>
      <c r="U65" s="34"/>
    </row>
    <row r="66" spans="1:21" x14ac:dyDescent="0.2">
      <c r="A66" s="394"/>
      <c r="B66" s="63" t="s">
        <v>85</v>
      </c>
      <c r="C66" s="395" t="s">
        <v>86</v>
      </c>
      <c r="D66" s="406"/>
      <c r="E66" s="407"/>
      <c r="F66" s="185"/>
      <c r="G66" s="185"/>
      <c r="H66" s="185"/>
      <c r="I66" s="88"/>
      <c r="J66" s="348">
        <f>SUMIF(Journals!D$14:D$920,TrialBalance!P66,Journals!J$14:J$920)+SUMIF(Journals!E$14:E$920,TrialBalance!P66,Journals!J$14:J$920)</f>
        <v>0</v>
      </c>
      <c r="K66" s="409"/>
      <c r="L66" s="411">
        <f t="shared" si="6"/>
        <v>0</v>
      </c>
      <c r="M66" s="84"/>
      <c r="N66" s="57">
        <f t="shared" si="1"/>
        <v>0</v>
      </c>
      <c r="P66" s="197" t="str">
        <f t="shared" si="10"/>
        <v>2100/121UIF - Employer</v>
      </c>
      <c r="Q66" s="79"/>
      <c r="S66" s="80"/>
      <c r="T66" s="60"/>
      <c r="U66" s="34"/>
    </row>
    <row r="67" spans="1:21" x14ac:dyDescent="0.2">
      <c r="A67" s="394"/>
      <c r="B67" s="63" t="s">
        <v>87</v>
      </c>
      <c r="C67" s="395" t="s">
        <v>88</v>
      </c>
      <c r="D67" s="406"/>
      <c r="E67" s="407"/>
      <c r="F67" s="185"/>
      <c r="G67" s="185"/>
      <c r="H67" s="185"/>
      <c r="I67" s="88"/>
      <c r="J67" s="348">
        <f>SUMIF(Journals!D$14:D$920,TrialBalance!P67,Journals!J$14:J$920)+SUMIF(Journals!E$14:E$920,TrialBalance!P67,Journals!J$14:J$920)</f>
        <v>0</v>
      </c>
      <c r="K67" s="409"/>
      <c r="L67" s="411">
        <f t="shared" si="6"/>
        <v>0</v>
      </c>
      <c r="M67" s="84"/>
      <c r="N67" s="57">
        <f t="shared" si="1"/>
        <v>0</v>
      </c>
      <c r="P67" s="197" t="str">
        <f t="shared" si="10"/>
        <v>2100/122Casual wages</v>
      </c>
      <c r="Q67" s="79"/>
      <c r="S67" s="80"/>
      <c r="T67" s="60"/>
      <c r="U67" s="34"/>
    </row>
    <row r="68" spans="1:21" x14ac:dyDescent="0.2">
      <c r="A68" s="394"/>
      <c r="B68" s="63" t="s">
        <v>89</v>
      </c>
      <c r="C68" s="395" t="s">
        <v>90</v>
      </c>
      <c r="D68" s="406"/>
      <c r="E68" s="407"/>
      <c r="F68" s="185"/>
      <c r="G68" s="185"/>
      <c r="H68" s="185"/>
      <c r="I68" s="88"/>
      <c r="J68" s="348">
        <f>SUMIF(Journals!D$14:D$920,TrialBalance!P68,Journals!J$14:J$920)+SUMIF(Journals!E$14:E$920,TrialBalance!P68,Journals!J$14:J$920)</f>
        <v>0</v>
      </c>
      <c r="K68" s="409"/>
      <c r="L68" s="411">
        <f t="shared" si="6"/>
        <v>0</v>
      </c>
      <c r="M68" s="84"/>
      <c r="N68" s="57">
        <f t="shared" si="1"/>
        <v>0</v>
      </c>
      <c r="P68" s="197" t="str">
        <f t="shared" si="10"/>
        <v>2100/130Telephone</v>
      </c>
      <c r="Q68" s="79"/>
      <c r="S68" s="80"/>
      <c r="T68" s="60"/>
      <c r="U68" s="34"/>
    </row>
    <row r="69" spans="1:21" x14ac:dyDescent="0.2">
      <c r="A69" s="394"/>
      <c r="B69" s="63" t="s">
        <v>91</v>
      </c>
      <c r="C69" s="395" t="s">
        <v>557</v>
      </c>
      <c r="D69" s="406"/>
      <c r="E69" s="407"/>
      <c r="F69" s="185"/>
      <c r="G69" s="185"/>
      <c r="H69" s="185"/>
      <c r="I69" s="88"/>
      <c r="J69" s="348">
        <f>SUMIF(Journals!D$14:D$920,TrialBalance!P69,Journals!J$14:J$920)+SUMIF(Journals!E$14:E$920,TrialBalance!P69,Journals!J$14:J$920)</f>
        <v>0</v>
      </c>
      <c r="K69" s="409"/>
      <c r="L69" s="411">
        <f t="shared" si="6"/>
        <v>0</v>
      </c>
      <c r="M69" s="84"/>
      <c r="N69" s="57">
        <f t="shared" si="1"/>
        <v>0</v>
      </c>
      <c r="P69" s="197" t="str">
        <f t="shared" si="10"/>
        <v>2100/135Postage and courier</v>
      </c>
      <c r="Q69" s="79"/>
      <c r="S69" s="80"/>
      <c r="T69" s="60"/>
      <c r="U69" s="34"/>
    </row>
    <row r="70" spans="1:21" x14ac:dyDescent="0.2">
      <c r="A70" s="394"/>
      <c r="B70" s="63" t="s">
        <v>92</v>
      </c>
      <c r="C70" s="395" t="s">
        <v>310</v>
      </c>
      <c r="D70" s="406"/>
      <c r="E70" s="407"/>
      <c r="F70" s="185"/>
      <c r="G70" s="185"/>
      <c r="H70" s="185"/>
      <c r="I70" s="88"/>
      <c r="J70" s="348">
        <f>SUMIF(Journals!D$14:D$920,TrialBalance!P70,Journals!J$14:J$920)+SUMIF(Journals!E$14:E$920,TrialBalance!P70,Journals!J$14:J$920)</f>
        <v>0</v>
      </c>
      <c r="K70" s="409"/>
      <c r="L70" s="411">
        <f t="shared" si="6"/>
        <v>0</v>
      </c>
      <c r="M70" s="84"/>
      <c r="N70" s="57">
        <f t="shared" si="1"/>
        <v>0</v>
      </c>
      <c r="P70" s="197" t="str">
        <f t="shared" si="10"/>
        <v>2100/140Training</v>
      </c>
      <c r="Q70" s="79"/>
      <c r="S70" s="80"/>
      <c r="T70" s="60"/>
      <c r="U70" s="34"/>
    </row>
    <row r="71" spans="1:21" x14ac:dyDescent="0.2">
      <c r="A71" s="394"/>
      <c r="B71" s="63" t="s">
        <v>93</v>
      </c>
      <c r="C71" s="396" t="s">
        <v>1039</v>
      </c>
      <c r="D71" s="407"/>
      <c r="E71" s="407"/>
      <c r="F71" s="185"/>
      <c r="G71" s="185"/>
      <c r="H71" s="185"/>
      <c r="I71" s="88"/>
      <c r="J71" s="348">
        <f>SUMIF(Journals!D$14:D$920,TrialBalance!P71,Journals!J$14:J$920)+SUMIF(Journals!E$14:E$920,TrialBalance!P71,Journals!J$14:J$920)</f>
        <v>0</v>
      </c>
      <c r="K71" s="409"/>
      <c r="L71" s="411">
        <f t="shared" si="6"/>
        <v>0</v>
      </c>
      <c r="M71" s="84"/>
      <c r="N71" s="57">
        <f t="shared" si="1"/>
        <v>0</v>
      </c>
      <c r="P71" s="197" t="str">
        <f t="shared" si="10"/>
        <v>2100/150Traveling and accommodation</v>
      </c>
      <c r="Q71" s="79"/>
      <c r="S71" s="80"/>
      <c r="T71" s="60"/>
      <c r="U71" s="34"/>
    </row>
    <row r="72" spans="1:21" x14ac:dyDescent="0.2">
      <c r="A72" s="394"/>
      <c r="B72" s="114" t="s">
        <v>728</v>
      </c>
      <c r="C72" s="399"/>
      <c r="D72" s="407"/>
      <c r="E72" s="407"/>
      <c r="F72" s="185"/>
      <c r="G72" s="185"/>
      <c r="H72" s="185"/>
      <c r="I72" s="88"/>
      <c r="J72" s="348">
        <f>SUMIF(Journals!D$14:D$920,TrialBalance!P72,Journals!J$14:J$920)+SUMIF(Journals!E$14:E$920,TrialBalance!P72,Journals!J$14:J$920)</f>
        <v>0</v>
      </c>
      <c r="K72" s="409"/>
      <c r="L72" s="411">
        <f t="shared" si="6"/>
        <v>0</v>
      </c>
      <c r="M72" s="84"/>
      <c r="N72" s="57">
        <f t="shared" si="1"/>
        <v>0</v>
      </c>
      <c r="P72" s="197" t="str">
        <f t="shared" si="10"/>
        <v>2150/001</v>
      </c>
      <c r="Q72" s="79"/>
      <c r="S72" s="80"/>
      <c r="T72" s="60"/>
      <c r="U72" s="34"/>
    </row>
    <row r="73" spans="1:21" x14ac:dyDescent="0.2">
      <c r="A73" s="394"/>
      <c r="B73" s="114" t="s">
        <v>729</v>
      </c>
      <c r="C73" s="399"/>
      <c r="D73" s="407"/>
      <c r="E73" s="407"/>
      <c r="F73" s="185"/>
      <c r="G73" s="185"/>
      <c r="H73" s="185"/>
      <c r="I73" s="88"/>
      <c r="J73" s="348">
        <f>SUMIF(Journals!D$14:D$920,TrialBalance!P73,Journals!J$14:J$920)+SUMIF(Journals!E$14:E$920,TrialBalance!P73,Journals!J$14:J$920)</f>
        <v>0</v>
      </c>
      <c r="K73" s="409"/>
      <c r="L73" s="411">
        <f t="shared" si="6"/>
        <v>0</v>
      </c>
      <c r="M73" s="84"/>
      <c r="N73" s="57">
        <f t="shared" si="1"/>
        <v>0</v>
      </c>
      <c r="P73" s="197" t="str">
        <f t="shared" si="10"/>
        <v>2150/002</v>
      </c>
      <c r="Q73" s="79"/>
      <c r="S73" s="80"/>
      <c r="T73" s="60"/>
      <c r="U73" s="34"/>
    </row>
    <row r="74" spans="1:21" x14ac:dyDescent="0.2">
      <c r="A74" s="394"/>
      <c r="B74" s="114" t="s">
        <v>730</v>
      </c>
      <c r="C74" s="399"/>
      <c r="D74" s="407"/>
      <c r="E74" s="407"/>
      <c r="F74" s="185"/>
      <c r="G74" s="185"/>
      <c r="H74" s="185"/>
      <c r="I74" s="88"/>
      <c r="J74" s="348">
        <f>SUMIF(Journals!D$14:D$920,TrialBalance!P74,Journals!J$14:J$920)+SUMIF(Journals!E$14:E$920,TrialBalance!P74,Journals!J$14:J$920)</f>
        <v>0</v>
      </c>
      <c r="K74" s="409"/>
      <c r="L74" s="411">
        <f t="shared" si="6"/>
        <v>0</v>
      </c>
      <c r="M74" s="84"/>
      <c r="N74" s="57">
        <f t="shared" ref="N74:N138" si="11">ROUND(SUM(A74),0)</f>
        <v>0</v>
      </c>
      <c r="P74" s="197" t="str">
        <f t="shared" ref="P74:P107" si="12">CONCATENATE(B74,C74)</f>
        <v>2150/003</v>
      </c>
      <c r="Q74" s="79"/>
      <c r="S74" s="80"/>
      <c r="T74" s="60"/>
      <c r="U74" s="34"/>
    </row>
    <row r="75" spans="1:21" x14ac:dyDescent="0.2">
      <c r="A75" s="394"/>
      <c r="B75" s="114" t="s">
        <v>731</v>
      </c>
      <c r="C75" s="399"/>
      <c r="D75" s="407"/>
      <c r="E75" s="407"/>
      <c r="F75" s="185"/>
      <c r="G75" s="185"/>
      <c r="H75" s="185"/>
      <c r="I75" s="88"/>
      <c r="J75" s="348">
        <f>SUMIF(Journals!D$14:D$920,TrialBalance!P75,Journals!J$14:J$920)+SUMIF(Journals!E$14:E$920,TrialBalance!P75,Journals!J$14:J$920)</f>
        <v>0</v>
      </c>
      <c r="K75" s="409"/>
      <c r="L75" s="411">
        <f t="shared" si="6"/>
        <v>0</v>
      </c>
      <c r="M75" s="84"/>
      <c r="N75" s="57">
        <f t="shared" si="11"/>
        <v>0</v>
      </c>
      <c r="P75" s="197" t="str">
        <f t="shared" si="12"/>
        <v>2150/004</v>
      </c>
      <c r="Q75" s="79"/>
      <c r="S75" s="80"/>
      <c r="T75" s="60"/>
      <c r="U75" s="34"/>
    </row>
    <row r="76" spans="1:21" x14ac:dyDescent="0.2">
      <c r="A76" s="394"/>
      <c r="B76" s="114" t="s">
        <v>732</v>
      </c>
      <c r="C76" s="399"/>
      <c r="D76" s="407"/>
      <c r="E76" s="407"/>
      <c r="F76" s="185"/>
      <c r="G76" s="185"/>
      <c r="H76" s="185"/>
      <c r="I76" s="88"/>
      <c r="J76" s="348">
        <f>SUMIF(Journals!D$14:D$920,TrialBalance!P76,Journals!J$14:J$920)+SUMIF(Journals!E$14:E$920,TrialBalance!P76,Journals!J$14:J$920)</f>
        <v>0</v>
      </c>
      <c r="K76" s="409"/>
      <c r="L76" s="411">
        <f t="shared" ref="L76:L135" si="13">ROUND(D76-E76+F76+G76+H76+J76+I76,0)</f>
        <v>0</v>
      </c>
      <c r="M76" s="84"/>
      <c r="N76" s="57">
        <f t="shared" si="11"/>
        <v>0</v>
      </c>
      <c r="P76" s="197" t="str">
        <f t="shared" si="12"/>
        <v>2150/005</v>
      </c>
      <c r="Q76" s="79"/>
      <c r="S76" s="80"/>
      <c r="T76" s="60"/>
      <c r="U76" s="34"/>
    </row>
    <row r="77" spans="1:21" x14ac:dyDescent="0.2">
      <c r="A77" s="394"/>
      <c r="B77" s="114" t="s">
        <v>733</v>
      </c>
      <c r="C77" s="399"/>
      <c r="D77" s="407"/>
      <c r="E77" s="407"/>
      <c r="F77" s="185"/>
      <c r="G77" s="185"/>
      <c r="H77" s="185"/>
      <c r="I77" s="88"/>
      <c r="J77" s="348">
        <f>SUMIF(Journals!D$14:D$920,TrialBalance!P77,Journals!J$14:J$920)+SUMIF(Journals!E$14:E$920,TrialBalance!P77,Journals!J$14:J$920)</f>
        <v>0</v>
      </c>
      <c r="K77" s="409"/>
      <c r="L77" s="411">
        <f t="shared" si="13"/>
        <v>0</v>
      </c>
      <c r="M77" s="84"/>
      <c r="N77" s="57">
        <f t="shared" si="11"/>
        <v>0</v>
      </c>
      <c r="P77" s="197" t="str">
        <f t="shared" si="12"/>
        <v>2150/006</v>
      </c>
      <c r="Q77" s="79"/>
      <c r="S77" s="80"/>
      <c r="T77" s="60"/>
      <c r="U77" s="34"/>
    </row>
    <row r="78" spans="1:21" x14ac:dyDescent="0.2">
      <c r="A78" s="394"/>
      <c r="B78" s="114" t="s">
        <v>734</v>
      </c>
      <c r="C78" s="399"/>
      <c r="D78" s="407"/>
      <c r="E78" s="407"/>
      <c r="F78" s="185"/>
      <c r="G78" s="185"/>
      <c r="H78" s="185"/>
      <c r="I78" s="88"/>
      <c r="J78" s="348">
        <f>SUMIF(Journals!D$14:D$920,TrialBalance!P78,Journals!J$14:J$920)+SUMIF(Journals!E$14:E$920,TrialBalance!P78,Journals!J$14:J$920)</f>
        <v>0</v>
      </c>
      <c r="K78" s="409"/>
      <c r="L78" s="411">
        <f t="shared" si="13"/>
        <v>0</v>
      </c>
      <c r="M78" s="84"/>
      <c r="N78" s="57">
        <f t="shared" si="11"/>
        <v>0</v>
      </c>
      <c r="P78" s="197" t="str">
        <f t="shared" si="12"/>
        <v>2150/007</v>
      </c>
      <c r="Q78" s="79"/>
      <c r="S78" s="80"/>
      <c r="T78" s="60"/>
      <c r="U78" s="34"/>
    </row>
    <row r="79" spans="1:21" x14ac:dyDescent="0.2">
      <c r="A79" s="394"/>
      <c r="B79" s="114" t="s">
        <v>735</v>
      </c>
      <c r="C79" s="399"/>
      <c r="D79" s="407"/>
      <c r="E79" s="407"/>
      <c r="F79" s="185"/>
      <c r="G79" s="185"/>
      <c r="H79" s="185"/>
      <c r="I79" s="88"/>
      <c r="J79" s="348">
        <f>SUMIF(Journals!D$14:D$920,TrialBalance!P79,Journals!J$14:J$920)+SUMIF(Journals!E$14:E$920,TrialBalance!P79,Journals!J$14:J$920)</f>
        <v>0</v>
      </c>
      <c r="K79" s="409"/>
      <c r="L79" s="411">
        <f t="shared" si="13"/>
        <v>0</v>
      </c>
      <c r="M79" s="84"/>
      <c r="N79" s="57">
        <f t="shared" si="11"/>
        <v>0</v>
      </c>
      <c r="P79" s="197" t="str">
        <f t="shared" si="12"/>
        <v>2150/008</v>
      </c>
      <c r="Q79" s="79"/>
      <c r="S79" s="80"/>
      <c r="T79" s="60"/>
      <c r="U79" s="34"/>
    </row>
    <row r="80" spans="1:21" x14ac:dyDescent="0.2">
      <c r="A80" s="394"/>
      <c r="B80" s="114" t="s">
        <v>736</v>
      </c>
      <c r="C80" s="399"/>
      <c r="D80" s="407"/>
      <c r="E80" s="407"/>
      <c r="F80" s="185"/>
      <c r="G80" s="185"/>
      <c r="H80" s="185"/>
      <c r="I80" s="88"/>
      <c r="J80" s="348">
        <f>SUMIF(Journals!D$14:D$920,TrialBalance!P80,Journals!J$14:J$920)+SUMIF(Journals!E$14:E$920,TrialBalance!P80,Journals!J$14:J$920)</f>
        <v>0</v>
      </c>
      <c r="K80" s="409"/>
      <c r="L80" s="411">
        <f t="shared" si="13"/>
        <v>0</v>
      </c>
      <c r="M80" s="84"/>
      <c r="N80" s="57">
        <f t="shared" si="11"/>
        <v>0</v>
      </c>
      <c r="P80" s="197" t="str">
        <f t="shared" si="12"/>
        <v>2150/009</v>
      </c>
      <c r="Q80" s="79"/>
      <c r="S80" s="80"/>
      <c r="T80" s="60"/>
      <c r="U80" s="34"/>
    </row>
    <row r="81" spans="1:21" x14ac:dyDescent="0.2">
      <c r="A81" s="394"/>
      <c r="B81" s="114" t="s">
        <v>737</v>
      </c>
      <c r="C81" s="399"/>
      <c r="D81" s="407"/>
      <c r="E81" s="407"/>
      <c r="F81" s="185"/>
      <c r="G81" s="185"/>
      <c r="H81" s="185"/>
      <c r="I81" s="88"/>
      <c r="J81" s="348">
        <f>SUMIF(Journals!D$14:D$920,TrialBalance!P81,Journals!J$14:J$920)+SUMIF(Journals!E$14:E$920,TrialBalance!P81,Journals!J$14:J$920)</f>
        <v>0</v>
      </c>
      <c r="K81" s="409"/>
      <c r="L81" s="411">
        <f t="shared" si="13"/>
        <v>0</v>
      </c>
      <c r="M81" s="84"/>
      <c r="N81" s="57">
        <f t="shared" si="11"/>
        <v>0</v>
      </c>
      <c r="P81" s="197" t="str">
        <f t="shared" si="12"/>
        <v>2150/010</v>
      </c>
      <c r="Q81" s="79"/>
      <c r="S81" s="80"/>
      <c r="T81" s="60"/>
      <c r="U81" s="34"/>
    </row>
    <row r="82" spans="1:21" x14ac:dyDescent="0.2">
      <c r="A82" s="394"/>
      <c r="B82" s="63" t="s">
        <v>22</v>
      </c>
      <c r="C82" s="397" t="s">
        <v>139</v>
      </c>
      <c r="D82" s="406"/>
      <c r="E82" s="407"/>
      <c r="F82" s="185"/>
      <c r="G82" s="185"/>
      <c r="H82" s="185"/>
      <c r="I82" s="88"/>
      <c r="J82" s="348">
        <f>SUMIF(Journals!D$14:D$920,TrialBalance!P82,Journals!J$14:J$920)+SUMIF(Journals!E$14:E$920,TrialBalance!P82,Journals!J$14:J$920)</f>
        <v>0</v>
      </c>
      <c r="K82" s="409"/>
      <c r="L82" s="411">
        <f t="shared" si="13"/>
        <v>0</v>
      </c>
      <c r="M82" s="84"/>
      <c r="N82" s="57">
        <f t="shared" si="11"/>
        <v>0</v>
      </c>
      <c r="P82" s="197" t="str">
        <f t="shared" si="12"/>
        <v>2500/000OTHER INCOME</v>
      </c>
      <c r="Q82" s="79"/>
      <c r="S82" s="80"/>
      <c r="T82" s="60"/>
      <c r="U82" s="34"/>
    </row>
    <row r="83" spans="1:21" x14ac:dyDescent="0.2">
      <c r="A83" s="394"/>
      <c r="B83" s="63" t="s">
        <v>432</v>
      </c>
      <c r="C83" s="396" t="s">
        <v>992</v>
      </c>
      <c r="D83" s="407"/>
      <c r="E83" s="407"/>
      <c r="F83" s="185"/>
      <c r="G83" s="185"/>
      <c r="H83" s="185"/>
      <c r="I83" s="88"/>
      <c r="J83" s="348">
        <f>SUMIF(Journals!D$14:D$920,TrialBalance!P83,Journals!J$14:J$920)+SUMIF(Journals!E$14:E$920,TrialBalance!P83,Journals!J$14:J$920)</f>
        <v>0</v>
      </c>
      <c r="K83" s="409"/>
      <c r="L83" s="411">
        <f t="shared" si="13"/>
        <v>0</v>
      </c>
      <c r="M83" s="84"/>
      <c r="N83" s="57">
        <f t="shared" si="11"/>
        <v>0</v>
      </c>
      <c r="P83" s="197" t="str">
        <f t="shared" si="12"/>
        <v>2710/000Rent received (not main income)</v>
      </c>
      <c r="Q83" s="79"/>
      <c r="S83" s="80"/>
      <c r="T83" s="60"/>
      <c r="U83" s="34"/>
    </row>
    <row r="84" spans="1:21" x14ac:dyDescent="0.2">
      <c r="A84" s="394"/>
      <c r="B84" s="63" t="s">
        <v>94</v>
      </c>
      <c r="C84" s="397" t="s">
        <v>993</v>
      </c>
      <c r="D84" s="406"/>
      <c r="E84" s="407"/>
      <c r="F84" s="185"/>
      <c r="G84" s="185"/>
      <c r="H84" s="185"/>
      <c r="I84" s="88"/>
      <c r="J84" s="348">
        <f>SUMIF(Journals!D$14:D$920,TrialBalance!P84,Journals!J$14:J$920)+SUMIF(Journals!E$14:E$920,TrialBalance!P84,Journals!J$14:J$920)</f>
        <v>0</v>
      </c>
      <c r="K84" s="409"/>
      <c r="L84" s="411">
        <f t="shared" si="13"/>
        <v>0</v>
      </c>
      <c r="M84" s="84"/>
      <c r="N84" s="57">
        <f t="shared" si="11"/>
        <v>0</v>
      </c>
      <c r="P84" s="197" t="str">
        <f t="shared" si="12"/>
        <v>2750/000Interest received--------------------------</v>
      </c>
      <c r="Q84" s="79"/>
      <c r="S84" s="80"/>
      <c r="T84" s="60"/>
      <c r="U84" s="34"/>
    </row>
    <row r="85" spans="1:21" x14ac:dyDescent="0.2">
      <c r="A85" s="394"/>
      <c r="B85" s="63" t="s">
        <v>95</v>
      </c>
      <c r="C85" s="399"/>
      <c r="D85" s="407"/>
      <c r="E85" s="407"/>
      <c r="F85" s="185"/>
      <c r="G85" s="185"/>
      <c r="H85" s="185"/>
      <c r="I85" s="88"/>
      <c r="J85" s="348">
        <f>SUMIF(Journals!D$14:D$920,TrialBalance!P85,Journals!J$14:J$920)+SUMIF(Journals!E$14:E$920,TrialBalance!P85,Journals!J$14:J$920)</f>
        <v>0</v>
      </c>
      <c r="K85" s="409"/>
      <c r="L85" s="411">
        <f t="shared" si="13"/>
        <v>0</v>
      </c>
      <c r="M85" s="84"/>
      <c r="N85" s="57">
        <f t="shared" si="11"/>
        <v>0</v>
      </c>
      <c r="P85" s="197" t="str">
        <f t="shared" si="12"/>
        <v>2750/001</v>
      </c>
      <c r="Q85" s="79"/>
      <c r="S85" s="80"/>
      <c r="T85" s="60"/>
      <c r="U85" s="34"/>
    </row>
    <row r="86" spans="1:21" x14ac:dyDescent="0.2">
      <c r="A86" s="394"/>
      <c r="B86" s="63" t="s">
        <v>96</v>
      </c>
      <c r="C86" s="399"/>
      <c r="D86" s="407"/>
      <c r="E86" s="407"/>
      <c r="F86" s="185"/>
      <c r="G86" s="185"/>
      <c r="H86" s="185"/>
      <c r="I86" s="88"/>
      <c r="J86" s="348">
        <f>SUMIF(Journals!D$14:D$920,TrialBalance!P86,Journals!J$14:J$920)+SUMIF(Journals!E$14:E$920,TrialBalance!P86,Journals!J$14:J$920)</f>
        <v>0</v>
      </c>
      <c r="K86" s="409"/>
      <c r="L86" s="411">
        <f t="shared" si="13"/>
        <v>0</v>
      </c>
      <c r="M86" s="84"/>
      <c r="N86" s="57">
        <f t="shared" si="11"/>
        <v>0</v>
      </c>
      <c r="P86" s="197" t="str">
        <f t="shared" si="12"/>
        <v>2750/002</v>
      </c>
      <c r="Q86" s="79"/>
      <c r="S86" s="80"/>
      <c r="T86" s="60"/>
      <c r="U86" s="34"/>
    </row>
    <row r="87" spans="1:21" x14ac:dyDescent="0.2">
      <c r="A87" s="394"/>
      <c r="B87" s="63" t="s">
        <v>97</v>
      </c>
      <c r="C87" s="399"/>
      <c r="D87" s="406"/>
      <c r="E87" s="407"/>
      <c r="F87" s="185"/>
      <c r="G87" s="185"/>
      <c r="H87" s="185"/>
      <c r="I87" s="88"/>
      <c r="J87" s="348">
        <f>SUMIF(Journals!D$14:D$920,TrialBalance!P87,Journals!J$14:J$920)+SUMIF(Journals!E$14:E$920,TrialBalance!P87,Journals!J$14:J$920)</f>
        <v>0</v>
      </c>
      <c r="K87" s="409"/>
      <c r="L87" s="411">
        <f t="shared" si="13"/>
        <v>0</v>
      </c>
      <c r="M87" s="84"/>
      <c r="N87" s="57">
        <f t="shared" si="11"/>
        <v>0</v>
      </c>
      <c r="P87" s="197" t="str">
        <f t="shared" si="12"/>
        <v>2750/003</v>
      </c>
      <c r="Q87" s="79"/>
      <c r="S87" s="80"/>
      <c r="T87" s="60"/>
      <c r="U87" s="34"/>
    </row>
    <row r="88" spans="1:21" x14ac:dyDescent="0.2">
      <c r="A88" s="394"/>
      <c r="B88" s="63" t="s">
        <v>98</v>
      </c>
      <c r="C88" s="399"/>
      <c r="D88" s="406"/>
      <c r="E88" s="407"/>
      <c r="F88" s="185"/>
      <c r="G88" s="185"/>
      <c r="H88" s="185"/>
      <c r="I88" s="88"/>
      <c r="J88" s="348">
        <f>SUMIF(Journals!D$14:D$920,TrialBalance!P88,Journals!J$14:J$920)+SUMIF(Journals!E$14:E$920,TrialBalance!P88,Journals!J$14:J$920)</f>
        <v>0</v>
      </c>
      <c r="K88" s="409"/>
      <c r="L88" s="411">
        <f t="shared" si="13"/>
        <v>0</v>
      </c>
      <c r="M88" s="84"/>
      <c r="N88" s="57">
        <f t="shared" si="11"/>
        <v>0</v>
      </c>
      <c r="P88" s="197" t="str">
        <f t="shared" si="12"/>
        <v>2750/004</v>
      </c>
      <c r="Q88" s="79"/>
      <c r="S88" s="80"/>
      <c r="T88" s="60"/>
      <c r="U88" s="34"/>
    </row>
    <row r="89" spans="1:21" x14ac:dyDescent="0.2">
      <c r="A89" s="394"/>
      <c r="B89" s="63" t="s">
        <v>230</v>
      </c>
      <c r="C89" s="397" t="s">
        <v>721</v>
      </c>
      <c r="D89" s="406"/>
      <c r="E89" s="407"/>
      <c r="F89" s="185"/>
      <c r="G89" s="185"/>
      <c r="H89" s="185"/>
      <c r="I89" s="88"/>
      <c r="J89" s="348">
        <f>SUMIF(Journals!D$14:D$920,TrialBalance!P89,Journals!J$14:J$920)+SUMIF(Journals!E$14:E$920,TrialBalance!P89,Journals!J$14:J$920)</f>
        <v>0</v>
      </c>
      <c r="K89" s="409"/>
      <c r="L89" s="411">
        <f t="shared" si="13"/>
        <v>0</v>
      </c>
      <c r="M89" s="84"/>
      <c r="N89" s="57">
        <f t="shared" si="11"/>
        <v>0</v>
      </c>
      <c r="P89" s="197" t="str">
        <f t="shared" si="12"/>
        <v>2800/000Dividends received------------------------</v>
      </c>
      <c r="Q89" s="79"/>
      <c r="S89" s="80"/>
      <c r="T89" s="60"/>
      <c r="U89" s="34"/>
    </row>
    <row r="90" spans="1:21" x14ac:dyDescent="0.2">
      <c r="A90" s="394"/>
      <c r="B90" s="63" t="s">
        <v>362</v>
      </c>
      <c r="C90" s="398" t="s">
        <v>915</v>
      </c>
      <c r="D90" s="406"/>
      <c r="E90" s="407"/>
      <c r="F90" s="185"/>
      <c r="G90" s="185"/>
      <c r="H90" s="185"/>
      <c r="I90" s="88"/>
      <c r="J90" s="348">
        <f>SUMIF(Journals!D$14:D$920,TrialBalance!P90,Journals!J$14:J$920)+SUMIF(Journals!E$14:E$920,TrialBalance!P90,Journals!J$14:J$920)</f>
        <v>0</v>
      </c>
      <c r="K90" s="409"/>
      <c r="L90" s="411">
        <f t="shared" si="13"/>
        <v>0</v>
      </c>
      <c r="M90" s="84"/>
      <c r="N90" s="57">
        <f t="shared" si="11"/>
        <v>0</v>
      </c>
      <c r="P90" s="197" t="str">
        <f t="shared" si="12"/>
        <v>2800/001Div.'s received - SA sources</v>
      </c>
      <c r="Q90" s="79"/>
      <c r="S90" s="80"/>
      <c r="T90" s="60"/>
      <c r="U90" s="34"/>
    </row>
    <row r="91" spans="1:21" x14ac:dyDescent="0.2">
      <c r="A91" s="394"/>
      <c r="B91" s="63" t="s">
        <v>240</v>
      </c>
      <c r="C91" s="398" t="s">
        <v>1320</v>
      </c>
      <c r="D91" s="406"/>
      <c r="E91" s="407"/>
      <c r="F91" s="185"/>
      <c r="G91" s="185"/>
      <c r="H91" s="185"/>
      <c r="I91" s="88"/>
      <c r="J91" s="348">
        <f>SUMIF(Journals!D$14:D$920,TrialBalance!P91,Journals!J$14:J$920)+SUMIF(Journals!E$14:E$920,TrialBalance!P91,Journals!J$14:J$920)</f>
        <v>0</v>
      </c>
      <c r="K91" s="409"/>
      <c r="L91" s="411">
        <f t="shared" ref="L91" si="14">ROUND(D91-E91+F91+G91+H91+J91+I91,0)</f>
        <v>0</v>
      </c>
      <c r="M91" s="84"/>
      <c r="N91" s="57">
        <f t="shared" ref="N91" si="15">ROUND(SUM(A91),0)</f>
        <v>0</v>
      </c>
      <c r="P91" s="197" t="str">
        <f t="shared" ref="P91" si="16">CONCATENATE(B91,C91)</f>
        <v>2800/002Div.'s received - Associates</v>
      </c>
      <c r="Q91" s="79"/>
      <c r="S91" s="80"/>
      <c r="T91" s="60"/>
      <c r="U91" s="34"/>
    </row>
    <row r="92" spans="1:21" x14ac:dyDescent="0.2">
      <c r="A92" s="394"/>
      <c r="B92" s="114" t="s">
        <v>1319</v>
      </c>
      <c r="C92" s="398" t="s">
        <v>916</v>
      </c>
      <c r="D92" s="406"/>
      <c r="E92" s="407"/>
      <c r="F92" s="185"/>
      <c r="G92" s="185"/>
      <c r="H92" s="185"/>
      <c r="I92" s="88"/>
      <c r="J92" s="348">
        <f>SUMIF(Journals!D$14:D$920,TrialBalance!P92,Journals!J$14:J$920)+SUMIF(Journals!E$14:E$920,TrialBalance!P92,Journals!J$14:J$920)</f>
        <v>0</v>
      </c>
      <c r="K92" s="409"/>
      <c r="L92" s="411">
        <f t="shared" si="13"/>
        <v>0</v>
      </c>
      <c r="M92" s="84"/>
      <c r="N92" s="57">
        <f t="shared" si="11"/>
        <v>0</v>
      </c>
      <c r="P92" s="197" t="str">
        <f t="shared" si="12"/>
        <v>2800/003Div.'s received - Foreign div.'s</v>
      </c>
      <c r="Q92" s="79"/>
      <c r="S92" s="80"/>
      <c r="T92" s="60"/>
      <c r="U92" s="34"/>
    </row>
    <row r="93" spans="1:21" x14ac:dyDescent="0.2">
      <c r="A93" s="394"/>
      <c r="B93" s="63" t="s">
        <v>241</v>
      </c>
      <c r="C93" s="398" t="s">
        <v>776</v>
      </c>
      <c r="D93" s="406"/>
      <c r="E93" s="407"/>
      <c r="F93" s="185"/>
      <c r="G93" s="185"/>
      <c r="H93" s="185"/>
      <c r="I93" s="88"/>
      <c r="J93" s="348">
        <f>SUMIF(Journals!D$14:D$920,TrialBalance!P93,Journals!J$14:J$920)+SUMIF(Journals!E$14:E$920,TrialBalance!P93,Journals!J$14:J$920)</f>
        <v>0</v>
      </c>
      <c r="K93" s="409"/>
      <c r="L93" s="411">
        <f t="shared" si="13"/>
        <v>0</v>
      </c>
      <c r="M93" s="84"/>
      <c r="N93" s="57">
        <f t="shared" si="11"/>
        <v>0</v>
      </c>
      <c r="P93" s="197" t="str">
        <f t="shared" si="12"/>
        <v>2810/000(Profit)/Loss on sale of fixed assets</v>
      </c>
      <c r="Q93" s="79"/>
      <c r="S93" s="80"/>
      <c r="T93" s="60"/>
      <c r="U93" s="34"/>
    </row>
    <row r="94" spans="1:21" x14ac:dyDescent="0.2">
      <c r="A94" s="394"/>
      <c r="B94" s="63" t="s">
        <v>242</v>
      </c>
      <c r="C94" s="395" t="s">
        <v>243</v>
      </c>
      <c r="D94" s="406"/>
      <c r="E94" s="407"/>
      <c r="F94" s="185"/>
      <c r="G94" s="185"/>
      <c r="H94" s="185"/>
      <c r="I94" s="88"/>
      <c r="J94" s="348">
        <f>SUMIF(Journals!D$14:D$920,TrialBalance!P94,Journals!J$14:J$920)+SUMIF(Journals!E$14:E$920,TrialBalance!P94,Journals!J$14:J$920)</f>
        <v>0</v>
      </c>
      <c r="K94" s="409"/>
      <c r="L94" s="411">
        <f t="shared" si="13"/>
        <v>0</v>
      </c>
      <c r="M94" s="84"/>
      <c r="N94" s="57">
        <f t="shared" si="11"/>
        <v>0</v>
      </c>
      <c r="P94" s="197" t="str">
        <f t="shared" si="12"/>
        <v>2820/000Bad debts recovered</v>
      </c>
      <c r="Q94" s="79"/>
      <c r="S94" s="80"/>
      <c r="T94" s="60"/>
      <c r="U94" s="34"/>
    </row>
    <row r="95" spans="1:21" x14ac:dyDescent="0.2">
      <c r="A95" s="394"/>
      <c r="B95" s="63" t="s">
        <v>244</v>
      </c>
      <c r="C95" s="395" t="s">
        <v>245</v>
      </c>
      <c r="D95" s="406"/>
      <c r="E95" s="407"/>
      <c r="F95" s="185"/>
      <c r="G95" s="185"/>
      <c r="H95" s="185"/>
      <c r="I95" s="88"/>
      <c r="J95" s="348">
        <f>SUMIF(Journals!D$14:D$920,TrialBalance!P95,Journals!J$14:J$920)+SUMIF(Journals!E$14:E$920,TrialBalance!P95,Journals!J$14:J$920)</f>
        <v>0</v>
      </c>
      <c r="K95" s="409"/>
      <c r="L95" s="411">
        <f t="shared" si="13"/>
        <v>0</v>
      </c>
      <c r="M95" s="84"/>
      <c r="N95" s="57">
        <f t="shared" si="11"/>
        <v>0</v>
      </c>
      <c r="P95" s="197" t="str">
        <f t="shared" si="12"/>
        <v>2830/000Other income</v>
      </c>
      <c r="Q95" s="79"/>
      <c r="S95" s="60"/>
      <c r="T95" s="60"/>
      <c r="U95" s="34"/>
    </row>
    <row r="96" spans="1:21" x14ac:dyDescent="0.2">
      <c r="A96" s="394"/>
      <c r="B96" s="114" t="s">
        <v>1546</v>
      </c>
      <c r="C96" s="398" t="s">
        <v>1547</v>
      </c>
      <c r="D96" s="406"/>
      <c r="E96" s="407"/>
      <c r="F96" s="185"/>
      <c r="G96" s="185"/>
      <c r="H96" s="185"/>
      <c r="I96" s="88"/>
      <c r="J96" s="348">
        <f>SUMIF(Journals!D$14:D$920,TrialBalance!P96,Journals!J$14:J$920)+SUMIF(Journals!E$14:E$920,TrialBalance!P96,Journals!J$14:J$920)</f>
        <v>0</v>
      </c>
      <c r="K96" s="409"/>
      <c r="L96" s="411">
        <f t="shared" ref="L96" si="17">ROUND(D96-E96+F96+G96+H96+J96+I96,0)</f>
        <v>0</v>
      </c>
      <c r="M96" s="84"/>
      <c r="N96" s="57">
        <f t="shared" ref="N96" si="18">ROUND(SUM(A96),0)</f>
        <v>0</v>
      </c>
      <c r="P96" s="197" t="str">
        <f t="shared" ref="P96" si="19">CONCATENATE(B96,C96)</f>
        <v>2840/000Revaluation of investment property</v>
      </c>
      <c r="Q96" s="79"/>
      <c r="S96" s="60"/>
      <c r="T96" s="60"/>
      <c r="U96" s="34"/>
    </row>
    <row r="97" spans="1:21" x14ac:dyDescent="0.2">
      <c r="A97" s="394"/>
      <c r="B97" s="63" t="s">
        <v>246</v>
      </c>
      <c r="C97" s="397" t="s">
        <v>1304</v>
      </c>
      <c r="D97" s="406"/>
      <c r="E97" s="407"/>
      <c r="F97" s="185"/>
      <c r="G97" s="185"/>
      <c r="H97" s="185"/>
      <c r="I97" s="88"/>
      <c r="J97" s="348">
        <f>SUMIF(Journals!D$14:D$920,TrialBalance!P97,Journals!J$14:J$920)+SUMIF(Journals!E$14:E$920,TrialBalance!P97,Journals!J$14:J$920)</f>
        <v>0</v>
      </c>
      <c r="K97" s="409"/>
      <c r="L97" s="411">
        <f t="shared" si="13"/>
        <v>0</v>
      </c>
      <c r="M97" s="84"/>
      <c r="N97" s="57">
        <f t="shared" si="11"/>
        <v>0</v>
      </c>
      <c r="P97" s="197" t="str">
        <f t="shared" si="12"/>
        <v>3000/000ADMINISTRATIVE EXPENSES</v>
      </c>
      <c r="Q97" s="79"/>
      <c r="S97" s="80"/>
      <c r="T97" s="60"/>
      <c r="U97" s="34"/>
    </row>
    <row r="98" spans="1:21" x14ac:dyDescent="0.2">
      <c r="A98" s="394"/>
      <c r="B98" s="63" t="s">
        <v>247</v>
      </c>
      <c r="C98" s="395" t="s">
        <v>248</v>
      </c>
      <c r="D98" s="406"/>
      <c r="E98" s="407"/>
      <c r="F98" s="185"/>
      <c r="G98" s="185"/>
      <c r="H98" s="185"/>
      <c r="I98" s="88"/>
      <c r="J98" s="348">
        <f>SUMIF(Journals!D$14:D$920,TrialBalance!P98,Journals!J$14:J$920)+SUMIF(Journals!E$14:E$920,TrialBalance!P98,Journals!J$14:J$920)</f>
        <v>0</v>
      </c>
      <c r="K98" s="409"/>
      <c r="L98" s="411">
        <f t="shared" si="13"/>
        <v>0</v>
      </c>
      <c r="M98" s="84"/>
      <c r="N98" s="57">
        <f t="shared" si="11"/>
        <v>0</v>
      </c>
      <c r="P98" s="197" t="str">
        <f t="shared" si="12"/>
        <v>3000/011Audit fees for current year</v>
      </c>
      <c r="Q98" s="79"/>
      <c r="S98" s="60"/>
      <c r="T98" s="60"/>
      <c r="U98" s="34"/>
    </row>
    <row r="99" spans="1:21" x14ac:dyDescent="0.2">
      <c r="A99" s="394"/>
      <c r="B99" s="63" t="s">
        <v>249</v>
      </c>
      <c r="C99" s="402" t="s">
        <v>421</v>
      </c>
      <c r="D99" s="407"/>
      <c r="E99" s="407"/>
      <c r="F99" s="185"/>
      <c r="G99" s="185"/>
      <c r="H99" s="185"/>
      <c r="I99" s="88"/>
      <c r="J99" s="348">
        <f>SUMIF(Journals!D$14:D$920,TrialBalance!P99,Journals!J$14:J$920)+SUMIF(Journals!E$14:E$920,TrialBalance!P99,Journals!J$14:J$920)</f>
        <v>0</v>
      </c>
      <c r="K99" s="409"/>
      <c r="L99" s="411">
        <f t="shared" si="13"/>
        <v>0</v>
      </c>
      <c r="M99" s="84"/>
      <c r="N99" s="57">
        <f t="shared" si="11"/>
        <v>0</v>
      </c>
      <c r="P99" s="197" t="str">
        <f t="shared" si="12"/>
        <v>3000/012Under provision previous year</v>
      </c>
      <c r="Q99" s="79"/>
      <c r="S99" s="80"/>
      <c r="T99" s="60"/>
      <c r="U99" s="34"/>
    </row>
    <row r="100" spans="1:21" x14ac:dyDescent="0.2">
      <c r="A100" s="394"/>
      <c r="B100" s="63" t="s">
        <v>250</v>
      </c>
      <c r="C100" s="395" t="s">
        <v>251</v>
      </c>
      <c r="D100" s="406"/>
      <c r="E100" s="407"/>
      <c r="F100" s="185"/>
      <c r="G100" s="185"/>
      <c r="H100" s="185"/>
      <c r="I100" s="88"/>
      <c r="J100" s="348">
        <f>SUMIF(Journals!D$14:D$920,TrialBalance!P100,Journals!J$14:J$920)+SUMIF(Journals!E$14:E$920,TrialBalance!P100,Journals!J$14:J$920)</f>
        <v>0</v>
      </c>
      <c r="K100" s="409"/>
      <c r="L100" s="411">
        <f t="shared" si="13"/>
        <v>0</v>
      </c>
      <c r="M100" s="84"/>
      <c r="N100" s="57">
        <f t="shared" si="11"/>
        <v>0</v>
      </c>
      <c r="P100" s="197" t="str">
        <f t="shared" si="12"/>
        <v>3000/013Overprovision previous year</v>
      </c>
      <c r="Q100" s="79"/>
      <c r="S100" s="80"/>
      <c r="T100" s="60"/>
      <c r="U100" s="34"/>
    </row>
    <row r="101" spans="1:21" x14ac:dyDescent="0.2">
      <c r="A101" s="394"/>
      <c r="B101" s="63" t="s">
        <v>252</v>
      </c>
      <c r="C101" s="395" t="s">
        <v>253</v>
      </c>
      <c r="D101" s="406"/>
      <c r="E101" s="407"/>
      <c r="F101" s="185"/>
      <c r="G101" s="185"/>
      <c r="H101" s="185"/>
      <c r="I101" s="88"/>
      <c r="J101" s="348">
        <f>SUMIF(Journals!D$14:D$920,TrialBalance!P101,Journals!J$14:J$920)+SUMIF(Journals!E$14:E$920,TrialBalance!P101,Journals!J$14:J$920)</f>
        <v>0</v>
      </c>
      <c r="K101" s="409"/>
      <c r="L101" s="411">
        <f t="shared" si="13"/>
        <v>0</v>
      </c>
      <c r="M101" s="84"/>
      <c r="N101" s="57">
        <f t="shared" si="11"/>
        <v>0</v>
      </c>
      <c r="P101" s="197" t="str">
        <f t="shared" si="12"/>
        <v>3000/014Accounting fees</v>
      </c>
      <c r="Q101" s="79"/>
      <c r="S101" s="80"/>
      <c r="T101" s="60"/>
      <c r="U101" s="34"/>
    </row>
    <row r="102" spans="1:21" x14ac:dyDescent="0.2">
      <c r="A102" s="394"/>
      <c r="B102" s="63" t="s">
        <v>254</v>
      </c>
      <c r="C102" s="395" t="s">
        <v>255</v>
      </c>
      <c r="D102" s="406"/>
      <c r="E102" s="407"/>
      <c r="F102" s="185"/>
      <c r="G102" s="185"/>
      <c r="H102" s="185"/>
      <c r="I102" s="88"/>
      <c r="J102" s="348">
        <f>SUMIF(Journals!D$14:D$920,TrialBalance!P102,Journals!J$14:J$920)+SUMIF(Journals!E$14:E$920,TrialBalance!P102,Journals!J$14:J$920)</f>
        <v>0</v>
      </c>
      <c r="K102" s="409"/>
      <c r="L102" s="411">
        <f>ROUND(D102-E102+F102+G102+H102+J102+I102,0)</f>
        <v>0</v>
      </c>
      <c r="M102" s="84"/>
      <c r="N102" s="57">
        <f t="shared" si="11"/>
        <v>0</v>
      </c>
      <c r="P102" s="197" t="str">
        <f t="shared" si="12"/>
        <v>3000/020Bank charges</v>
      </c>
      <c r="Q102" s="79"/>
      <c r="S102" s="80"/>
      <c r="T102" s="60"/>
      <c r="U102" s="34"/>
    </row>
    <row r="103" spans="1:21" x14ac:dyDescent="0.2">
      <c r="A103" s="394"/>
      <c r="B103" s="63" t="s">
        <v>256</v>
      </c>
      <c r="C103" s="395" t="s">
        <v>257</v>
      </c>
      <c r="D103" s="406"/>
      <c r="E103" s="407"/>
      <c r="F103" s="185"/>
      <c r="G103" s="185"/>
      <c r="H103" s="185"/>
      <c r="I103" s="88"/>
      <c r="J103" s="348">
        <f>SUMIF(Journals!D$14:D$920,TrialBalance!P103,Journals!J$14:J$920)+SUMIF(Journals!E$14:E$920,TrialBalance!P103,Journals!J$14:J$920)</f>
        <v>0</v>
      </c>
      <c r="K103" s="409"/>
      <c r="L103" s="411">
        <f t="shared" si="13"/>
        <v>0</v>
      </c>
      <c r="M103" s="84"/>
      <c r="N103" s="57">
        <f t="shared" si="11"/>
        <v>0</v>
      </c>
      <c r="P103" s="197" t="str">
        <f t="shared" si="12"/>
        <v>3000/030Bad debts</v>
      </c>
      <c r="Q103" s="79"/>
      <c r="S103" s="80"/>
      <c r="T103" s="60"/>
      <c r="U103" s="34"/>
    </row>
    <row r="104" spans="1:21" x14ac:dyDescent="0.2">
      <c r="A104" s="394"/>
      <c r="B104" s="63" t="s">
        <v>258</v>
      </c>
      <c r="C104" s="395" t="s">
        <v>314</v>
      </c>
      <c r="D104" s="406"/>
      <c r="E104" s="407"/>
      <c r="F104" s="185"/>
      <c r="G104" s="185"/>
      <c r="H104" s="185"/>
      <c r="I104" s="88"/>
      <c r="J104" s="348">
        <f>SUMIF(Journals!D$14:D$920,TrialBalance!P104,Journals!J$14:J$920)+SUMIF(Journals!E$14:E$920,TrialBalance!P104,Journals!J$14:J$920)</f>
        <v>0</v>
      </c>
      <c r="K104" s="409"/>
      <c r="L104" s="411">
        <f t="shared" si="13"/>
        <v>0</v>
      </c>
      <c r="M104" s="84"/>
      <c r="N104" s="57">
        <f t="shared" si="11"/>
        <v>0</v>
      </c>
      <c r="P104" s="197" t="str">
        <f t="shared" si="12"/>
        <v>3000/040Cleaning</v>
      </c>
      <c r="Q104" s="79"/>
      <c r="S104" s="80"/>
      <c r="T104" s="60"/>
      <c r="U104" s="34"/>
    </row>
    <row r="105" spans="1:21" x14ac:dyDescent="0.2">
      <c r="A105" s="394"/>
      <c r="B105" s="63" t="s">
        <v>259</v>
      </c>
      <c r="C105" s="395" t="s">
        <v>260</v>
      </c>
      <c r="D105" s="406"/>
      <c r="E105" s="407"/>
      <c r="F105" s="185"/>
      <c r="G105" s="185"/>
      <c r="H105" s="185"/>
      <c r="I105" s="88"/>
      <c r="J105" s="348">
        <f>SUMIF(Journals!D$14:D$920,TrialBalance!P105,Journals!J$14:J$920)+SUMIF(Journals!E$14:E$920,TrialBalance!P105,Journals!J$14:J$920)</f>
        <v>0</v>
      </c>
      <c r="K105" s="409"/>
      <c r="L105" s="411">
        <f t="shared" si="13"/>
        <v>0</v>
      </c>
      <c r="M105" s="84"/>
      <c r="N105" s="57">
        <f t="shared" si="11"/>
        <v>0</v>
      </c>
      <c r="P105" s="197" t="str">
        <f t="shared" si="12"/>
        <v>3000/050Computer expenses</v>
      </c>
      <c r="Q105" s="79"/>
      <c r="S105" s="80"/>
      <c r="T105" s="60"/>
      <c r="U105" s="34"/>
    </row>
    <row r="106" spans="1:21" x14ac:dyDescent="0.2">
      <c r="A106" s="394"/>
      <c r="B106" s="114" t="s">
        <v>837</v>
      </c>
      <c r="C106" s="398" t="s">
        <v>935</v>
      </c>
      <c r="D106" s="406"/>
      <c r="E106" s="407"/>
      <c r="F106" s="185"/>
      <c r="G106" s="185"/>
      <c r="H106" s="185"/>
      <c r="I106" s="88"/>
      <c r="J106" s="348">
        <f>SUMIF(Journals!D$14:D$920,TrialBalance!P106,Journals!J$14:J$920)+SUMIF(Journals!E$14:E$920,TrialBalance!P106,Journals!J$14:J$920)</f>
        <v>0</v>
      </c>
      <c r="K106" s="409"/>
      <c r="L106" s="411">
        <f t="shared" ref="L106" si="20">ROUND(D106-E106+F106+G106+H106+J106+I106,0)</f>
        <v>0</v>
      </c>
      <c r="M106" s="84"/>
      <c r="N106" s="57">
        <f t="shared" si="11"/>
        <v>0</v>
      </c>
      <c r="P106" s="197" t="str">
        <f t="shared" si="12"/>
        <v>3000/055Consulting and professional fees</v>
      </c>
      <c r="Q106" s="79"/>
      <c r="S106" s="80"/>
      <c r="T106" s="60"/>
      <c r="U106" s="34"/>
    </row>
    <row r="107" spans="1:21" x14ac:dyDescent="0.2">
      <c r="A107" s="394"/>
      <c r="B107" s="63" t="s">
        <v>261</v>
      </c>
      <c r="C107" s="397" t="s">
        <v>719</v>
      </c>
      <c r="D107" s="406"/>
      <c r="E107" s="407"/>
      <c r="F107" s="185"/>
      <c r="G107" s="185"/>
      <c r="H107" s="185"/>
      <c r="I107" s="88"/>
      <c r="J107" s="348">
        <f>SUMIF(Journals!D$14:D$920,TrialBalance!P107,Journals!J$14:J$920)+SUMIF(Journals!E$14:E$920,TrialBalance!P107,Journals!J$14:J$920)</f>
        <v>0</v>
      </c>
      <c r="K107" s="409"/>
      <c r="L107" s="411">
        <f t="shared" si="13"/>
        <v>0</v>
      </c>
      <c r="M107" s="84"/>
      <c r="N107" s="57">
        <f t="shared" si="11"/>
        <v>0</v>
      </c>
      <c r="P107" s="197" t="str">
        <f t="shared" si="12"/>
        <v>3000/060Depreciation---------------------------------</v>
      </c>
      <c r="Q107" s="79"/>
      <c r="S107" s="80"/>
      <c r="T107" s="60"/>
      <c r="U107" s="34"/>
    </row>
    <row r="108" spans="1:21" x14ac:dyDescent="0.2">
      <c r="A108" s="394"/>
      <c r="B108" s="114" t="s">
        <v>262</v>
      </c>
      <c r="C108" s="396" t="s">
        <v>65</v>
      </c>
      <c r="D108" s="407"/>
      <c r="E108" s="407"/>
      <c r="F108" s="185"/>
      <c r="G108" s="185"/>
      <c r="H108" s="185"/>
      <c r="I108" s="88">
        <f>FARegister!Z15</f>
        <v>0</v>
      </c>
      <c r="J108" s="348">
        <f>SUMIF(Journals!D$14:D$920,TrialBalance!P108,Journals!J$14:J$920)+SUMIF(Journals!E$14:E$920,TrialBalance!P108,Journals!J$14:J$920)</f>
        <v>0</v>
      </c>
      <c r="K108" s="409"/>
      <c r="L108" s="411">
        <f t="shared" si="13"/>
        <v>0</v>
      </c>
      <c r="M108" s="84"/>
      <c r="N108" s="57">
        <f t="shared" si="11"/>
        <v>0</v>
      </c>
      <c r="P108" s="197" t="str">
        <f t="shared" ref="P108:P138" si="21">CONCATENATE(B108,C108)</f>
        <v>3000/061Depr - Electronic equipment</v>
      </c>
      <c r="Q108" s="79"/>
      <c r="S108" s="80"/>
      <c r="T108" s="60"/>
      <c r="U108" s="34"/>
    </row>
    <row r="109" spans="1:21" x14ac:dyDescent="0.2">
      <c r="A109" s="394"/>
      <c r="B109" s="114" t="s">
        <v>434</v>
      </c>
      <c r="C109" s="398" t="s">
        <v>997</v>
      </c>
      <c r="D109" s="406"/>
      <c r="E109" s="407"/>
      <c r="F109" s="185"/>
      <c r="G109" s="185"/>
      <c r="H109" s="185"/>
      <c r="I109" s="88">
        <f>FARegister!Z16</f>
        <v>0</v>
      </c>
      <c r="J109" s="348">
        <f>SUMIF(Journals!D$14:D$920,TrialBalance!P109,Journals!J$14:J$920)+SUMIF(Journals!E$14:E$920,TrialBalance!P109,Journals!J$14:J$920)</f>
        <v>0</v>
      </c>
      <c r="K109" s="409"/>
      <c r="L109" s="411">
        <f t="shared" si="13"/>
        <v>0</v>
      </c>
      <c r="M109" s="84"/>
      <c r="N109" s="57">
        <f t="shared" si="11"/>
        <v>0</v>
      </c>
      <c r="P109" s="197" t="str">
        <f t="shared" si="21"/>
        <v>3000/063Depr - Furniture and fittings</v>
      </c>
      <c r="Q109" s="79"/>
      <c r="S109" s="80"/>
      <c r="T109" s="60"/>
      <c r="U109" s="34"/>
    </row>
    <row r="110" spans="1:21" x14ac:dyDescent="0.2">
      <c r="A110" s="394"/>
      <c r="B110" s="63" t="s">
        <v>435</v>
      </c>
      <c r="C110" s="397" t="s">
        <v>722</v>
      </c>
      <c r="D110" s="406"/>
      <c r="E110" s="407"/>
      <c r="F110" s="185"/>
      <c r="G110" s="185"/>
      <c r="H110" s="185"/>
      <c r="I110" s="88"/>
      <c r="J110" s="348">
        <f>SUMIF(Journals!D$14:D$920,TrialBalance!P110,Journals!J$14:J$920)+SUMIF(Journals!E$14:E$920,TrialBalance!P110,Journals!J$14:J$920)</f>
        <v>0</v>
      </c>
      <c r="K110" s="409"/>
      <c r="L110" s="411">
        <f t="shared" si="13"/>
        <v>0</v>
      </c>
      <c r="M110" s="84"/>
      <c r="N110" s="57">
        <f t="shared" si="11"/>
        <v>0</v>
      </c>
      <c r="P110" s="197" t="str">
        <f t="shared" si="21"/>
        <v>3000/070Directors' remuneration-----------------</v>
      </c>
      <c r="Q110" s="79"/>
      <c r="S110" s="80"/>
      <c r="T110" s="60"/>
      <c r="U110" s="34"/>
    </row>
    <row r="111" spans="1:21" x14ac:dyDescent="0.2">
      <c r="A111" s="394"/>
      <c r="B111" s="63" t="s">
        <v>436</v>
      </c>
      <c r="C111" s="399" t="str">
        <f>Criteria!E41</f>
        <v>A Director</v>
      </c>
      <c r="D111" s="407"/>
      <c r="E111" s="407"/>
      <c r="F111" s="185"/>
      <c r="G111" s="185"/>
      <c r="H111" s="185"/>
      <c r="I111" s="88"/>
      <c r="J111" s="348">
        <f>SUMIF(Journals!D$14:D$920,TrialBalance!P111,Journals!J$14:J$920)+SUMIF(Journals!E$14:E$920,TrialBalance!P111,Journals!J$14:J$920)</f>
        <v>0</v>
      </c>
      <c r="K111" s="409"/>
      <c r="L111" s="411">
        <f t="shared" si="13"/>
        <v>0</v>
      </c>
      <c r="M111" s="84"/>
      <c r="N111" s="57">
        <f t="shared" si="11"/>
        <v>0</v>
      </c>
      <c r="P111" s="197" t="str">
        <f t="shared" si="21"/>
        <v>3000/071A Director</v>
      </c>
      <c r="Q111" s="79"/>
      <c r="S111" s="80"/>
      <c r="T111" s="60"/>
      <c r="U111" s="34"/>
    </row>
    <row r="112" spans="1:21" x14ac:dyDescent="0.2">
      <c r="A112" s="394"/>
      <c r="B112" s="63" t="s">
        <v>437</v>
      </c>
      <c r="C112" s="399" t="str">
        <f>Criteria!E42</f>
        <v>C Director</v>
      </c>
      <c r="D112" s="407"/>
      <c r="E112" s="407"/>
      <c r="F112" s="185"/>
      <c r="G112" s="185"/>
      <c r="H112" s="185"/>
      <c r="I112" s="88"/>
      <c r="J112" s="348">
        <f>SUMIF(Journals!D$14:D$920,TrialBalance!P112,Journals!J$14:J$920)+SUMIF(Journals!E$14:E$920,TrialBalance!P112,Journals!J$14:J$920)</f>
        <v>0</v>
      </c>
      <c r="K112" s="409"/>
      <c r="L112" s="411">
        <f t="shared" si="13"/>
        <v>0</v>
      </c>
      <c r="M112" s="84"/>
      <c r="N112" s="57">
        <f t="shared" si="11"/>
        <v>0</v>
      </c>
      <c r="P112" s="197" t="str">
        <f t="shared" si="21"/>
        <v>3000/072C Director</v>
      </c>
      <c r="Q112" s="79"/>
      <c r="S112" s="80"/>
      <c r="T112" s="60"/>
      <c r="U112" s="34"/>
    </row>
    <row r="113" spans="1:21" x14ac:dyDescent="0.2">
      <c r="A113" s="394"/>
      <c r="B113" s="63" t="s">
        <v>438</v>
      </c>
      <c r="C113" s="399">
        <f>Criteria!E43</f>
        <v>0</v>
      </c>
      <c r="D113" s="407"/>
      <c r="E113" s="407"/>
      <c r="F113" s="185"/>
      <c r="G113" s="185"/>
      <c r="H113" s="185"/>
      <c r="I113" s="88"/>
      <c r="J113" s="348">
        <f>SUMIF(Journals!D$14:D$920,TrialBalance!P113,Journals!J$14:J$920)+SUMIF(Journals!E$14:E$920,TrialBalance!P113,Journals!J$14:J$920)</f>
        <v>0</v>
      </c>
      <c r="K113" s="409"/>
      <c r="L113" s="411">
        <f t="shared" si="13"/>
        <v>0</v>
      </c>
      <c r="M113" s="84"/>
      <c r="N113" s="57">
        <f t="shared" si="11"/>
        <v>0</v>
      </c>
      <c r="P113" s="197" t="str">
        <f t="shared" si="21"/>
        <v>3000/0730</v>
      </c>
      <c r="Q113" s="79"/>
      <c r="S113" s="80"/>
      <c r="T113" s="60"/>
      <c r="U113" s="34"/>
    </row>
    <row r="114" spans="1:21" x14ac:dyDescent="0.2">
      <c r="A114" s="394"/>
      <c r="B114" s="63" t="s">
        <v>439</v>
      </c>
      <c r="C114" s="399">
        <f>Criteria!E44</f>
        <v>0</v>
      </c>
      <c r="D114" s="407"/>
      <c r="E114" s="407"/>
      <c r="F114" s="185"/>
      <c r="G114" s="185"/>
      <c r="H114" s="185"/>
      <c r="I114" s="88"/>
      <c r="J114" s="348">
        <f>SUMIF(Journals!D$14:D$920,TrialBalance!P114,Journals!J$14:J$920)+SUMIF(Journals!E$14:E$920,TrialBalance!P114,Journals!J$14:J$920)</f>
        <v>0</v>
      </c>
      <c r="K114" s="409"/>
      <c r="L114" s="411">
        <f t="shared" si="13"/>
        <v>0</v>
      </c>
      <c r="M114" s="84"/>
      <c r="N114" s="57">
        <f t="shared" si="11"/>
        <v>0</v>
      </c>
      <c r="P114" s="197" t="str">
        <f t="shared" si="21"/>
        <v>3000/0740</v>
      </c>
      <c r="Q114" s="79"/>
      <c r="S114" s="80"/>
      <c r="T114" s="60"/>
      <c r="U114" s="34"/>
    </row>
    <row r="115" spans="1:21" x14ac:dyDescent="0.2">
      <c r="A115" s="394"/>
      <c r="B115" s="63" t="s">
        <v>440</v>
      </c>
      <c r="C115" s="399">
        <f>Criteria!E45</f>
        <v>0</v>
      </c>
      <c r="D115" s="407"/>
      <c r="E115" s="407"/>
      <c r="F115" s="185"/>
      <c r="G115" s="185"/>
      <c r="H115" s="185"/>
      <c r="I115" s="88"/>
      <c r="J115" s="348">
        <f>SUMIF(Journals!D$14:D$920,TrialBalance!P115,Journals!J$14:J$920)+SUMIF(Journals!E$14:E$920,TrialBalance!P115,Journals!J$14:J$920)</f>
        <v>0</v>
      </c>
      <c r="K115" s="409"/>
      <c r="L115" s="411">
        <f t="shared" si="13"/>
        <v>0</v>
      </c>
      <c r="M115" s="84"/>
      <c r="N115" s="57">
        <f t="shared" si="11"/>
        <v>0</v>
      </c>
      <c r="P115" s="197" t="str">
        <f t="shared" si="21"/>
        <v>3000/0750</v>
      </c>
      <c r="Q115" s="79"/>
      <c r="S115" s="80"/>
      <c r="T115" s="60"/>
      <c r="U115" s="34"/>
    </row>
    <row r="116" spans="1:21" x14ac:dyDescent="0.2">
      <c r="A116" s="394"/>
      <c r="B116" s="63" t="s">
        <v>441</v>
      </c>
      <c r="C116" s="395" t="s">
        <v>315</v>
      </c>
      <c r="D116" s="406"/>
      <c r="E116" s="407"/>
      <c r="F116" s="185"/>
      <c r="G116" s="185"/>
      <c r="H116" s="185"/>
      <c r="I116" s="88"/>
      <c r="J116" s="348">
        <f>SUMIF(Journals!D$14:D$920,TrialBalance!P116,Journals!J$14:J$920)+SUMIF(Journals!E$14:E$920,TrialBalance!P116,Journals!J$14:J$920)</f>
        <v>0</v>
      </c>
      <c r="K116" s="409"/>
      <c r="L116" s="411">
        <f t="shared" si="13"/>
        <v>0</v>
      </c>
      <c r="M116" s="84"/>
      <c r="N116" s="57">
        <f t="shared" si="11"/>
        <v>0</v>
      </c>
      <c r="P116" s="197" t="str">
        <f t="shared" si="21"/>
        <v>3000/080Donations</v>
      </c>
      <c r="Q116" s="79"/>
      <c r="S116" s="80"/>
      <c r="T116" s="60"/>
      <c r="U116" s="34"/>
    </row>
    <row r="117" spans="1:21" x14ac:dyDescent="0.2">
      <c r="A117" s="394"/>
      <c r="B117" s="63" t="s">
        <v>442</v>
      </c>
      <c r="C117" s="395" t="s">
        <v>443</v>
      </c>
      <c r="D117" s="406"/>
      <c r="E117" s="407"/>
      <c r="F117" s="185"/>
      <c r="G117" s="185"/>
      <c r="H117" s="185"/>
      <c r="I117" s="88"/>
      <c r="J117" s="348">
        <f>SUMIF(Journals!D$14:D$920,TrialBalance!P117,Journals!J$14:J$920)+SUMIF(Journals!E$14:E$920,TrialBalance!P117,Journals!J$14:J$920)</f>
        <v>0</v>
      </c>
      <c r="K117" s="409"/>
      <c r="L117" s="411">
        <f t="shared" si="13"/>
        <v>0</v>
      </c>
      <c r="M117" s="84"/>
      <c r="N117" s="57">
        <f t="shared" si="11"/>
        <v>0</v>
      </c>
      <c r="P117" s="197" t="str">
        <f t="shared" si="21"/>
        <v>3000/090Entertainment expenses</v>
      </c>
      <c r="Q117" s="79"/>
      <c r="S117" s="80"/>
      <c r="T117" s="60"/>
      <c r="U117" s="34"/>
    </row>
    <row r="118" spans="1:21" x14ac:dyDescent="0.2">
      <c r="A118" s="394"/>
      <c r="B118" s="65" t="s">
        <v>76</v>
      </c>
      <c r="C118" s="402" t="s">
        <v>392</v>
      </c>
      <c r="D118" s="407"/>
      <c r="E118" s="407"/>
      <c r="F118" s="185"/>
      <c r="G118" s="185"/>
      <c r="H118" s="185"/>
      <c r="I118" s="88"/>
      <c r="J118" s="348">
        <f>SUMIF(Journals!D$14:D$920,TrialBalance!P118,Journals!J$14:J$920)+SUMIF(Journals!E$14:E$920,TrialBalance!P118,Journals!J$14:J$920)</f>
        <v>0</v>
      </c>
      <c r="K118" s="409"/>
      <c r="L118" s="411">
        <f t="shared" si="13"/>
        <v>0</v>
      </c>
      <c r="M118" s="84"/>
      <c r="N118" s="57">
        <f t="shared" si="11"/>
        <v>0</v>
      </c>
      <c r="P118" s="197" t="str">
        <f t="shared" si="21"/>
        <v>3000/095Fines</v>
      </c>
      <c r="Q118" s="79"/>
      <c r="S118" s="80"/>
      <c r="T118" s="60"/>
      <c r="U118" s="34"/>
    </row>
    <row r="119" spans="1:21" x14ac:dyDescent="0.2">
      <c r="A119" s="394"/>
      <c r="B119" s="63" t="s">
        <v>444</v>
      </c>
      <c r="C119" s="395" t="s">
        <v>445</v>
      </c>
      <c r="D119" s="406"/>
      <c r="E119" s="407"/>
      <c r="F119" s="185"/>
      <c r="G119" s="185"/>
      <c r="H119" s="185"/>
      <c r="I119" s="88"/>
      <c r="J119" s="348">
        <f>SUMIF(Journals!D$14:D$920,TrialBalance!P119,Journals!J$14:J$920)+SUMIF(Journals!E$14:E$920,TrialBalance!P119,Journals!J$14:J$920)</f>
        <v>0</v>
      </c>
      <c r="K119" s="409"/>
      <c r="L119" s="411">
        <f t="shared" si="13"/>
        <v>0</v>
      </c>
      <c r="M119" s="84"/>
      <c r="N119" s="57">
        <f t="shared" si="11"/>
        <v>0</v>
      </c>
      <c r="P119" s="197" t="str">
        <f t="shared" si="21"/>
        <v>3000/100General expenses</v>
      </c>
      <c r="Q119" s="79"/>
      <c r="S119" s="80"/>
      <c r="T119" s="60"/>
      <c r="U119" s="34"/>
    </row>
    <row r="120" spans="1:21" x14ac:dyDescent="0.2">
      <c r="A120" s="394"/>
      <c r="B120" s="63" t="s">
        <v>363</v>
      </c>
      <c r="C120" s="396" t="s">
        <v>994</v>
      </c>
      <c r="D120" s="407"/>
      <c r="E120" s="407"/>
      <c r="F120" s="185"/>
      <c r="G120" s="185"/>
      <c r="H120" s="185"/>
      <c r="I120" s="88"/>
      <c r="J120" s="348">
        <f>SUMIF(Journals!D$14:D$920,TrialBalance!P120,Journals!J$14:J$920)+SUMIF(Journals!E$14:E$920,TrialBalance!P120,Journals!J$14:J$920)</f>
        <v>0</v>
      </c>
      <c r="K120" s="409"/>
      <c r="L120" s="411">
        <f t="shared" si="13"/>
        <v>0</v>
      </c>
      <c r="M120" s="84"/>
      <c r="N120" s="57">
        <f t="shared" si="11"/>
        <v>0</v>
      </c>
      <c r="P120" s="197" t="str">
        <f t="shared" si="21"/>
        <v>3000/110Legal expenses - tax deductible</v>
      </c>
      <c r="Q120" s="79"/>
      <c r="S120" s="80"/>
      <c r="T120" s="60"/>
      <c r="U120" s="34"/>
    </row>
    <row r="121" spans="1:21" x14ac:dyDescent="0.2">
      <c r="A121" s="394"/>
      <c r="B121" s="63" t="s">
        <v>523</v>
      </c>
      <c r="C121" s="396" t="s">
        <v>995</v>
      </c>
      <c r="D121" s="407"/>
      <c r="E121" s="407"/>
      <c r="F121" s="185"/>
      <c r="G121" s="185"/>
      <c r="H121" s="185"/>
      <c r="I121" s="88"/>
      <c r="J121" s="348">
        <f>SUMIF(Journals!D$14:D$920,TrialBalance!P121,Journals!J$14:J$920)+SUMIF(Journals!E$14:E$920,TrialBalance!P121,Journals!J$14:J$920)</f>
        <v>0</v>
      </c>
      <c r="K121" s="409"/>
      <c r="L121" s="411">
        <f t="shared" si="13"/>
        <v>0</v>
      </c>
      <c r="M121" s="84"/>
      <c r="N121" s="57">
        <f t="shared" si="11"/>
        <v>0</v>
      </c>
      <c r="P121" s="197" t="str">
        <f t="shared" si="21"/>
        <v>3000/111Legal expenses - non deductible</v>
      </c>
      <c r="Q121" s="79"/>
      <c r="S121" s="80"/>
      <c r="T121" s="60"/>
      <c r="U121" s="34"/>
    </row>
    <row r="122" spans="1:21" x14ac:dyDescent="0.2">
      <c r="A122" s="394"/>
      <c r="B122" s="63" t="s">
        <v>364</v>
      </c>
      <c r="C122" s="395" t="s">
        <v>365</v>
      </c>
      <c r="D122" s="406"/>
      <c r="E122" s="407"/>
      <c r="F122" s="185"/>
      <c r="G122" s="185"/>
      <c r="H122" s="185"/>
      <c r="I122" s="88"/>
      <c r="J122" s="348">
        <f>SUMIF(Journals!D$14:D$920,TrialBalance!P122,Journals!J$14:J$920)+SUMIF(Journals!E$14:E$920,TrialBalance!P122,Journals!J$14:J$920)</f>
        <v>0</v>
      </c>
      <c r="K122" s="409"/>
      <c r="L122" s="411">
        <f t="shared" si="13"/>
        <v>0</v>
      </c>
      <c r="M122" s="84"/>
      <c r="N122" s="57">
        <f t="shared" si="11"/>
        <v>0</v>
      </c>
      <c r="P122" s="197" t="str">
        <f t="shared" si="21"/>
        <v>3000/120Printing and stationary</v>
      </c>
      <c r="Q122" s="79"/>
      <c r="S122" s="80"/>
      <c r="T122" s="60"/>
      <c r="U122" s="34"/>
    </row>
    <row r="123" spans="1:21" x14ac:dyDescent="0.2">
      <c r="A123" s="394"/>
      <c r="B123" s="63" t="s">
        <v>366</v>
      </c>
      <c r="C123" s="395" t="s">
        <v>316</v>
      </c>
      <c r="D123" s="406"/>
      <c r="E123" s="407"/>
      <c r="F123" s="185"/>
      <c r="G123" s="185"/>
      <c r="H123" s="185"/>
      <c r="I123" s="88"/>
      <c r="J123" s="348">
        <f>SUMIF(Journals!D$14:D$920,TrialBalance!P123,Journals!J$14:J$920)+SUMIF(Journals!E$14:E$920,TrialBalance!P123,Journals!J$14:J$920)</f>
        <v>0</v>
      </c>
      <c r="K123" s="409"/>
      <c r="L123" s="411">
        <f t="shared" si="13"/>
        <v>0</v>
      </c>
      <c r="M123" s="84"/>
      <c r="N123" s="57">
        <f t="shared" si="11"/>
        <v>0</v>
      </c>
      <c r="P123" s="197" t="str">
        <f t="shared" si="21"/>
        <v>3000/130Refreshments</v>
      </c>
      <c r="Q123" s="79"/>
      <c r="S123" s="80"/>
      <c r="T123" s="60"/>
      <c r="U123" s="34"/>
    </row>
    <row r="124" spans="1:21" x14ac:dyDescent="0.2">
      <c r="A124" s="394"/>
      <c r="B124" s="63" t="s">
        <v>367</v>
      </c>
      <c r="C124" s="395" t="s">
        <v>84</v>
      </c>
      <c r="D124" s="406"/>
      <c r="E124" s="407"/>
      <c r="F124" s="185"/>
      <c r="G124" s="185"/>
      <c r="H124" s="185"/>
      <c r="I124" s="88"/>
      <c r="J124" s="348">
        <f>SUMIF(Journals!D$14:D$920,TrialBalance!P124,Journals!J$14:J$920)+SUMIF(Journals!E$14:E$920,TrialBalance!P124,Journals!J$14:J$920)</f>
        <v>0</v>
      </c>
      <c r="K124" s="409"/>
      <c r="L124" s="411">
        <f t="shared" si="13"/>
        <v>0</v>
      </c>
      <c r="M124" s="84"/>
      <c r="N124" s="57">
        <f t="shared" si="11"/>
        <v>0</v>
      </c>
      <c r="P124" s="197" t="str">
        <f t="shared" si="21"/>
        <v>3000/140Salaries</v>
      </c>
      <c r="Q124" s="79"/>
      <c r="S124" s="80"/>
      <c r="T124" s="60"/>
      <c r="U124" s="34"/>
    </row>
    <row r="125" spans="1:21" x14ac:dyDescent="0.2">
      <c r="A125" s="394"/>
      <c r="B125" s="114" t="s">
        <v>368</v>
      </c>
      <c r="C125" s="395" t="s">
        <v>88</v>
      </c>
      <c r="D125" s="406"/>
      <c r="E125" s="407"/>
      <c r="F125" s="185"/>
      <c r="G125" s="185"/>
      <c r="H125" s="185"/>
      <c r="I125" s="88"/>
      <c r="J125" s="348">
        <f>SUMIF(Journals!D$14:D$920,TrialBalance!P125,Journals!J$14:J$920)+SUMIF(Journals!E$14:E$920,TrialBalance!P125,Journals!J$14:J$920)</f>
        <v>0</v>
      </c>
      <c r="K125" s="409"/>
      <c r="L125" s="411">
        <f t="shared" si="13"/>
        <v>0</v>
      </c>
      <c r="M125" s="84"/>
      <c r="N125" s="57">
        <f t="shared" si="11"/>
        <v>0</v>
      </c>
      <c r="P125" s="197" t="str">
        <f t="shared" si="21"/>
        <v>3000/141Casual wages</v>
      </c>
      <c r="Q125" s="79"/>
      <c r="S125" s="80"/>
      <c r="T125" s="60"/>
      <c r="U125" s="34"/>
    </row>
    <row r="126" spans="1:21" x14ac:dyDescent="0.2">
      <c r="A126" s="394"/>
      <c r="B126" s="63" t="s">
        <v>369</v>
      </c>
      <c r="C126" s="395" t="s">
        <v>317</v>
      </c>
      <c r="D126" s="406"/>
      <c r="E126" s="407"/>
      <c r="F126" s="185"/>
      <c r="G126" s="185"/>
      <c r="H126" s="185"/>
      <c r="I126" s="88"/>
      <c r="J126" s="348">
        <f>SUMIF(Journals!D$14:D$920,TrialBalance!P126,Journals!J$14:J$920)+SUMIF(Journals!E$14:E$920,TrialBalance!P126,Journals!J$14:J$920)</f>
        <v>0</v>
      </c>
      <c r="K126" s="409"/>
      <c r="L126" s="411">
        <f t="shared" si="13"/>
        <v>0</v>
      </c>
      <c r="M126" s="84"/>
      <c r="N126" s="57">
        <f t="shared" si="11"/>
        <v>0</v>
      </c>
      <c r="P126" s="197" t="str">
        <f t="shared" si="21"/>
        <v>3000/150Security</v>
      </c>
      <c r="Q126" s="79"/>
      <c r="S126" s="80"/>
      <c r="T126" s="60"/>
      <c r="U126" s="34"/>
    </row>
    <row r="127" spans="1:21" x14ac:dyDescent="0.2">
      <c r="A127" s="394"/>
      <c r="B127" s="63" t="s">
        <v>370</v>
      </c>
      <c r="C127" s="398" t="s">
        <v>937</v>
      </c>
      <c r="D127" s="406"/>
      <c r="E127" s="407"/>
      <c r="F127" s="185"/>
      <c r="G127" s="185"/>
      <c r="H127" s="185"/>
      <c r="I127" s="88"/>
      <c r="J127" s="348">
        <f>SUMIF(Journals!D$14:D$920,TrialBalance!P127,Journals!J$14:J$920)+SUMIF(Journals!E$14:E$920,TrialBalance!P127,Journals!J$14:J$920)</f>
        <v>0</v>
      </c>
      <c r="K127" s="409"/>
      <c r="L127" s="411">
        <f t="shared" si="13"/>
        <v>0</v>
      </c>
      <c r="M127" s="84"/>
      <c r="N127" s="57">
        <f t="shared" si="11"/>
        <v>0</v>
      </c>
      <c r="P127" s="197" t="str">
        <f t="shared" si="21"/>
        <v>3000/160Subscriptions and membership fees</v>
      </c>
      <c r="Q127" s="79"/>
      <c r="S127" s="80"/>
      <c r="T127" s="60"/>
      <c r="U127" s="34"/>
    </row>
    <row r="128" spans="1:21" x14ac:dyDescent="0.2">
      <c r="A128" s="394"/>
      <c r="B128" s="63" t="s">
        <v>397</v>
      </c>
      <c r="C128" s="398" t="s">
        <v>996</v>
      </c>
      <c r="D128" s="406"/>
      <c r="E128" s="407"/>
      <c r="F128" s="185"/>
      <c r="G128" s="185"/>
      <c r="H128" s="185"/>
      <c r="I128" s="88"/>
      <c r="J128" s="348">
        <f>SUMIF(Journals!D$14:D$920,TrialBalance!P128,Journals!J$14:J$920)+SUMIF(Journals!E$14:E$920,TrialBalance!P128,Journals!J$14:J$920)</f>
        <v>0</v>
      </c>
      <c r="K128" s="409"/>
      <c r="L128" s="411">
        <f t="shared" si="13"/>
        <v>0</v>
      </c>
      <c r="M128" s="84"/>
      <c r="N128" s="57">
        <f t="shared" si="11"/>
        <v>0</v>
      </c>
      <c r="P128" s="197" t="str">
        <f t="shared" si="21"/>
        <v>3000/170Penalties and interest - SARS</v>
      </c>
      <c r="Q128" s="79"/>
      <c r="S128" s="80"/>
      <c r="T128" s="60"/>
      <c r="U128" s="34"/>
    </row>
    <row r="129" spans="1:21" x14ac:dyDescent="0.2">
      <c r="A129" s="394"/>
      <c r="B129" s="63" t="s">
        <v>339</v>
      </c>
      <c r="C129" s="399"/>
      <c r="D129" s="407"/>
      <c r="E129" s="407"/>
      <c r="F129" s="185"/>
      <c r="G129" s="185"/>
      <c r="H129" s="185"/>
      <c r="I129" s="88"/>
      <c r="J129" s="348">
        <f>SUMIF(Journals!D$14:D$920,TrialBalance!P129,Journals!J$14:J$920)+SUMIF(Journals!E$14:E$920,TrialBalance!P129,Journals!J$14:J$920)</f>
        <v>0</v>
      </c>
      <c r="K129" s="409"/>
      <c r="L129" s="411">
        <f t="shared" si="13"/>
        <v>0</v>
      </c>
      <c r="M129" s="84"/>
      <c r="N129" s="57">
        <f t="shared" si="11"/>
        <v>0</v>
      </c>
      <c r="P129" s="197" t="str">
        <f t="shared" si="21"/>
        <v>3000/180</v>
      </c>
      <c r="Q129" s="79"/>
      <c r="S129" s="80"/>
      <c r="T129" s="60"/>
      <c r="U129" s="34"/>
    </row>
    <row r="130" spans="1:21" x14ac:dyDescent="0.2">
      <c r="A130" s="394"/>
      <c r="B130" s="63" t="s">
        <v>340</v>
      </c>
      <c r="C130" s="399"/>
      <c r="D130" s="407"/>
      <c r="E130" s="407"/>
      <c r="F130" s="185"/>
      <c r="G130" s="185"/>
      <c r="H130" s="185"/>
      <c r="I130" s="88"/>
      <c r="J130" s="348">
        <f>SUMIF(Journals!D$14:D$920,TrialBalance!P130,Journals!J$14:J$920)+SUMIF(Journals!E$14:E$920,TrialBalance!P130,Journals!J$14:J$920)</f>
        <v>0</v>
      </c>
      <c r="K130" s="409"/>
      <c r="L130" s="411">
        <f t="shared" si="13"/>
        <v>0</v>
      </c>
      <c r="M130" s="84"/>
      <c r="N130" s="57">
        <f t="shared" si="11"/>
        <v>0</v>
      </c>
      <c r="P130" s="197" t="str">
        <f t="shared" si="21"/>
        <v>3000/190</v>
      </c>
      <c r="Q130" s="79"/>
      <c r="S130" s="80"/>
      <c r="T130" s="60"/>
      <c r="U130" s="34"/>
    </row>
    <row r="131" spans="1:21" x14ac:dyDescent="0.2">
      <c r="A131" s="394"/>
      <c r="B131" s="63" t="s">
        <v>341</v>
      </c>
      <c r="C131" s="399"/>
      <c r="D131" s="407"/>
      <c r="E131" s="407"/>
      <c r="F131" s="185"/>
      <c r="G131" s="185"/>
      <c r="H131" s="185"/>
      <c r="I131" s="88"/>
      <c r="J131" s="348">
        <f>SUMIF(Journals!D$14:D$920,TrialBalance!P131,Journals!J$14:J$920)+SUMIF(Journals!E$14:E$920,TrialBalance!P131,Journals!J$14:J$920)</f>
        <v>0</v>
      </c>
      <c r="K131" s="409"/>
      <c r="L131" s="411">
        <f t="shared" si="13"/>
        <v>0</v>
      </c>
      <c r="M131" s="84"/>
      <c r="N131" s="57">
        <f t="shared" si="11"/>
        <v>0</v>
      </c>
      <c r="P131" s="197" t="str">
        <f t="shared" si="21"/>
        <v>3000/200</v>
      </c>
      <c r="Q131" s="79"/>
      <c r="S131" s="80"/>
      <c r="T131" s="60"/>
      <c r="U131" s="34"/>
    </row>
    <row r="132" spans="1:21" x14ac:dyDescent="0.2">
      <c r="A132" s="394"/>
      <c r="B132" s="63" t="s">
        <v>342</v>
      </c>
      <c r="C132" s="399"/>
      <c r="D132" s="407"/>
      <c r="E132" s="407"/>
      <c r="F132" s="185"/>
      <c r="G132" s="185"/>
      <c r="H132" s="185"/>
      <c r="I132" s="88"/>
      <c r="J132" s="348">
        <f>SUMIF(Journals!D$14:D$920,TrialBalance!P132,Journals!J$14:J$920)+SUMIF(Journals!E$14:E$920,TrialBalance!P132,Journals!J$14:J$920)</f>
        <v>0</v>
      </c>
      <c r="K132" s="409"/>
      <c r="L132" s="411">
        <f t="shared" si="13"/>
        <v>0</v>
      </c>
      <c r="M132" s="84"/>
      <c r="N132" s="57">
        <f t="shared" si="11"/>
        <v>0</v>
      </c>
      <c r="P132" s="197" t="str">
        <f t="shared" si="21"/>
        <v>3000/210</v>
      </c>
      <c r="Q132" s="79"/>
      <c r="S132" s="80"/>
      <c r="T132" s="60"/>
      <c r="U132" s="34"/>
    </row>
    <row r="133" spans="1:21" x14ac:dyDescent="0.2">
      <c r="A133" s="394"/>
      <c r="B133" s="63" t="s">
        <v>343</v>
      </c>
      <c r="C133" s="399"/>
      <c r="D133" s="407"/>
      <c r="E133" s="407"/>
      <c r="F133" s="185"/>
      <c r="G133" s="185"/>
      <c r="H133" s="185"/>
      <c r="I133" s="88"/>
      <c r="J133" s="348">
        <f>SUMIF(Journals!D$14:D$920,TrialBalance!P133,Journals!J$14:J$920)+SUMIF(Journals!E$14:E$920,TrialBalance!P133,Journals!J$14:J$920)</f>
        <v>0</v>
      </c>
      <c r="K133" s="409"/>
      <c r="L133" s="411">
        <f t="shared" si="13"/>
        <v>0</v>
      </c>
      <c r="M133" s="84"/>
      <c r="N133" s="57">
        <f t="shared" si="11"/>
        <v>0</v>
      </c>
      <c r="P133" s="197" t="str">
        <f t="shared" si="21"/>
        <v>3000/220</v>
      </c>
      <c r="Q133" s="79"/>
      <c r="S133" s="80"/>
      <c r="T133" s="60"/>
      <c r="U133" s="34"/>
    </row>
    <row r="134" spans="1:21" x14ac:dyDescent="0.2">
      <c r="A134" s="394"/>
      <c r="B134" s="114" t="s">
        <v>618</v>
      </c>
      <c r="C134" s="399"/>
      <c r="D134" s="407"/>
      <c r="E134" s="407"/>
      <c r="F134" s="185"/>
      <c r="G134" s="185"/>
      <c r="H134" s="185"/>
      <c r="I134" s="88"/>
      <c r="J134" s="348">
        <f>SUMIF(Journals!D$14:D$920,TrialBalance!P134,Journals!J$14:J$920)+SUMIF(Journals!E$14:E$920,TrialBalance!P134,Journals!J$14:J$920)</f>
        <v>0</v>
      </c>
      <c r="K134" s="409"/>
      <c r="L134" s="411">
        <f t="shared" si="13"/>
        <v>0</v>
      </c>
      <c r="M134" s="84"/>
      <c r="N134" s="57">
        <f t="shared" si="11"/>
        <v>0</v>
      </c>
      <c r="P134" s="197" t="str">
        <f t="shared" si="21"/>
        <v>3000/230</v>
      </c>
      <c r="Q134" s="79"/>
      <c r="S134" s="80"/>
      <c r="T134" s="60"/>
      <c r="U134" s="34"/>
    </row>
    <row r="135" spans="1:21" x14ac:dyDescent="0.2">
      <c r="A135" s="394"/>
      <c r="B135" s="114" t="s">
        <v>619</v>
      </c>
      <c r="C135" s="399"/>
      <c r="D135" s="407"/>
      <c r="E135" s="407"/>
      <c r="F135" s="185"/>
      <c r="G135" s="185"/>
      <c r="H135" s="185"/>
      <c r="I135" s="88"/>
      <c r="J135" s="348">
        <f>SUMIF(Journals!D$14:D$920,TrialBalance!P135,Journals!J$14:J$920)+SUMIF(Journals!E$14:E$920,TrialBalance!P135,Journals!J$14:J$920)</f>
        <v>0</v>
      </c>
      <c r="K135" s="409"/>
      <c r="L135" s="411">
        <f t="shared" si="13"/>
        <v>0</v>
      </c>
      <c r="M135" s="84"/>
      <c r="N135" s="57">
        <f t="shared" si="11"/>
        <v>0</v>
      </c>
      <c r="P135" s="197" t="str">
        <f t="shared" si="21"/>
        <v>3000/240</v>
      </c>
      <c r="Q135" s="79"/>
      <c r="S135" s="80"/>
      <c r="T135" s="60"/>
      <c r="U135" s="34"/>
    </row>
    <row r="136" spans="1:21" x14ac:dyDescent="0.2">
      <c r="A136" s="394"/>
      <c r="B136" s="114" t="s">
        <v>620</v>
      </c>
      <c r="C136" s="399"/>
      <c r="D136" s="407"/>
      <c r="E136" s="407"/>
      <c r="F136" s="185"/>
      <c r="G136" s="185"/>
      <c r="H136" s="185"/>
      <c r="I136" s="88"/>
      <c r="J136" s="348">
        <f>SUMIF(Journals!D$14:D$920,TrialBalance!P136,Journals!J$14:J$920)+SUMIF(Journals!E$14:E$920,TrialBalance!P136,Journals!J$14:J$920)</f>
        <v>0</v>
      </c>
      <c r="K136" s="409"/>
      <c r="L136" s="411">
        <f t="shared" ref="L136:L205" si="22">ROUND(D136-E136+F136+G136+H136+J136+I136,0)</f>
        <v>0</v>
      </c>
      <c r="M136" s="84"/>
      <c r="N136" s="57">
        <f t="shared" si="11"/>
        <v>0</v>
      </c>
      <c r="P136" s="197" t="str">
        <f t="shared" si="21"/>
        <v>3000/250</v>
      </c>
      <c r="Q136" s="79"/>
      <c r="S136" s="80"/>
      <c r="T136" s="60"/>
      <c r="U136" s="34"/>
    </row>
    <row r="137" spans="1:21" x14ac:dyDescent="0.2">
      <c r="A137" s="394"/>
      <c r="B137" s="114" t="s">
        <v>621</v>
      </c>
      <c r="C137" s="399"/>
      <c r="D137" s="407"/>
      <c r="E137" s="407"/>
      <c r="F137" s="185"/>
      <c r="G137" s="185"/>
      <c r="H137" s="185"/>
      <c r="I137" s="88"/>
      <c r="J137" s="348">
        <f>SUMIF(Journals!D$14:D$920,TrialBalance!P137,Journals!J$14:J$920)+SUMIF(Journals!E$14:E$920,TrialBalance!P137,Journals!J$14:J$920)</f>
        <v>0</v>
      </c>
      <c r="K137" s="409"/>
      <c r="L137" s="411">
        <f t="shared" si="22"/>
        <v>0</v>
      </c>
      <c r="M137" s="84"/>
      <c r="N137" s="57">
        <f t="shared" si="11"/>
        <v>0</v>
      </c>
      <c r="P137" s="197" t="str">
        <f t="shared" si="21"/>
        <v>3000/260</v>
      </c>
      <c r="Q137" s="79"/>
      <c r="S137" s="80"/>
      <c r="T137" s="60"/>
      <c r="U137" s="34"/>
    </row>
    <row r="138" spans="1:21" x14ac:dyDescent="0.2">
      <c r="A138" s="394"/>
      <c r="B138" s="114" t="s">
        <v>622</v>
      </c>
      <c r="C138" s="396" t="s">
        <v>1484</v>
      </c>
      <c r="D138" s="407"/>
      <c r="E138" s="407"/>
      <c r="F138" s="185"/>
      <c r="G138" s="185"/>
      <c r="H138" s="185"/>
      <c r="I138" s="88"/>
      <c r="J138" s="348">
        <f>SUMIF(Journals!D$14:D$920,TrialBalance!P138,Journals!J$14:J$920)+SUMIF(Journals!E$14:E$920,TrialBalance!P138,Journals!J$14:J$920)</f>
        <v>0</v>
      </c>
      <c r="K138" s="409"/>
      <c r="L138" s="411">
        <f t="shared" si="22"/>
        <v>0</v>
      </c>
      <c r="M138" s="84"/>
      <c r="N138" s="57">
        <f t="shared" si="11"/>
        <v>0</v>
      </c>
      <c r="P138" s="197" t="str">
        <f t="shared" si="21"/>
        <v>3000/270Amortisation of prepaid lease agreement</v>
      </c>
      <c r="Q138" s="79"/>
      <c r="S138" s="80"/>
      <c r="T138" s="60"/>
      <c r="U138" s="34"/>
    </row>
    <row r="139" spans="1:21" x14ac:dyDescent="0.2">
      <c r="A139" s="394"/>
      <c r="B139" s="114" t="s">
        <v>1487</v>
      </c>
      <c r="C139" s="398" t="s">
        <v>1488</v>
      </c>
      <c r="D139" s="407"/>
      <c r="E139" s="407"/>
      <c r="F139" s="185"/>
      <c r="G139" s="185"/>
      <c r="H139" s="185"/>
      <c r="I139" s="88"/>
      <c r="J139" s="348">
        <f>SUMIF(Journals!D$14:D$920,TrialBalance!P139,Journals!J$14:J$920)+SUMIF(Journals!E$14:E$920,TrialBalance!P139,Journals!J$14:J$920)</f>
        <v>0</v>
      </c>
      <c r="K139" s="409"/>
      <c r="L139" s="411">
        <f t="shared" ref="L139" si="23">ROUND(D139-E139+F139+G139+H139+J139+I139,0)</f>
        <v>0</v>
      </c>
      <c r="M139" s="84"/>
      <c r="N139" s="57">
        <f t="shared" ref="N139" si="24">ROUND(SUM(A139),0)</f>
        <v>0</v>
      </c>
      <c r="P139" s="197" t="str">
        <f t="shared" ref="P139" si="25">CONCATENATE(B139,C139)</f>
        <v>3000/280Amortisation of goodwill</v>
      </c>
      <c r="Q139" s="79"/>
      <c r="S139" s="80"/>
      <c r="T139" s="60"/>
      <c r="U139" s="34"/>
    </row>
    <row r="140" spans="1:21" x14ac:dyDescent="0.2">
      <c r="A140" s="394"/>
      <c r="B140" s="63" t="s">
        <v>371</v>
      </c>
      <c r="C140" s="397" t="s">
        <v>140</v>
      </c>
      <c r="D140" s="406"/>
      <c r="E140" s="407"/>
      <c r="F140" s="185"/>
      <c r="G140" s="185"/>
      <c r="H140" s="185"/>
      <c r="I140" s="88"/>
      <c r="J140" s="348">
        <f>SUMIF(Journals!D$14:D$920,TrialBalance!P140,Journals!J$14:J$920)+SUMIF(Journals!E$14:E$920,TrialBalance!P140,Journals!J$14:J$920)</f>
        <v>0</v>
      </c>
      <c r="K140" s="409"/>
      <c r="L140" s="411">
        <f t="shared" si="22"/>
        <v>0</v>
      </c>
      <c r="M140" s="84"/>
      <c r="N140" s="57">
        <f t="shared" ref="N140:N205" si="26">ROUND(SUM(A140),0)</f>
        <v>0</v>
      </c>
      <c r="P140" s="197" t="str">
        <f t="shared" ref="P140:P164" si="27">CONCATENATE(B140,C140)</f>
        <v>4700/000FINANCE COSTS</v>
      </c>
      <c r="Q140" s="79"/>
      <c r="S140" s="80"/>
      <c r="T140" s="60"/>
      <c r="U140" s="34"/>
    </row>
    <row r="141" spans="1:21" x14ac:dyDescent="0.2">
      <c r="A141" s="394"/>
      <c r="B141" s="63" t="s">
        <v>372</v>
      </c>
      <c r="C141" s="397" t="s">
        <v>723</v>
      </c>
      <c r="D141" s="406"/>
      <c r="E141" s="407"/>
      <c r="F141" s="185"/>
      <c r="G141" s="185"/>
      <c r="H141" s="185"/>
      <c r="I141" s="88"/>
      <c r="J141" s="348">
        <f>SUMIF(Journals!D$14:D$920,TrialBalance!P141,Journals!J$14:J$920)+SUMIF(Journals!E$14:E$920,TrialBalance!P141,Journals!J$14:J$920)</f>
        <v>0</v>
      </c>
      <c r="K141" s="409"/>
      <c r="L141" s="411">
        <f t="shared" si="22"/>
        <v>0</v>
      </c>
      <c r="M141" s="84"/>
      <c r="N141" s="57">
        <f t="shared" si="26"/>
        <v>0</v>
      </c>
      <c r="P141" s="197" t="str">
        <f t="shared" si="27"/>
        <v>4700/010Interest paid--------------------------------</v>
      </c>
      <c r="Q141" s="79"/>
      <c r="S141" s="80"/>
      <c r="T141" s="60"/>
      <c r="U141" s="34"/>
    </row>
    <row r="142" spans="1:21" x14ac:dyDescent="0.2">
      <c r="A142" s="394"/>
      <c r="B142" s="63" t="s">
        <v>374</v>
      </c>
      <c r="C142" s="399"/>
      <c r="D142" s="406"/>
      <c r="E142" s="407"/>
      <c r="F142" s="185"/>
      <c r="G142" s="185"/>
      <c r="H142" s="185"/>
      <c r="I142" s="88"/>
      <c r="J142" s="348">
        <f>SUMIF(Journals!D$14:D$920,TrialBalance!P142,Journals!J$14:J$920)+SUMIF(Journals!E$14:E$920,TrialBalance!P142,Journals!J$14:J$920)</f>
        <v>0</v>
      </c>
      <c r="K142" s="409"/>
      <c r="L142" s="411">
        <f t="shared" si="22"/>
        <v>0</v>
      </c>
      <c r="M142" s="84"/>
      <c r="N142" s="57">
        <f t="shared" si="26"/>
        <v>0</v>
      </c>
      <c r="P142" s="197" t="str">
        <f t="shared" si="27"/>
        <v>4700/011</v>
      </c>
      <c r="Q142" s="79"/>
      <c r="S142" s="80"/>
      <c r="T142" s="60"/>
      <c r="U142" s="34"/>
    </row>
    <row r="143" spans="1:21" x14ac:dyDescent="0.2">
      <c r="A143" s="394"/>
      <c r="B143" s="63" t="s">
        <v>375</v>
      </c>
      <c r="C143" s="399"/>
      <c r="D143" s="407"/>
      <c r="E143" s="407"/>
      <c r="F143" s="185"/>
      <c r="G143" s="185"/>
      <c r="H143" s="185"/>
      <c r="I143" s="88"/>
      <c r="J143" s="348">
        <f>SUMIF(Journals!D$14:D$920,TrialBalance!P143,Journals!J$14:J$920)+SUMIF(Journals!E$14:E$920,TrialBalance!P143,Journals!J$14:J$920)</f>
        <v>0</v>
      </c>
      <c r="K143" s="409"/>
      <c r="L143" s="411">
        <f t="shared" si="22"/>
        <v>0</v>
      </c>
      <c r="M143" s="84"/>
      <c r="N143" s="57">
        <f t="shared" si="26"/>
        <v>0</v>
      </c>
      <c r="P143" s="197" t="str">
        <f t="shared" si="27"/>
        <v>4700/012</v>
      </c>
      <c r="Q143" s="79"/>
      <c r="S143" s="80"/>
      <c r="T143" s="60"/>
      <c r="U143" s="34"/>
    </row>
    <row r="144" spans="1:21" x14ac:dyDescent="0.2">
      <c r="A144" s="394"/>
      <c r="B144" s="63" t="s">
        <v>376</v>
      </c>
      <c r="C144" s="399"/>
      <c r="D144" s="407"/>
      <c r="E144" s="407"/>
      <c r="F144" s="185"/>
      <c r="G144" s="185"/>
      <c r="H144" s="185"/>
      <c r="I144" s="88"/>
      <c r="J144" s="348">
        <f>SUMIF(Journals!D$14:D$920,TrialBalance!P144,Journals!J$14:J$920)+SUMIF(Journals!E$14:E$920,TrialBalance!P144,Journals!J$14:J$920)</f>
        <v>0</v>
      </c>
      <c r="K144" s="409"/>
      <c r="L144" s="411">
        <f t="shared" si="22"/>
        <v>0</v>
      </c>
      <c r="M144" s="84"/>
      <c r="N144" s="57">
        <f t="shared" si="26"/>
        <v>0</v>
      </c>
      <c r="P144" s="197" t="str">
        <f t="shared" si="27"/>
        <v>4700/013</v>
      </c>
      <c r="Q144" s="79"/>
      <c r="S144" s="80"/>
      <c r="T144" s="60"/>
      <c r="U144" s="34"/>
    </row>
    <row r="145" spans="1:21" x14ac:dyDescent="0.2">
      <c r="A145" s="394"/>
      <c r="B145" s="63" t="s">
        <v>377</v>
      </c>
      <c r="C145" s="399"/>
      <c r="D145" s="407"/>
      <c r="E145" s="407"/>
      <c r="F145" s="185"/>
      <c r="G145" s="185"/>
      <c r="H145" s="185"/>
      <c r="I145" s="88"/>
      <c r="J145" s="348">
        <f>SUMIF(Journals!D$14:D$920,TrialBalance!P145,Journals!J$14:J$920)+SUMIF(Journals!E$14:E$920,TrialBalance!P145,Journals!J$14:J$920)</f>
        <v>0</v>
      </c>
      <c r="K145" s="409"/>
      <c r="L145" s="411">
        <f t="shared" ref="L145:L147" si="28">ROUND(D145-E145+F145+G145+H145+J145+I145,0)</f>
        <v>0</v>
      </c>
      <c r="M145" s="84"/>
      <c r="N145" s="57">
        <f t="shared" si="26"/>
        <v>0</v>
      </c>
      <c r="P145" s="197" t="str">
        <f t="shared" si="27"/>
        <v>4700/014</v>
      </c>
      <c r="Q145" s="79"/>
      <c r="S145" s="80"/>
      <c r="T145" s="60"/>
      <c r="U145" s="34"/>
    </row>
    <row r="146" spans="1:21" x14ac:dyDescent="0.2">
      <c r="A146" s="394"/>
      <c r="B146" s="63" t="s">
        <v>592</v>
      </c>
      <c r="C146" s="399"/>
      <c r="D146" s="407"/>
      <c r="E146" s="407"/>
      <c r="F146" s="185"/>
      <c r="G146" s="185"/>
      <c r="H146" s="185"/>
      <c r="I146" s="88"/>
      <c r="J146" s="348">
        <f>SUMIF(Journals!D$14:D$920,TrialBalance!P146,Journals!J$14:J$920)+SUMIF(Journals!E$14:E$920,TrialBalance!P146,Journals!J$14:J$920)</f>
        <v>0</v>
      </c>
      <c r="K146" s="409"/>
      <c r="L146" s="411">
        <f t="shared" si="28"/>
        <v>0</v>
      </c>
      <c r="M146" s="84"/>
      <c r="N146" s="57">
        <f t="shared" si="26"/>
        <v>0</v>
      </c>
      <c r="P146" s="197" t="str">
        <f t="shared" si="27"/>
        <v>4700/015</v>
      </c>
      <c r="Q146" s="79"/>
      <c r="S146" s="80"/>
      <c r="T146" s="60"/>
      <c r="U146" s="34"/>
    </row>
    <row r="147" spans="1:21" x14ac:dyDescent="0.2">
      <c r="A147" s="394"/>
      <c r="B147" s="63" t="s">
        <v>603</v>
      </c>
      <c r="C147" s="399"/>
      <c r="D147" s="407"/>
      <c r="E147" s="407"/>
      <c r="F147" s="185"/>
      <c r="G147" s="185"/>
      <c r="H147" s="185"/>
      <c r="I147" s="88"/>
      <c r="J147" s="348">
        <f>SUMIF(Journals!D$14:D$920,TrialBalance!P147,Journals!J$14:J$920)+SUMIF(Journals!E$14:E$920,TrialBalance!P147,Journals!J$14:J$920)</f>
        <v>0</v>
      </c>
      <c r="K147" s="409"/>
      <c r="L147" s="411">
        <f t="shared" si="28"/>
        <v>0</v>
      </c>
      <c r="M147" s="84"/>
      <c r="N147" s="57">
        <f t="shared" si="26"/>
        <v>0</v>
      </c>
      <c r="P147" s="197" t="str">
        <f t="shared" si="27"/>
        <v>4700/016</v>
      </c>
      <c r="Q147" s="79"/>
      <c r="S147" s="80"/>
      <c r="T147" s="60"/>
      <c r="U147" s="34"/>
    </row>
    <row r="148" spans="1:21" x14ac:dyDescent="0.2">
      <c r="A148" s="394"/>
      <c r="B148" s="114" t="s">
        <v>675</v>
      </c>
      <c r="C148" s="399"/>
      <c r="D148" s="407"/>
      <c r="E148" s="407"/>
      <c r="F148" s="185"/>
      <c r="G148" s="185"/>
      <c r="H148" s="185"/>
      <c r="I148" s="88"/>
      <c r="J148" s="348">
        <f>SUMIF(Journals!D$14:D$920,TrialBalance!P148,Journals!J$14:J$920)+SUMIF(Journals!E$14:E$920,TrialBalance!P148,Journals!J$14:J$920)</f>
        <v>0</v>
      </c>
      <c r="K148" s="409"/>
      <c r="L148" s="411">
        <f t="shared" si="22"/>
        <v>0</v>
      </c>
      <c r="M148" s="84"/>
      <c r="N148" s="57">
        <f t="shared" si="26"/>
        <v>0</v>
      </c>
      <c r="P148" s="197" t="str">
        <f t="shared" si="27"/>
        <v>4700/017</v>
      </c>
      <c r="Q148" s="79"/>
      <c r="S148" s="80"/>
      <c r="T148" s="60"/>
      <c r="U148" s="34"/>
    </row>
    <row r="149" spans="1:21" x14ac:dyDescent="0.2">
      <c r="A149" s="394"/>
      <c r="B149" s="114" t="s">
        <v>767</v>
      </c>
      <c r="C149" s="399"/>
      <c r="D149" s="407"/>
      <c r="E149" s="407"/>
      <c r="F149" s="185"/>
      <c r="G149" s="185"/>
      <c r="H149" s="185"/>
      <c r="I149" s="88"/>
      <c r="J149" s="348">
        <f>SUMIF(Journals!D$14:D$920,TrialBalance!P149,Journals!J$14:J$920)+SUMIF(Journals!E$14:E$920,TrialBalance!P149,Journals!J$14:J$920)</f>
        <v>0</v>
      </c>
      <c r="K149" s="409"/>
      <c r="L149" s="411">
        <f t="shared" si="22"/>
        <v>0</v>
      </c>
      <c r="M149" s="84"/>
      <c r="N149" s="57">
        <f t="shared" si="26"/>
        <v>0</v>
      </c>
      <c r="P149" s="197" t="str">
        <f t="shared" si="27"/>
        <v>4700/018</v>
      </c>
      <c r="Q149" s="79"/>
      <c r="S149" s="80"/>
      <c r="T149" s="60"/>
      <c r="U149" s="34"/>
    </row>
    <row r="150" spans="1:21" x14ac:dyDescent="0.2">
      <c r="A150" s="394"/>
      <c r="B150" s="114" t="s">
        <v>768</v>
      </c>
      <c r="C150" s="399"/>
      <c r="D150" s="407"/>
      <c r="E150" s="407"/>
      <c r="F150" s="185"/>
      <c r="G150" s="185"/>
      <c r="H150" s="185"/>
      <c r="I150" s="88"/>
      <c r="J150" s="348">
        <f>SUMIF(Journals!D$14:D$920,TrialBalance!P150,Journals!J$14:J$920)+SUMIF(Journals!E$14:E$920,TrialBalance!P150,Journals!J$14:J$920)</f>
        <v>0</v>
      </c>
      <c r="K150" s="409"/>
      <c r="L150" s="411">
        <f t="shared" si="22"/>
        <v>0</v>
      </c>
      <c r="M150" s="84"/>
      <c r="N150" s="57">
        <f t="shared" si="26"/>
        <v>0</v>
      </c>
      <c r="P150" s="197" t="str">
        <f t="shared" si="27"/>
        <v>4700/019</v>
      </c>
      <c r="Q150" s="79"/>
      <c r="S150" s="80"/>
      <c r="T150" s="60"/>
      <c r="U150" s="34"/>
    </row>
    <row r="151" spans="1:21" x14ac:dyDescent="0.2">
      <c r="A151" s="394"/>
      <c r="B151" s="114" t="s">
        <v>378</v>
      </c>
      <c r="C151" s="399"/>
      <c r="D151" s="406"/>
      <c r="E151" s="407"/>
      <c r="F151" s="185"/>
      <c r="G151" s="185"/>
      <c r="H151" s="185"/>
      <c r="I151" s="88"/>
      <c r="J151" s="348">
        <f>SUMIF(Journals!D$14:D$920,TrialBalance!P151,Journals!J$14:J$920)+SUMIF(Journals!E$14:E$920,TrialBalance!P151,Journals!J$14:J$920)</f>
        <v>0</v>
      </c>
      <c r="K151" s="409"/>
      <c r="L151" s="411">
        <f t="shared" si="22"/>
        <v>0</v>
      </c>
      <c r="M151" s="84"/>
      <c r="N151" s="57">
        <f t="shared" si="26"/>
        <v>0</v>
      </c>
      <c r="P151" s="197" t="str">
        <f t="shared" si="27"/>
        <v>4700/020</v>
      </c>
      <c r="Q151" s="79"/>
      <c r="S151" s="80"/>
      <c r="T151" s="60"/>
      <c r="U151" s="34"/>
    </row>
    <row r="152" spans="1:21" x14ac:dyDescent="0.2">
      <c r="A152" s="394"/>
      <c r="B152" s="114" t="s">
        <v>769</v>
      </c>
      <c r="C152" s="395" t="str">
        <f>IF(Criteria!H13=0,"Interest on finance leases",IF(Criteria!H14=0,"Interest on finance leases",CONCATENATE("Interest on finance leases - ",Criteria!H13)))</f>
        <v>Interest on finance leases - Seafront Hotel</v>
      </c>
      <c r="D152" s="406"/>
      <c r="E152" s="407"/>
      <c r="F152" s="185"/>
      <c r="G152" s="185"/>
      <c r="H152" s="185"/>
      <c r="I152" s="88"/>
      <c r="J152" s="348">
        <f>SUMIF(Journals!D$14:D$920,TrialBalance!P152,Journals!J$14:J$920)+SUMIF(Journals!E$14:E$920,TrialBalance!P152,Journals!J$14:J$920)</f>
        <v>0</v>
      </c>
      <c r="K152" s="409"/>
      <c r="L152" s="411">
        <f t="shared" si="22"/>
        <v>0</v>
      </c>
      <c r="M152" s="84"/>
      <c r="N152" s="57">
        <f t="shared" si="26"/>
        <v>0</v>
      </c>
      <c r="P152" s="197" t="str">
        <f t="shared" si="27"/>
        <v>4700/021Interest on finance leases - Seafront Hotel</v>
      </c>
      <c r="Q152" s="79"/>
      <c r="S152" s="80"/>
      <c r="T152" s="60"/>
      <c r="U152" s="34"/>
    </row>
    <row r="153" spans="1:21" x14ac:dyDescent="0.2">
      <c r="A153" s="394"/>
      <c r="B153" s="63" t="s">
        <v>524</v>
      </c>
      <c r="C153" s="397" t="s">
        <v>416</v>
      </c>
      <c r="D153" s="407"/>
      <c r="E153" s="407"/>
      <c r="F153" s="185"/>
      <c r="G153" s="185"/>
      <c r="H153" s="185"/>
      <c r="I153" s="88"/>
      <c r="J153" s="348">
        <f>SUMIF(Journals!D$14:D$920,TrialBalance!P153,Journals!J$14:J$920)+SUMIF(Journals!E$14:E$920,TrialBalance!P153,Journals!J$14:J$920)</f>
        <v>0</v>
      </c>
      <c r="K153" s="409"/>
      <c r="L153" s="411">
        <f t="shared" si="22"/>
        <v>0</v>
      </c>
      <c r="M153" s="84"/>
      <c r="N153" s="57">
        <f t="shared" si="26"/>
        <v>0</v>
      </c>
      <c r="P153" s="197" t="str">
        <f t="shared" si="27"/>
        <v>4750/000OTHER</v>
      </c>
      <c r="Q153" s="79"/>
      <c r="S153" s="80"/>
      <c r="T153" s="60"/>
      <c r="U153" s="34"/>
    </row>
    <row r="154" spans="1:21" x14ac:dyDescent="0.2">
      <c r="A154" s="394"/>
      <c r="B154" s="63" t="s">
        <v>525</v>
      </c>
      <c r="C154" s="396" t="s">
        <v>1486</v>
      </c>
      <c r="D154" s="406"/>
      <c r="E154" s="407"/>
      <c r="F154" s="185"/>
      <c r="G154" s="185"/>
      <c r="H154" s="185"/>
      <c r="I154" s="88"/>
      <c r="J154" s="348">
        <f>SUMIF(Journals!D$14:D$920,TrialBalance!P154,Journals!J$14:J$920)+SUMIF(Journals!E$14:E$920,TrialBalance!P154,Journals!J$14:J$920)</f>
        <v>0</v>
      </c>
      <c r="K154" s="409"/>
      <c r="L154" s="411">
        <f t="shared" si="22"/>
        <v>0</v>
      </c>
      <c r="M154" s="84"/>
      <c r="N154" s="57">
        <f t="shared" si="26"/>
        <v>0</v>
      </c>
      <c r="P154" s="197" t="str">
        <f t="shared" si="27"/>
        <v>4750/010Impairment losses</v>
      </c>
      <c r="Q154" s="79"/>
      <c r="S154" s="80"/>
      <c r="T154" s="60"/>
      <c r="U154" s="34"/>
    </row>
    <row r="155" spans="1:21" x14ac:dyDescent="0.2">
      <c r="A155" s="394"/>
      <c r="B155" s="114" t="s">
        <v>1553</v>
      </c>
      <c r="C155" s="396" t="s">
        <v>1554</v>
      </c>
      <c r="D155" s="406"/>
      <c r="E155" s="407"/>
      <c r="F155" s="185"/>
      <c r="G155" s="185"/>
      <c r="H155" s="185"/>
      <c r="I155" s="88"/>
      <c r="J155" s="348">
        <f>SUMIF(Journals!D$14:D$920,TrialBalance!P155,Journals!J$14:J$920)+SUMIF(Journals!E$14:E$920,TrialBalance!P155,Journals!J$14:J$920)</f>
        <v>0</v>
      </c>
      <c r="K155" s="409"/>
      <c r="L155" s="411">
        <f t="shared" ref="L155" si="29">ROUND(D155-E155+F155+G155+H155+J155+I155,0)</f>
        <v>0</v>
      </c>
      <c r="M155" s="84"/>
      <c r="N155" s="57">
        <f t="shared" ref="N155" si="30">ROUND(SUM(A155),0)</f>
        <v>0</v>
      </c>
      <c r="P155" s="197" t="str">
        <f t="shared" ref="P155" si="31">CONCATENATE(B155,C155)</f>
        <v>4750/020Reversal - revaluation of investment property</v>
      </c>
      <c r="Q155" s="79"/>
      <c r="S155" s="80"/>
      <c r="T155" s="60"/>
      <c r="U155" s="34"/>
    </row>
    <row r="156" spans="1:21" x14ac:dyDescent="0.2">
      <c r="A156" s="394"/>
      <c r="B156" s="63" t="s">
        <v>379</v>
      </c>
      <c r="C156" s="397" t="s">
        <v>380</v>
      </c>
      <c r="D156" s="406"/>
      <c r="E156" s="407"/>
      <c r="F156" s="185"/>
      <c r="G156" s="185"/>
      <c r="H156" s="185"/>
      <c r="I156" s="88"/>
      <c r="J156" s="348">
        <f>SUMIF(Journals!D$14:D$920,TrialBalance!P156,Journals!J$14:J$920)+SUMIF(Journals!E$14:E$920,TrialBalance!P156,Journals!J$14:J$920)</f>
        <v>0</v>
      </c>
      <c r="K156" s="409"/>
      <c r="L156" s="411">
        <f t="shared" si="22"/>
        <v>0</v>
      </c>
      <c r="M156" s="84"/>
      <c r="N156" s="57">
        <f t="shared" si="26"/>
        <v>0</v>
      </c>
      <c r="P156" s="197" t="str">
        <f t="shared" si="27"/>
        <v>4800/000NORMAL TAXATION</v>
      </c>
      <c r="Q156" s="79"/>
      <c r="S156" s="80"/>
      <c r="T156" s="60"/>
      <c r="U156" s="34"/>
    </row>
    <row r="157" spans="1:21" x14ac:dyDescent="0.2">
      <c r="A157" s="394"/>
      <c r="B157" s="63" t="s">
        <v>381</v>
      </c>
      <c r="C157" s="395" t="s">
        <v>382</v>
      </c>
      <c r="D157" s="406"/>
      <c r="E157" s="407"/>
      <c r="F157" s="185"/>
      <c r="G157" s="185"/>
      <c r="H157" s="185"/>
      <c r="I157" s="88"/>
      <c r="J157" s="348">
        <f>SUMIF(Journals!D$14:D$920,TrialBalance!P157,Journals!J$14:J$920)+SUMIF(Journals!E$14:E$920,TrialBalance!P157,Journals!J$14:J$920)</f>
        <v>0</v>
      </c>
      <c r="K157" s="409"/>
      <c r="L157" s="411">
        <f t="shared" si="22"/>
        <v>0</v>
      </c>
      <c r="M157" s="84"/>
      <c r="N157" s="57">
        <f t="shared" si="26"/>
        <v>0</v>
      </c>
      <c r="P157" s="197" t="str">
        <f t="shared" si="27"/>
        <v>4800/001Tax provided this year</v>
      </c>
      <c r="Q157" s="79"/>
      <c r="S157" s="80"/>
      <c r="T157" s="60"/>
      <c r="U157" s="34"/>
    </row>
    <row r="158" spans="1:21" x14ac:dyDescent="0.2">
      <c r="A158" s="394"/>
      <c r="B158" s="63" t="s">
        <v>383</v>
      </c>
      <c r="C158" s="395" t="s">
        <v>384</v>
      </c>
      <c r="D158" s="406"/>
      <c r="E158" s="407"/>
      <c r="F158" s="185"/>
      <c r="G158" s="185"/>
      <c r="H158" s="185"/>
      <c r="I158" s="88"/>
      <c r="J158" s="348">
        <f>SUMIF(Journals!D$14:D$920,TrialBalance!P158,Journals!J$14:J$920)+SUMIF(Journals!E$14:E$920,TrialBalance!P158,Journals!J$14:J$920)</f>
        <v>0</v>
      </c>
      <c r="K158" s="409"/>
      <c r="L158" s="411">
        <f t="shared" si="22"/>
        <v>0</v>
      </c>
      <c r="M158" s="84"/>
      <c r="N158" s="57">
        <f t="shared" si="26"/>
        <v>0</v>
      </c>
      <c r="P158" s="197" t="str">
        <f t="shared" si="27"/>
        <v>4800/002Tax adjustment previous year</v>
      </c>
      <c r="Q158" s="79"/>
      <c r="S158" s="80"/>
      <c r="T158" s="60"/>
      <c r="U158" s="34"/>
    </row>
    <row r="159" spans="1:21" x14ac:dyDescent="0.2">
      <c r="A159" s="394"/>
      <c r="B159" s="63" t="s">
        <v>231</v>
      </c>
      <c r="C159" s="397" t="s">
        <v>232</v>
      </c>
      <c r="D159" s="406"/>
      <c r="E159" s="407"/>
      <c r="F159" s="185"/>
      <c r="G159" s="185"/>
      <c r="H159" s="185"/>
      <c r="I159" s="88"/>
      <c r="J159" s="348">
        <f>SUMIF(Journals!D$14:D$920,TrialBalance!P159,Journals!J$14:J$920)+SUMIF(Journals!E$14:E$920,TrialBalance!P159,Journals!J$14:J$920)</f>
        <v>0</v>
      </c>
      <c r="K159" s="409"/>
      <c r="L159" s="411">
        <f t="shared" si="22"/>
        <v>0</v>
      </c>
      <c r="M159" s="84"/>
      <c r="N159" s="57">
        <f t="shared" si="26"/>
        <v>0</v>
      </c>
      <c r="P159" s="197" t="str">
        <f t="shared" si="27"/>
        <v>4820/000DEFERRED TAX</v>
      </c>
      <c r="Q159" s="79"/>
      <c r="S159" s="80"/>
      <c r="T159" s="60"/>
      <c r="U159" s="34"/>
    </row>
    <row r="160" spans="1:21" x14ac:dyDescent="0.2">
      <c r="A160" s="394"/>
      <c r="B160" s="63" t="s">
        <v>233</v>
      </c>
      <c r="C160" s="395" t="s">
        <v>234</v>
      </c>
      <c r="D160" s="406"/>
      <c r="E160" s="407"/>
      <c r="F160" s="185"/>
      <c r="G160" s="185"/>
      <c r="H160" s="185"/>
      <c r="I160" s="88"/>
      <c r="J160" s="348">
        <f>SUMIF(Journals!D$14:D$920,TrialBalance!P160,Journals!J$14:J$920)+SUMIF(Journals!E$14:E$920,TrialBalance!P160,Journals!J$14:J$920)</f>
        <v>0</v>
      </c>
      <c r="K160" s="409"/>
      <c r="L160" s="411">
        <f t="shared" si="22"/>
        <v>0</v>
      </c>
      <c r="M160" s="84"/>
      <c r="N160" s="57">
        <f t="shared" si="26"/>
        <v>0</v>
      </c>
      <c r="P160" s="197" t="str">
        <f t="shared" si="27"/>
        <v>4820/001Deferred tax this year</v>
      </c>
      <c r="Q160" s="79"/>
      <c r="S160" s="80"/>
      <c r="T160" s="60"/>
      <c r="U160" s="34"/>
    </row>
    <row r="161" spans="1:21" x14ac:dyDescent="0.2">
      <c r="A161" s="394"/>
      <c r="B161" s="114" t="s">
        <v>235</v>
      </c>
      <c r="C161" s="398" t="s">
        <v>1591</v>
      </c>
      <c r="D161" s="406"/>
      <c r="E161" s="407"/>
      <c r="F161" s="185"/>
      <c r="G161" s="185"/>
      <c r="H161" s="185"/>
      <c r="I161" s="88"/>
      <c r="J161" s="348">
        <f>SUMIF(Journals!D$14:D$920,TrialBalance!P161,Journals!J$14:J$920)+SUMIF(Journals!E$14:E$920,TrialBalance!P161,Journals!J$14:J$920)</f>
        <v>0</v>
      </c>
      <c r="K161" s="409"/>
      <c r="L161" s="411">
        <f t="shared" ref="L161" si="32">ROUND(D161-E161+F161+G161+H161+J161+I161,0)</f>
        <v>0</v>
      </c>
      <c r="M161" s="84"/>
      <c r="N161" s="57">
        <f t="shared" ref="N161" si="33">ROUND(SUM(A161),0)</f>
        <v>0</v>
      </c>
      <c r="P161" s="197" t="str">
        <f t="shared" ref="P161" si="34">CONCATENATE(B161,C161)</f>
        <v>4820/002Deferred tax adjustment on income tax rate change</v>
      </c>
      <c r="Q161" s="79"/>
      <c r="S161" s="80"/>
      <c r="T161" s="60"/>
      <c r="U161" s="34"/>
    </row>
    <row r="162" spans="1:21" x14ac:dyDescent="0.2">
      <c r="A162" s="394"/>
      <c r="B162" s="114" t="s">
        <v>1592</v>
      </c>
      <c r="C162" s="395" t="s">
        <v>236</v>
      </c>
      <c r="D162" s="406"/>
      <c r="E162" s="407"/>
      <c r="F162" s="185"/>
      <c r="G162" s="185"/>
      <c r="H162" s="185"/>
      <c r="I162" s="88"/>
      <c r="J162" s="348">
        <f>SUMIF(Journals!D$14:D$920,TrialBalance!P162,Journals!J$14:J$920)+SUMIF(Journals!E$14:E$920,TrialBalance!P162,Journals!J$14:J$920)</f>
        <v>0</v>
      </c>
      <c r="K162" s="409"/>
      <c r="L162" s="411">
        <f t="shared" si="22"/>
        <v>0</v>
      </c>
      <c r="M162" s="84"/>
      <c r="N162" s="57">
        <f t="shared" si="26"/>
        <v>0</v>
      </c>
      <c r="P162" s="197" t="str">
        <f t="shared" si="27"/>
        <v>4820/003Deferred tax adjustment previous year</v>
      </c>
      <c r="Q162" s="79"/>
      <c r="S162" s="80"/>
      <c r="T162" s="60"/>
      <c r="U162" s="34"/>
    </row>
    <row r="163" spans="1:21" x14ac:dyDescent="0.2">
      <c r="A163" s="394"/>
      <c r="B163" s="63" t="s">
        <v>237</v>
      </c>
      <c r="C163" s="398" t="s">
        <v>565</v>
      </c>
      <c r="D163" s="406"/>
      <c r="E163" s="407"/>
      <c r="F163" s="185"/>
      <c r="G163" s="185"/>
      <c r="H163" s="185"/>
      <c r="I163" s="88"/>
      <c r="J163" s="348">
        <f>SUMIF(Journals!D$14:D$920,TrialBalance!P163,Journals!J$14:J$920)+SUMIF(Journals!E$14:E$920,TrialBalance!P163,Journals!J$14:J$920)</f>
        <v>0</v>
      </c>
      <c r="K163" s="409"/>
      <c r="L163" s="411">
        <f t="shared" si="22"/>
        <v>0</v>
      </c>
      <c r="M163" s="84"/>
      <c r="N163" s="57">
        <f t="shared" si="26"/>
        <v>0</v>
      </c>
      <c r="P163" s="197" t="str">
        <f t="shared" si="27"/>
        <v>4850/000Dividends declared</v>
      </c>
      <c r="Q163" s="79"/>
      <c r="S163" s="80"/>
      <c r="T163" s="60"/>
      <c r="U163" s="34"/>
    </row>
    <row r="164" spans="1:21" x14ac:dyDescent="0.2">
      <c r="A164" s="394"/>
      <c r="B164" s="63" t="s">
        <v>238</v>
      </c>
      <c r="C164" s="395" t="s">
        <v>264</v>
      </c>
      <c r="D164" s="406"/>
      <c r="E164" s="407"/>
      <c r="F164" s="185"/>
      <c r="G164" s="185"/>
      <c r="H164" s="185"/>
      <c r="I164" s="88"/>
      <c r="J164" s="348">
        <f>SUMIF(Journals!D$14:D$920,TrialBalance!P164,Journals!J$14:J$920)+SUMIF(Journals!E$14:E$920,TrialBalance!P164,Journals!J$14:J$920)</f>
        <v>0</v>
      </c>
      <c r="K164" s="409"/>
      <c r="L164" s="411">
        <f t="shared" si="22"/>
        <v>0</v>
      </c>
      <c r="M164" s="84"/>
      <c r="N164" s="57">
        <f t="shared" si="26"/>
        <v>0</v>
      </c>
      <c r="P164" s="197" t="str">
        <f t="shared" si="27"/>
        <v>4860/000Dividends paid</v>
      </c>
      <c r="Q164" s="79"/>
      <c r="S164" s="80"/>
      <c r="T164" s="60"/>
      <c r="U164" s="34"/>
    </row>
    <row r="165" spans="1:21" x14ac:dyDescent="0.2">
      <c r="A165" s="394"/>
      <c r="B165" s="63" t="s">
        <v>284</v>
      </c>
      <c r="C165" s="395"/>
      <c r="D165" s="406"/>
      <c r="E165" s="406"/>
      <c r="F165" s="186"/>
      <c r="G165" s="186"/>
      <c r="H165" s="186"/>
      <c r="I165" s="88"/>
      <c r="J165" s="348"/>
      <c r="K165" s="409"/>
      <c r="L165" s="411">
        <f t="shared" si="22"/>
        <v>0</v>
      </c>
      <c r="M165" s="84"/>
      <c r="N165" s="57">
        <f t="shared" si="26"/>
        <v>0</v>
      </c>
      <c r="P165" s="197">
        <v>0</v>
      </c>
      <c r="Q165" s="79"/>
      <c r="S165" s="80"/>
      <c r="T165" s="60"/>
      <c r="U165" s="34"/>
    </row>
    <row r="166" spans="1:21" x14ac:dyDescent="0.2">
      <c r="A166" s="394"/>
      <c r="B166" s="63" t="s">
        <v>284</v>
      </c>
      <c r="C166" s="395" t="s">
        <v>284</v>
      </c>
      <c r="D166" s="406"/>
      <c r="E166" s="407"/>
      <c r="F166" s="185"/>
      <c r="G166" s="185"/>
      <c r="H166" s="185"/>
      <c r="I166" s="89"/>
      <c r="J166" s="348"/>
      <c r="K166" s="409"/>
      <c r="L166" s="411">
        <f t="shared" si="22"/>
        <v>0</v>
      </c>
      <c r="M166" s="84"/>
      <c r="N166" s="57">
        <f t="shared" si="26"/>
        <v>0</v>
      </c>
      <c r="P166" s="197">
        <v>0</v>
      </c>
      <c r="Q166" s="79"/>
      <c r="S166" s="80"/>
      <c r="T166" s="80"/>
      <c r="U166" s="34"/>
    </row>
    <row r="167" spans="1:21" x14ac:dyDescent="0.2">
      <c r="A167" s="394"/>
      <c r="B167" s="63" t="s">
        <v>284</v>
      </c>
      <c r="C167" s="395"/>
      <c r="D167" s="407"/>
      <c r="E167" s="407"/>
      <c r="F167" s="185"/>
      <c r="G167" s="185"/>
      <c r="H167" s="185"/>
      <c r="I167" s="88"/>
      <c r="J167" s="348"/>
      <c r="K167" s="409"/>
      <c r="L167" s="411">
        <f t="shared" si="22"/>
        <v>0</v>
      </c>
      <c r="M167" s="84"/>
      <c r="N167" s="57">
        <f t="shared" si="26"/>
        <v>0</v>
      </c>
      <c r="P167" s="197">
        <v>0</v>
      </c>
      <c r="Q167" s="79"/>
      <c r="S167" s="80"/>
      <c r="T167" s="60"/>
      <c r="U167" s="34"/>
    </row>
    <row r="168" spans="1:21" x14ac:dyDescent="0.2">
      <c r="A168" s="394"/>
      <c r="B168" s="63" t="s">
        <v>582</v>
      </c>
      <c r="C168" s="397" t="s">
        <v>571</v>
      </c>
      <c r="D168" s="407"/>
      <c r="E168" s="407"/>
      <c r="F168" s="185"/>
      <c r="G168" s="185"/>
      <c r="H168" s="185"/>
      <c r="I168" s="88"/>
      <c r="J168" s="348">
        <f>SUMIF(Journals!D$14:D$920,TrialBalance!P168,Journals!J$14:J$920)+SUMIF(Journals!E$14:E$920,TrialBalance!P168,Journals!J$14:J$920)</f>
        <v>0</v>
      </c>
      <c r="K168" s="409"/>
      <c r="L168" s="411">
        <f t="shared" si="22"/>
        <v>0</v>
      </c>
      <c r="M168" s="84"/>
      <c r="N168" s="57">
        <f t="shared" si="26"/>
        <v>0</v>
      </c>
      <c r="P168" s="197" t="str">
        <f t="shared" ref="P168:P199" si="35">CONCATENATE(B168,C168)</f>
        <v>5100/000SHARE CAPITAL</v>
      </c>
      <c r="Q168" s="79"/>
      <c r="S168" s="80"/>
      <c r="T168" s="60"/>
      <c r="U168" s="34"/>
    </row>
    <row r="169" spans="1:21" x14ac:dyDescent="0.2">
      <c r="A169" s="394"/>
      <c r="B169" s="63" t="s">
        <v>583</v>
      </c>
      <c r="C169" s="398" t="s">
        <v>999</v>
      </c>
      <c r="D169" s="407"/>
      <c r="E169" s="407"/>
      <c r="F169" s="185"/>
      <c r="G169" s="185"/>
      <c r="H169" s="185"/>
      <c r="I169" s="88">
        <f>SUM(N169:N170)</f>
        <v>0</v>
      </c>
      <c r="J169" s="348">
        <f>SUMIF(Journals!D$14:D$920,TrialBalance!P169,Journals!J$14:J$920)+SUMIF(Journals!E$14:E$920,TrialBalance!P169,Journals!J$14:J$920)</f>
        <v>0</v>
      </c>
      <c r="K169" s="409"/>
      <c r="L169" s="411">
        <f t="shared" si="22"/>
        <v>0</v>
      </c>
      <c r="M169" s="84"/>
      <c r="N169" s="57">
        <f t="shared" si="26"/>
        <v>0</v>
      </c>
      <c r="P169" s="197" t="str">
        <f t="shared" si="35"/>
        <v>5100/001Share capital - balance b/fwd</v>
      </c>
      <c r="Q169" s="79"/>
      <c r="R169" s="34"/>
      <c r="S169" s="80"/>
      <c r="T169" s="60"/>
      <c r="U169" s="34"/>
    </row>
    <row r="170" spans="1:21" x14ac:dyDescent="0.2">
      <c r="A170" s="394"/>
      <c r="B170" s="63" t="s">
        <v>584</v>
      </c>
      <c r="C170" s="398" t="s">
        <v>1000</v>
      </c>
      <c r="D170" s="407"/>
      <c r="E170" s="407"/>
      <c r="F170" s="185">
        <f>TrialBalanceA!I170</f>
        <v>0</v>
      </c>
      <c r="G170" s="185">
        <f>TrialBalanceB!I170</f>
        <v>0</v>
      </c>
      <c r="H170" s="185">
        <f>TrialBalanceC!I170</f>
        <v>0</v>
      </c>
      <c r="I170" s="88"/>
      <c r="J170" s="348">
        <f>SUMIF(Journals!D$14:D$920,TrialBalance!P170,Journals!J$14:J$920)+SUMIF(Journals!E$14:E$920,TrialBalance!P170,Journals!J$14:J$920)</f>
        <v>0</v>
      </c>
      <c r="K170" s="409"/>
      <c r="L170" s="411">
        <f t="shared" si="22"/>
        <v>0</v>
      </c>
      <c r="M170" s="84"/>
      <c r="N170" s="57">
        <f t="shared" si="26"/>
        <v>0</v>
      </c>
      <c r="P170" s="197" t="str">
        <f t="shared" si="35"/>
        <v>5100/002Share capital - additions</v>
      </c>
      <c r="Q170" s="79"/>
      <c r="S170" s="80"/>
      <c r="T170" s="60"/>
      <c r="U170" s="34"/>
    </row>
    <row r="171" spans="1:21" x14ac:dyDescent="0.2">
      <c r="A171" s="394"/>
      <c r="B171" s="105" t="s">
        <v>585</v>
      </c>
      <c r="C171" s="397" t="s">
        <v>577</v>
      </c>
      <c r="D171" s="407"/>
      <c r="E171" s="407"/>
      <c r="F171" s="185"/>
      <c r="G171" s="185"/>
      <c r="H171" s="185"/>
      <c r="I171" s="88"/>
      <c r="J171" s="348">
        <f>SUMIF(Journals!D$14:D$920,TrialBalance!P171,Journals!J$14:J$920)+SUMIF(Journals!E$14:E$920,TrialBalance!P171,Journals!J$14:J$920)</f>
        <v>0</v>
      </c>
      <c r="K171" s="409"/>
      <c r="L171" s="411">
        <f t="shared" si="22"/>
        <v>0</v>
      </c>
      <c r="M171" s="84"/>
      <c r="N171" s="57">
        <f t="shared" si="26"/>
        <v>0</v>
      </c>
      <c r="P171" s="197" t="str">
        <f t="shared" si="35"/>
        <v>5110/000SHARE PREMIUM</v>
      </c>
      <c r="Q171" s="79"/>
      <c r="S171" s="80"/>
      <c r="T171" s="60"/>
      <c r="U171" s="34"/>
    </row>
    <row r="172" spans="1:21" x14ac:dyDescent="0.2">
      <c r="A172" s="394"/>
      <c r="B172" s="105" t="s">
        <v>586</v>
      </c>
      <c r="C172" s="398" t="s">
        <v>1001</v>
      </c>
      <c r="D172" s="407"/>
      <c r="E172" s="407"/>
      <c r="F172" s="185"/>
      <c r="G172" s="185"/>
      <c r="H172" s="185"/>
      <c r="I172" s="88">
        <f>SUM(N172:N174)</f>
        <v>0</v>
      </c>
      <c r="J172" s="348">
        <f>SUMIF(Journals!D$14:D$920,TrialBalance!P172,Journals!J$14:J$920)+SUMIF(Journals!E$14:E$920,TrialBalance!P172,Journals!J$14:J$920)</f>
        <v>0</v>
      </c>
      <c r="K172" s="409"/>
      <c r="L172" s="411">
        <f t="shared" si="22"/>
        <v>0</v>
      </c>
      <c r="M172" s="84"/>
      <c r="N172" s="57">
        <f t="shared" si="26"/>
        <v>0</v>
      </c>
      <c r="P172" s="197" t="str">
        <f t="shared" si="35"/>
        <v>5110/001Share premium - balance b/fwd</v>
      </c>
      <c r="Q172" s="79"/>
      <c r="S172" s="80"/>
      <c r="T172" s="60"/>
      <c r="U172" s="34"/>
    </row>
    <row r="173" spans="1:21" x14ac:dyDescent="0.2">
      <c r="A173" s="394"/>
      <c r="B173" s="105" t="s">
        <v>587</v>
      </c>
      <c r="C173" s="398" t="s">
        <v>1002</v>
      </c>
      <c r="D173" s="407"/>
      <c r="E173" s="407"/>
      <c r="F173" s="185">
        <f>TrialBalanceA!I173</f>
        <v>0</v>
      </c>
      <c r="G173" s="185">
        <f>TrialBalanceB!I173</f>
        <v>0</v>
      </c>
      <c r="H173" s="185">
        <f>TrialBalanceC!I173</f>
        <v>0</v>
      </c>
      <c r="I173" s="88"/>
      <c r="J173" s="348">
        <f>SUMIF(Journals!D$14:D$920,TrialBalance!P173,Journals!J$14:J$920)+SUMIF(Journals!E$14:E$920,TrialBalance!P173,Journals!J$14:J$920)</f>
        <v>0</v>
      </c>
      <c r="K173" s="409"/>
      <c r="L173" s="411">
        <f t="shared" si="22"/>
        <v>0</v>
      </c>
      <c r="M173" s="84"/>
      <c r="N173" s="57">
        <f t="shared" si="26"/>
        <v>0</v>
      </c>
      <c r="P173" s="197" t="str">
        <f t="shared" si="35"/>
        <v>5110/002Share premium - additions</v>
      </c>
      <c r="Q173" s="79"/>
      <c r="S173" s="80"/>
      <c r="T173" s="60"/>
      <c r="U173" s="34"/>
    </row>
    <row r="174" spans="1:21" x14ac:dyDescent="0.2">
      <c r="A174" s="394"/>
      <c r="B174" s="105" t="s">
        <v>588</v>
      </c>
      <c r="C174" s="404" t="s">
        <v>589</v>
      </c>
      <c r="D174" s="406"/>
      <c r="E174" s="407"/>
      <c r="F174" s="185">
        <f>TrialBalanceA!I174</f>
        <v>0</v>
      </c>
      <c r="G174" s="185">
        <f>TrialBalanceB!I174</f>
        <v>0</v>
      </c>
      <c r="H174" s="185">
        <f>TrialBalanceC!I174</f>
        <v>0</v>
      </c>
      <c r="I174" s="88"/>
      <c r="J174" s="348">
        <f>SUMIF(Journals!D$14:D$920,TrialBalance!P174,Journals!J$14:J$920)+SUMIF(Journals!E$14:E$920,TrialBalance!P174,Journals!J$14:J$920)</f>
        <v>0</v>
      </c>
      <c r="K174" s="409"/>
      <c r="L174" s="411">
        <f t="shared" si="22"/>
        <v>0</v>
      </c>
      <c r="M174" s="84"/>
      <c r="N174" s="57">
        <f t="shared" si="26"/>
        <v>0</v>
      </c>
      <c r="P174" s="197" t="str">
        <f t="shared" si="35"/>
        <v>5110/003Share premium - transfer</v>
      </c>
      <c r="Q174" s="79"/>
      <c r="S174" s="80"/>
      <c r="T174" s="60"/>
      <c r="U174" s="34"/>
    </row>
    <row r="175" spans="1:21" x14ac:dyDescent="0.2">
      <c r="A175" s="394"/>
      <c r="B175" s="63" t="s">
        <v>534</v>
      </c>
      <c r="C175" s="397" t="s">
        <v>1329</v>
      </c>
      <c r="D175" s="406"/>
      <c r="E175" s="407"/>
      <c r="F175" s="185"/>
      <c r="G175" s="185"/>
      <c r="H175" s="185"/>
      <c r="I175" s="88"/>
      <c r="J175" s="348">
        <f>SUMIF(Journals!D$14:D$920,TrialBalance!P175,Journals!J$14:J$920)+SUMIF(Journals!E$14:E$920,TrialBalance!P175,Journals!J$14:J$920)</f>
        <v>0</v>
      </c>
      <c r="K175" s="409"/>
      <c r="L175" s="411">
        <f t="shared" si="22"/>
        <v>0</v>
      </c>
      <c r="M175" s="84"/>
      <c r="N175" s="57">
        <f t="shared" si="26"/>
        <v>0</v>
      </c>
      <c r="P175" s="197" t="str">
        <f t="shared" si="35"/>
        <v>5120/000REVALUATION RESERVE</v>
      </c>
      <c r="Q175" s="79"/>
      <c r="S175" s="80"/>
      <c r="T175" s="60"/>
      <c r="U175" s="34"/>
    </row>
    <row r="176" spans="1:21" x14ac:dyDescent="0.2">
      <c r="A176" s="394"/>
      <c r="B176" s="63" t="s">
        <v>535</v>
      </c>
      <c r="C176" s="398" t="s">
        <v>1330</v>
      </c>
      <c r="D176" s="406"/>
      <c r="E176" s="407"/>
      <c r="F176" s="185"/>
      <c r="G176" s="185"/>
      <c r="H176" s="185"/>
      <c r="I176" s="88">
        <f>SUM(N176:N178)</f>
        <v>0</v>
      </c>
      <c r="J176" s="348">
        <f>SUMIF(Journals!D$14:D$920,TrialBalance!P176,Journals!J$14:J$920)+SUMIF(Journals!E$14:E$920,TrialBalance!P176,Journals!J$14:J$920)</f>
        <v>0</v>
      </c>
      <c r="K176" s="409"/>
      <c r="L176" s="411">
        <f t="shared" si="22"/>
        <v>0</v>
      </c>
      <c r="M176" s="84"/>
      <c r="N176" s="57">
        <f t="shared" si="26"/>
        <v>0</v>
      </c>
      <c r="P176" s="197" t="str">
        <f t="shared" si="35"/>
        <v>5120/001Revaluation reserve - balance b/fwd</v>
      </c>
      <c r="Q176" s="79"/>
      <c r="S176" s="80"/>
      <c r="T176" s="60"/>
      <c r="U176" s="34"/>
    </row>
    <row r="177" spans="1:21" x14ac:dyDescent="0.2">
      <c r="A177" s="394"/>
      <c r="B177" s="63" t="s">
        <v>536</v>
      </c>
      <c r="C177" s="398" t="s">
        <v>1331</v>
      </c>
      <c r="D177" s="406"/>
      <c r="E177" s="407"/>
      <c r="F177" s="185">
        <f>TrialBalanceA!I177</f>
        <v>0</v>
      </c>
      <c r="G177" s="185">
        <f>TrialBalanceB!I177</f>
        <v>0</v>
      </c>
      <c r="H177" s="185">
        <f>TrialBalanceC!I177</f>
        <v>0</v>
      </c>
      <c r="I177" s="88"/>
      <c r="J177" s="348">
        <f>SUMIF(Journals!D$14:D$920,TrialBalance!P177,Journals!J$14:J$920)+SUMIF(Journals!E$14:E$920,TrialBalance!P177,Journals!J$14:J$920)</f>
        <v>0</v>
      </c>
      <c r="K177" s="409"/>
      <c r="L177" s="411">
        <f t="shared" si="22"/>
        <v>0</v>
      </c>
      <c r="M177" s="84"/>
      <c r="N177" s="57">
        <f t="shared" si="26"/>
        <v>0</v>
      </c>
      <c r="P177" s="197" t="str">
        <f t="shared" si="35"/>
        <v>5120/002Revaluation reserve - additions</v>
      </c>
      <c r="Q177" s="79"/>
      <c r="S177" s="80"/>
      <c r="T177" s="60"/>
      <c r="U177" s="34"/>
    </row>
    <row r="178" spans="1:21" x14ac:dyDescent="0.2">
      <c r="A178" s="394"/>
      <c r="B178" s="63" t="s">
        <v>537</v>
      </c>
      <c r="C178" s="398" t="s">
        <v>1332</v>
      </c>
      <c r="D178" s="406"/>
      <c r="E178" s="407"/>
      <c r="F178" s="185">
        <f>TrialBalanceA!I178</f>
        <v>0</v>
      </c>
      <c r="G178" s="185">
        <f>TrialBalanceB!I178</f>
        <v>0</v>
      </c>
      <c r="H178" s="185">
        <f>TrialBalanceC!I178</f>
        <v>0</v>
      </c>
      <c r="I178" s="88"/>
      <c r="J178" s="348">
        <f>SUMIF(Journals!D$14:D$920,TrialBalance!P178,Journals!J$14:J$920)+SUMIF(Journals!E$14:E$920,TrialBalance!P178,Journals!J$14:J$920)</f>
        <v>0</v>
      </c>
      <c r="K178" s="409"/>
      <c r="L178" s="411">
        <f t="shared" si="22"/>
        <v>0</v>
      </c>
      <c r="M178" s="84"/>
      <c r="N178" s="57">
        <f t="shared" si="26"/>
        <v>0</v>
      </c>
      <c r="P178" s="197" t="str">
        <f t="shared" si="35"/>
        <v>5120/003Revaluation reserve - transfer</v>
      </c>
      <c r="Q178" s="79"/>
      <c r="S178" s="80"/>
      <c r="T178" s="60"/>
      <c r="U178" s="34"/>
    </row>
    <row r="179" spans="1:21" x14ac:dyDescent="0.2">
      <c r="A179" s="394"/>
      <c r="B179" s="63" t="s">
        <v>106</v>
      </c>
      <c r="C179" s="397" t="s">
        <v>304</v>
      </c>
      <c r="D179" s="406"/>
      <c r="E179" s="407"/>
      <c r="F179" s="185"/>
      <c r="G179" s="185"/>
      <c r="H179" s="185"/>
      <c r="I179" s="88"/>
      <c r="J179" s="348">
        <f>SUMIF(Journals!D$14:D$920,TrialBalance!P179,Journals!J$14:J$920)+SUMIF(Journals!E$14:E$920,TrialBalance!P179,Journals!J$14:J$920)</f>
        <v>0</v>
      </c>
      <c r="K179" s="409"/>
      <c r="L179" s="411">
        <f t="shared" si="22"/>
        <v>0</v>
      </c>
      <c r="M179" s="84"/>
      <c r="N179" s="57">
        <f t="shared" si="26"/>
        <v>0</v>
      </c>
      <c r="P179" s="197" t="str">
        <f t="shared" si="35"/>
        <v>5130/000OTHER RESERVES</v>
      </c>
      <c r="Q179" s="79"/>
      <c r="S179" s="80"/>
      <c r="T179" s="60"/>
      <c r="U179" s="34"/>
    </row>
    <row r="180" spans="1:21" x14ac:dyDescent="0.2">
      <c r="A180" s="394"/>
      <c r="B180" s="63" t="s">
        <v>305</v>
      </c>
      <c r="C180" s="398" t="s">
        <v>1003</v>
      </c>
      <c r="D180" s="406"/>
      <c r="E180" s="407"/>
      <c r="F180" s="185"/>
      <c r="G180" s="185"/>
      <c r="H180" s="185"/>
      <c r="I180" s="88">
        <f>SUM(N180:N182)</f>
        <v>0</v>
      </c>
      <c r="J180" s="348">
        <f>SUMIF(Journals!D$14:D$920,TrialBalance!P180,Journals!J$14:J$920)+SUMIF(Journals!E$14:E$920,TrialBalance!P180,Journals!J$14:J$920)</f>
        <v>0</v>
      </c>
      <c r="K180" s="409"/>
      <c r="L180" s="411">
        <f t="shared" si="22"/>
        <v>0</v>
      </c>
      <c r="M180" s="84"/>
      <c r="N180" s="57">
        <f t="shared" si="26"/>
        <v>0</v>
      </c>
      <c r="P180" s="197" t="str">
        <f t="shared" si="35"/>
        <v>5130/001Other reserves - balance b/fwd</v>
      </c>
      <c r="Q180" s="79"/>
      <c r="S180" s="80"/>
      <c r="T180" s="60"/>
      <c r="U180" s="34"/>
    </row>
    <row r="181" spans="1:21" x14ac:dyDescent="0.2">
      <c r="A181" s="394"/>
      <c r="B181" s="63" t="s">
        <v>306</v>
      </c>
      <c r="C181" s="398" t="s">
        <v>1004</v>
      </c>
      <c r="D181" s="406"/>
      <c r="E181" s="407"/>
      <c r="F181" s="185">
        <f>TrialBalanceA!I181</f>
        <v>0</v>
      </c>
      <c r="G181" s="185">
        <f>TrialBalanceB!I181</f>
        <v>0</v>
      </c>
      <c r="H181" s="185">
        <f>TrialBalanceC!I181</f>
        <v>0</v>
      </c>
      <c r="I181" s="88"/>
      <c r="J181" s="348">
        <f>SUMIF(Journals!D$14:D$920,TrialBalance!P181,Journals!J$14:J$920)+SUMIF(Journals!E$14:E$920,TrialBalance!P181,Journals!J$14:J$920)</f>
        <v>0</v>
      </c>
      <c r="K181" s="409"/>
      <c r="L181" s="411">
        <f t="shared" si="22"/>
        <v>0</v>
      </c>
      <c r="M181" s="84"/>
      <c r="N181" s="57">
        <f t="shared" si="26"/>
        <v>0</v>
      </c>
      <c r="P181" s="197" t="str">
        <f t="shared" si="35"/>
        <v>5130/002Other reserves - additions</v>
      </c>
      <c r="Q181" s="79"/>
      <c r="S181" s="80"/>
      <c r="T181" s="60"/>
      <c r="U181" s="34"/>
    </row>
    <row r="182" spans="1:21" x14ac:dyDescent="0.2">
      <c r="A182" s="394"/>
      <c r="B182" s="63" t="s">
        <v>393</v>
      </c>
      <c r="C182" s="395" t="s">
        <v>459</v>
      </c>
      <c r="D182" s="406"/>
      <c r="E182" s="407"/>
      <c r="F182" s="185">
        <f>TrialBalanceA!I182</f>
        <v>0</v>
      </c>
      <c r="G182" s="185">
        <f>TrialBalanceB!I182</f>
        <v>0</v>
      </c>
      <c r="H182" s="185">
        <f>TrialBalanceC!I182</f>
        <v>0</v>
      </c>
      <c r="I182" s="88"/>
      <c r="J182" s="348">
        <f>SUMIF(Journals!D$14:D$920,TrialBalance!P182,Journals!J$14:J$920)+SUMIF(Journals!E$14:E$920,TrialBalance!P182,Journals!J$14:J$920)</f>
        <v>0</v>
      </c>
      <c r="K182" s="409"/>
      <c r="L182" s="411">
        <f t="shared" si="22"/>
        <v>0</v>
      </c>
      <c r="M182" s="84"/>
      <c r="N182" s="57">
        <f t="shared" si="26"/>
        <v>0</v>
      </c>
      <c r="P182" s="197" t="str">
        <f t="shared" si="35"/>
        <v>5130/003Other reserves - transfer</v>
      </c>
      <c r="Q182" s="79"/>
      <c r="S182" s="80"/>
      <c r="T182" s="60"/>
      <c r="U182" s="34"/>
    </row>
    <row r="183" spans="1:21" x14ac:dyDescent="0.2">
      <c r="A183" s="394"/>
      <c r="B183" s="63" t="s">
        <v>460</v>
      </c>
      <c r="C183" s="397" t="s">
        <v>1005</v>
      </c>
      <c r="D183" s="407"/>
      <c r="E183" s="407"/>
      <c r="F183" s="185"/>
      <c r="G183" s="185"/>
      <c r="H183" s="185"/>
      <c r="I183" s="88">
        <f>N183+SUM(N5:N164)</f>
        <v>0</v>
      </c>
      <c r="J183" s="348">
        <f>SUMIF(Journals!D$14:D$920,TrialBalance!P183,Journals!J$14:J$920)+SUMIF(Journals!E$14:E$920,TrialBalance!P183,Journals!J$14:J$920)</f>
        <v>0</v>
      </c>
      <c r="K183" s="409"/>
      <c r="L183" s="411">
        <f t="shared" si="22"/>
        <v>0</v>
      </c>
      <c r="M183" s="84"/>
      <c r="N183" s="57">
        <f t="shared" si="26"/>
        <v>0</v>
      </c>
      <c r="P183" s="197" t="str">
        <f t="shared" si="35"/>
        <v>5200/000(Retained income) / Accumulated loss</v>
      </c>
      <c r="Q183" s="81"/>
      <c r="R183" s="34"/>
      <c r="S183" s="80"/>
      <c r="T183" s="60"/>
      <c r="U183" s="34"/>
    </row>
    <row r="184" spans="1:21" x14ac:dyDescent="0.2">
      <c r="A184" s="394"/>
      <c r="B184" s="63" t="s">
        <v>158</v>
      </c>
      <c r="C184" s="397" t="s">
        <v>159</v>
      </c>
      <c r="D184" s="407"/>
      <c r="E184" s="407"/>
      <c r="F184" s="185"/>
      <c r="G184" s="185"/>
      <c r="H184" s="185"/>
      <c r="I184" s="88"/>
      <c r="J184" s="348">
        <f>SUMIF(Journals!D$14:D$920,TrialBalance!P184,Journals!J$14:J$920)+SUMIF(Journals!E$14:E$920,TrialBalance!P184,Journals!J$14:J$920)</f>
        <v>0</v>
      </c>
      <c r="K184" s="410" t="s">
        <v>688</v>
      </c>
      <c r="L184" s="411">
        <f t="shared" si="22"/>
        <v>0</v>
      </c>
      <c r="M184" s="84"/>
      <c r="N184" s="57">
        <f t="shared" si="26"/>
        <v>0</v>
      </c>
      <c r="P184" s="197" t="str">
        <f t="shared" si="35"/>
        <v>5500/000LONG TERM  INTEREST LIABILITIES</v>
      </c>
      <c r="Q184" s="79"/>
      <c r="R184" s="34"/>
      <c r="S184" s="80"/>
      <c r="T184" s="60"/>
      <c r="U184" s="34"/>
    </row>
    <row r="185" spans="1:21" x14ac:dyDescent="0.2">
      <c r="A185" s="394"/>
      <c r="B185" s="63" t="s">
        <v>160</v>
      </c>
      <c r="C185" s="399"/>
      <c r="D185" s="407"/>
      <c r="E185" s="407"/>
      <c r="F185" s="185">
        <f>TrialBalanceA!I185-TrialBalanceA!K185</f>
        <v>0</v>
      </c>
      <c r="G185" s="185">
        <f>TrialBalanceB!I185-TrialBalanceB!K185</f>
        <v>0</v>
      </c>
      <c r="H185" s="185">
        <f>TrialBalanceC!I185-TrialBalanceC!K185</f>
        <v>0</v>
      </c>
      <c r="I185" s="88">
        <f>N185</f>
        <v>0</v>
      </c>
      <c r="J185" s="348">
        <f>SUMIF(Journals!D$14:D$920,TrialBalance!P185,Journals!J$14:J$920)+SUMIF(Journals!E$14:E$920,TrialBalance!P185,Journals!J$14:J$920)</f>
        <v>0</v>
      </c>
      <c r="K185" s="410"/>
      <c r="L185" s="411">
        <f t="shared" si="22"/>
        <v>0</v>
      </c>
      <c r="M185" s="84"/>
      <c r="N185" s="57">
        <f t="shared" si="26"/>
        <v>0</v>
      </c>
      <c r="P185" s="197" t="str">
        <f t="shared" si="35"/>
        <v>5500/001</v>
      </c>
      <c r="Q185" s="79"/>
      <c r="R185" s="34"/>
      <c r="S185" s="80"/>
      <c r="T185" s="60"/>
      <c r="U185" s="34"/>
    </row>
    <row r="186" spans="1:21" x14ac:dyDescent="0.2">
      <c r="A186" s="394"/>
      <c r="B186" s="63" t="s">
        <v>161</v>
      </c>
      <c r="C186" s="405"/>
      <c r="D186" s="407"/>
      <c r="E186" s="407"/>
      <c r="F186" s="185">
        <f>TrialBalanceA!I186-TrialBalanceA!K186</f>
        <v>0</v>
      </c>
      <c r="G186" s="185">
        <f>TrialBalanceB!I186-TrialBalanceB!K186</f>
        <v>0</v>
      </c>
      <c r="H186" s="185">
        <f>TrialBalanceC!I186-TrialBalanceC!K186</f>
        <v>0</v>
      </c>
      <c r="I186" s="88">
        <f>N186</f>
        <v>0</v>
      </c>
      <c r="J186" s="348">
        <f>SUMIF(Journals!D$14:D$920,TrialBalance!P186,Journals!J$14:J$920)+SUMIF(Journals!E$14:E$920,TrialBalance!P186,Journals!J$14:J$920)</f>
        <v>0</v>
      </c>
      <c r="K186" s="409"/>
      <c r="L186" s="411">
        <f t="shared" si="22"/>
        <v>0</v>
      </c>
      <c r="M186" s="84"/>
      <c r="N186" s="57">
        <f t="shared" si="26"/>
        <v>0</v>
      </c>
      <c r="P186" s="197" t="str">
        <f t="shared" si="35"/>
        <v>5500/002</v>
      </c>
      <c r="Q186" s="79"/>
      <c r="R186" s="34"/>
      <c r="S186" s="80"/>
      <c r="T186" s="60"/>
      <c r="U186" s="34"/>
    </row>
    <row r="187" spans="1:21" x14ac:dyDescent="0.2">
      <c r="A187" s="394"/>
      <c r="B187" s="63" t="s">
        <v>162</v>
      </c>
      <c r="C187" s="405"/>
      <c r="D187" s="406"/>
      <c r="E187" s="406"/>
      <c r="F187" s="185">
        <f>TrialBalanceA!I187-TrialBalanceA!K187</f>
        <v>0</v>
      </c>
      <c r="G187" s="185">
        <f>TrialBalanceB!I187-TrialBalanceB!K187</f>
        <v>0</v>
      </c>
      <c r="H187" s="185">
        <f>TrialBalanceC!I187-TrialBalanceC!K187</f>
        <v>0</v>
      </c>
      <c r="I187" s="88">
        <f>N187</f>
        <v>0</v>
      </c>
      <c r="J187" s="348">
        <f>SUMIF(Journals!D$14:D$920,TrialBalance!P187,Journals!J$14:J$920)+SUMIF(Journals!E$14:E$920,TrialBalance!P187,Journals!J$14:J$920)</f>
        <v>0</v>
      </c>
      <c r="K187" s="409"/>
      <c r="L187" s="411">
        <f t="shared" si="22"/>
        <v>0</v>
      </c>
      <c r="M187" s="84"/>
      <c r="N187" s="57">
        <f t="shared" si="26"/>
        <v>0</v>
      </c>
      <c r="P187" s="197" t="str">
        <f t="shared" si="35"/>
        <v>5500/003</v>
      </c>
      <c r="Q187" s="79"/>
      <c r="R187" s="34"/>
      <c r="S187" s="80"/>
      <c r="T187" s="60"/>
      <c r="U187" s="34"/>
    </row>
    <row r="188" spans="1:21" x14ac:dyDescent="0.2">
      <c r="A188" s="394"/>
      <c r="B188" s="63" t="s">
        <v>163</v>
      </c>
      <c r="C188" s="405"/>
      <c r="D188" s="406"/>
      <c r="E188" s="406"/>
      <c r="F188" s="185">
        <f>TrialBalanceA!I188-TrialBalanceA!K188</f>
        <v>0</v>
      </c>
      <c r="G188" s="185">
        <f>TrialBalanceB!I188-TrialBalanceB!K188</f>
        <v>0</v>
      </c>
      <c r="H188" s="185">
        <f>TrialBalanceC!I188-TrialBalanceC!K188</f>
        <v>0</v>
      </c>
      <c r="I188" s="88">
        <f>N188</f>
        <v>0</v>
      </c>
      <c r="J188" s="348">
        <f>SUMIF(Journals!D$14:D$920,TrialBalance!P188,Journals!J$14:J$920)+SUMIF(Journals!E$14:E$920,TrialBalance!P188,Journals!J$14:J$920)</f>
        <v>0</v>
      </c>
      <c r="K188" s="409"/>
      <c r="L188" s="411">
        <f t="shared" si="22"/>
        <v>0</v>
      </c>
      <c r="M188" s="84"/>
      <c r="N188" s="57">
        <f t="shared" si="26"/>
        <v>0</v>
      </c>
      <c r="P188" s="197" t="str">
        <f t="shared" si="35"/>
        <v>5500/004</v>
      </c>
      <c r="Q188" s="79"/>
      <c r="R188" s="34"/>
      <c r="S188" s="80"/>
      <c r="T188" s="60"/>
      <c r="U188" s="34"/>
    </row>
    <row r="189" spans="1:21" x14ac:dyDescent="0.2">
      <c r="A189" s="394"/>
      <c r="B189" s="63" t="s">
        <v>164</v>
      </c>
      <c r="C189" s="405"/>
      <c r="D189" s="406"/>
      <c r="E189" s="406"/>
      <c r="F189" s="185">
        <f>TrialBalanceA!I189-TrialBalanceA!K189</f>
        <v>0</v>
      </c>
      <c r="G189" s="185">
        <f>TrialBalanceB!I189-TrialBalanceB!K189</f>
        <v>0</v>
      </c>
      <c r="H189" s="185">
        <f>TrialBalanceC!I189-TrialBalanceC!K189</f>
        <v>0</v>
      </c>
      <c r="I189" s="88">
        <f>N189</f>
        <v>0</v>
      </c>
      <c r="J189" s="348">
        <f>SUMIF(Journals!D$14:D$920,TrialBalance!P189,Journals!J$14:J$920)+SUMIF(Journals!E$14:E$920,TrialBalance!P189,Journals!J$14:J$920)</f>
        <v>0</v>
      </c>
      <c r="K189" s="409"/>
      <c r="L189" s="411">
        <f t="shared" si="22"/>
        <v>0</v>
      </c>
      <c r="M189" s="84"/>
      <c r="N189" s="57">
        <f t="shared" si="26"/>
        <v>0</v>
      </c>
      <c r="P189" s="197" t="str">
        <f t="shared" si="35"/>
        <v>5500/005</v>
      </c>
      <c r="Q189" s="79"/>
      <c r="R189" s="34"/>
      <c r="S189" s="80"/>
      <c r="T189" s="60"/>
      <c r="U189" s="34"/>
    </row>
    <row r="190" spans="1:21" x14ac:dyDescent="0.2">
      <c r="A190" s="394"/>
      <c r="B190" s="114" t="s">
        <v>708</v>
      </c>
      <c r="C190" s="405"/>
      <c r="D190" s="406"/>
      <c r="E190" s="406"/>
      <c r="F190" s="185">
        <f>TrialBalanceA!I190-TrialBalanceA!K190</f>
        <v>0</v>
      </c>
      <c r="G190" s="185">
        <f>TrialBalanceB!I190-TrialBalanceB!K190</f>
        <v>0</v>
      </c>
      <c r="H190" s="185">
        <f>TrialBalanceC!I190-TrialBalanceC!K190</f>
        <v>0</v>
      </c>
      <c r="I190" s="88">
        <f t="shared" ref="I190:I201" si="36">N190</f>
        <v>0</v>
      </c>
      <c r="J190" s="348">
        <f>SUMIF(Journals!D$14:D$920,TrialBalance!P190,Journals!J$14:J$920)+SUMIF(Journals!E$14:E$920,TrialBalance!P190,Journals!J$14:J$920)</f>
        <v>0</v>
      </c>
      <c r="K190" s="409"/>
      <c r="L190" s="411">
        <f t="shared" si="22"/>
        <v>0</v>
      </c>
      <c r="M190" s="84"/>
      <c r="N190" s="57">
        <f t="shared" si="26"/>
        <v>0</v>
      </c>
      <c r="P190" s="197" t="str">
        <f t="shared" si="35"/>
        <v>5500/006</v>
      </c>
      <c r="Q190" s="79"/>
      <c r="R190" s="34"/>
      <c r="S190" s="80"/>
      <c r="T190" s="60"/>
      <c r="U190" s="34"/>
    </row>
    <row r="191" spans="1:21" x14ac:dyDescent="0.2">
      <c r="A191" s="394"/>
      <c r="B191" s="114" t="s">
        <v>709</v>
      </c>
      <c r="C191" s="405"/>
      <c r="D191" s="406"/>
      <c r="E191" s="406"/>
      <c r="F191" s="185">
        <f>TrialBalanceA!I191-TrialBalanceA!K191</f>
        <v>0</v>
      </c>
      <c r="G191" s="185">
        <f>TrialBalanceB!I191-TrialBalanceB!K191</f>
        <v>0</v>
      </c>
      <c r="H191" s="185">
        <f>TrialBalanceC!I191-TrialBalanceC!K191</f>
        <v>0</v>
      </c>
      <c r="I191" s="88">
        <f t="shared" si="36"/>
        <v>0</v>
      </c>
      <c r="J191" s="348">
        <f>SUMIF(Journals!D$14:D$920,TrialBalance!P191,Journals!J$14:J$920)+SUMIF(Journals!E$14:E$920,TrialBalance!P191,Journals!J$14:J$920)</f>
        <v>0</v>
      </c>
      <c r="K191" s="409"/>
      <c r="L191" s="411">
        <f t="shared" si="22"/>
        <v>0</v>
      </c>
      <c r="M191" s="84"/>
      <c r="N191" s="57">
        <f t="shared" si="26"/>
        <v>0</v>
      </c>
      <c r="P191" s="197" t="str">
        <f t="shared" si="35"/>
        <v>5500/007</v>
      </c>
      <c r="Q191" s="79"/>
      <c r="R191" s="34"/>
      <c r="S191" s="80"/>
      <c r="T191" s="60"/>
      <c r="U191" s="34"/>
    </row>
    <row r="192" spans="1:21" x14ac:dyDescent="0.2">
      <c r="A192" s="394"/>
      <c r="B192" s="114" t="s">
        <v>710</v>
      </c>
      <c r="C192" s="405"/>
      <c r="D192" s="406"/>
      <c r="E192" s="406"/>
      <c r="F192" s="185">
        <f>TrialBalanceA!I192-TrialBalanceA!K192</f>
        <v>0</v>
      </c>
      <c r="G192" s="185">
        <f>TrialBalanceB!I192-TrialBalanceB!K192</f>
        <v>0</v>
      </c>
      <c r="H192" s="185">
        <f>TrialBalanceC!I192-TrialBalanceC!K192</f>
        <v>0</v>
      </c>
      <c r="I192" s="88">
        <f t="shared" si="36"/>
        <v>0</v>
      </c>
      <c r="J192" s="348">
        <f>SUMIF(Journals!D$14:D$920,TrialBalance!P192,Journals!J$14:J$920)+SUMIF(Journals!E$14:E$920,TrialBalance!P192,Journals!J$14:J$920)</f>
        <v>0</v>
      </c>
      <c r="K192" s="409"/>
      <c r="L192" s="411">
        <f t="shared" si="22"/>
        <v>0</v>
      </c>
      <c r="M192" s="84"/>
      <c r="N192" s="57">
        <f t="shared" si="26"/>
        <v>0</v>
      </c>
      <c r="P192" s="197" t="str">
        <f t="shared" si="35"/>
        <v>5500/008</v>
      </c>
      <c r="Q192" s="79"/>
      <c r="R192" s="34"/>
      <c r="S192" s="80"/>
      <c r="T192" s="60"/>
      <c r="U192" s="34"/>
    </row>
    <row r="193" spans="1:21" x14ac:dyDescent="0.2">
      <c r="A193" s="394"/>
      <c r="B193" s="114" t="s">
        <v>711</v>
      </c>
      <c r="C193" s="405"/>
      <c r="D193" s="406"/>
      <c r="E193" s="406"/>
      <c r="F193" s="185">
        <f>TrialBalanceA!I193-TrialBalanceA!K193</f>
        <v>0</v>
      </c>
      <c r="G193" s="185">
        <f>TrialBalanceB!I193-TrialBalanceB!K193</f>
        <v>0</v>
      </c>
      <c r="H193" s="185">
        <f>TrialBalanceC!I193-TrialBalanceC!K193</f>
        <v>0</v>
      </c>
      <c r="I193" s="88">
        <f t="shared" si="36"/>
        <v>0</v>
      </c>
      <c r="J193" s="348">
        <f>SUMIF(Journals!D$14:D$920,TrialBalance!P193,Journals!J$14:J$920)+SUMIF(Journals!E$14:E$920,TrialBalance!P193,Journals!J$14:J$920)</f>
        <v>0</v>
      </c>
      <c r="K193" s="409"/>
      <c r="L193" s="411">
        <f t="shared" si="22"/>
        <v>0</v>
      </c>
      <c r="M193" s="84"/>
      <c r="N193" s="57">
        <f t="shared" si="26"/>
        <v>0</v>
      </c>
      <c r="P193" s="197" t="str">
        <f t="shared" si="35"/>
        <v>5500/009</v>
      </c>
      <c r="Q193" s="79"/>
      <c r="R193" s="34"/>
      <c r="S193" s="80"/>
      <c r="T193" s="60"/>
      <c r="U193" s="34"/>
    </row>
    <row r="194" spans="1:21" x14ac:dyDescent="0.2">
      <c r="A194" s="394"/>
      <c r="B194" s="114" t="s">
        <v>712</v>
      </c>
      <c r="C194" s="405"/>
      <c r="D194" s="406"/>
      <c r="E194" s="406"/>
      <c r="F194" s="185">
        <f>TrialBalanceA!I194-TrialBalanceA!K194</f>
        <v>0</v>
      </c>
      <c r="G194" s="185">
        <f>TrialBalanceB!I194-TrialBalanceB!K194</f>
        <v>0</v>
      </c>
      <c r="H194" s="185">
        <f>TrialBalanceC!I194-TrialBalanceC!K194</f>
        <v>0</v>
      </c>
      <c r="I194" s="88">
        <f t="shared" si="36"/>
        <v>0</v>
      </c>
      <c r="J194" s="348">
        <f>SUMIF(Journals!D$14:D$920,TrialBalance!P194,Journals!J$14:J$920)+SUMIF(Journals!E$14:E$920,TrialBalance!P194,Journals!J$14:J$920)</f>
        <v>0</v>
      </c>
      <c r="K194" s="409"/>
      <c r="L194" s="411">
        <f t="shared" si="22"/>
        <v>0</v>
      </c>
      <c r="M194" s="84"/>
      <c r="N194" s="57">
        <f t="shared" si="26"/>
        <v>0</v>
      </c>
      <c r="P194" s="197" t="str">
        <f t="shared" si="35"/>
        <v>5500/010</v>
      </c>
      <c r="Q194" s="79"/>
      <c r="R194" s="34"/>
      <c r="S194" s="80"/>
      <c r="T194" s="60"/>
      <c r="U194" s="34"/>
    </row>
    <row r="195" spans="1:21" x14ac:dyDescent="0.2">
      <c r="A195" s="394"/>
      <c r="B195" s="114" t="s">
        <v>713</v>
      </c>
      <c r="C195" s="405"/>
      <c r="D195" s="406"/>
      <c r="E195" s="406"/>
      <c r="F195" s="185">
        <f>TrialBalanceA!I195-TrialBalanceA!K195</f>
        <v>0</v>
      </c>
      <c r="G195" s="185">
        <f>TrialBalanceB!I195-TrialBalanceB!K195</f>
        <v>0</v>
      </c>
      <c r="H195" s="185">
        <f>TrialBalanceC!I195-TrialBalanceC!K195</f>
        <v>0</v>
      </c>
      <c r="I195" s="88">
        <f t="shared" ref="I195:I199" si="37">N195</f>
        <v>0</v>
      </c>
      <c r="J195" s="348">
        <f>SUMIF(Journals!D$14:D$920,TrialBalance!P195,Journals!J$14:J$920)+SUMIF(Journals!E$14:E$920,TrialBalance!P195,Journals!J$14:J$920)</f>
        <v>0</v>
      </c>
      <c r="K195" s="409"/>
      <c r="L195" s="411">
        <f t="shared" si="22"/>
        <v>0</v>
      </c>
      <c r="M195" s="84"/>
      <c r="N195" s="57">
        <f t="shared" si="26"/>
        <v>0</v>
      </c>
      <c r="P195" s="197" t="str">
        <f t="shared" si="35"/>
        <v>5500/011</v>
      </c>
      <c r="Q195" s="79"/>
      <c r="R195" s="34"/>
      <c r="S195" s="80"/>
      <c r="T195" s="60"/>
      <c r="U195" s="34"/>
    </row>
    <row r="196" spans="1:21" x14ac:dyDescent="0.2">
      <c r="A196" s="394"/>
      <c r="B196" s="114" t="s">
        <v>714</v>
      </c>
      <c r="C196" s="405"/>
      <c r="D196" s="406"/>
      <c r="E196" s="406"/>
      <c r="F196" s="185">
        <f>TrialBalanceA!I196-TrialBalanceA!K196</f>
        <v>0</v>
      </c>
      <c r="G196" s="185">
        <f>TrialBalanceB!I196-TrialBalanceB!K196</f>
        <v>0</v>
      </c>
      <c r="H196" s="185">
        <f>TrialBalanceC!I196-TrialBalanceC!K196</f>
        <v>0</v>
      </c>
      <c r="I196" s="88">
        <f t="shared" ref="I196:I197" si="38">N196</f>
        <v>0</v>
      </c>
      <c r="J196" s="348">
        <f>SUMIF(Journals!D$14:D$920,TrialBalance!P196,Journals!J$14:J$920)+SUMIF(Journals!E$14:E$920,TrialBalance!P196,Journals!J$14:J$920)</f>
        <v>0</v>
      </c>
      <c r="K196" s="409"/>
      <c r="L196" s="411">
        <f t="shared" ref="L196:L197" si="39">ROUND(D196-E196+F196+G196+H196+J196+I196,0)</f>
        <v>0</v>
      </c>
      <c r="M196" s="84"/>
      <c r="N196" s="57">
        <f t="shared" si="26"/>
        <v>0</v>
      </c>
      <c r="P196" s="197" t="str">
        <f t="shared" si="35"/>
        <v>5500/012</v>
      </c>
      <c r="Q196" s="79"/>
      <c r="R196" s="34"/>
      <c r="S196" s="80"/>
      <c r="T196" s="60"/>
      <c r="U196" s="34"/>
    </row>
    <row r="197" spans="1:21" x14ac:dyDescent="0.2">
      <c r="A197" s="394"/>
      <c r="B197" s="114" t="s">
        <v>715</v>
      </c>
      <c r="C197" s="405"/>
      <c r="D197" s="406"/>
      <c r="E197" s="406"/>
      <c r="F197" s="185">
        <f>TrialBalanceA!I197-TrialBalanceA!K197</f>
        <v>0</v>
      </c>
      <c r="G197" s="185">
        <f>TrialBalanceB!I197-TrialBalanceB!K197</f>
        <v>0</v>
      </c>
      <c r="H197" s="185">
        <f>TrialBalanceC!I197-TrialBalanceC!K197</f>
        <v>0</v>
      </c>
      <c r="I197" s="88">
        <f t="shared" si="38"/>
        <v>0</v>
      </c>
      <c r="J197" s="348">
        <f>SUMIF(Journals!D$14:D$920,TrialBalance!P197,Journals!J$14:J$920)+SUMIF(Journals!E$14:E$920,TrialBalance!P197,Journals!J$14:J$920)</f>
        <v>0</v>
      </c>
      <c r="K197" s="409"/>
      <c r="L197" s="411">
        <f t="shared" si="39"/>
        <v>0</v>
      </c>
      <c r="M197" s="84"/>
      <c r="N197" s="57">
        <f t="shared" si="26"/>
        <v>0</v>
      </c>
      <c r="P197" s="197" t="str">
        <f t="shared" si="35"/>
        <v>5500/013</v>
      </c>
      <c r="Q197" s="79"/>
      <c r="R197" s="34"/>
      <c r="S197" s="80"/>
      <c r="T197" s="60"/>
      <c r="U197" s="34"/>
    </row>
    <row r="198" spans="1:21" x14ac:dyDescent="0.2">
      <c r="A198" s="394"/>
      <c r="B198" s="114" t="s">
        <v>770</v>
      </c>
      <c r="C198" s="405"/>
      <c r="D198" s="406"/>
      <c r="E198" s="406"/>
      <c r="F198" s="185">
        <f>TrialBalanceA!I198-TrialBalanceA!K198</f>
        <v>0</v>
      </c>
      <c r="G198" s="185">
        <f>TrialBalanceB!I198-TrialBalanceB!K198</f>
        <v>0</v>
      </c>
      <c r="H198" s="185">
        <f>TrialBalanceC!I198-TrialBalanceC!K198</f>
        <v>0</v>
      </c>
      <c r="I198" s="88">
        <f t="shared" si="37"/>
        <v>0</v>
      </c>
      <c r="J198" s="348">
        <f>SUMIF(Journals!D$14:D$920,TrialBalance!P198,Journals!J$14:J$920)+SUMIF(Journals!E$14:E$920,TrialBalance!P198,Journals!J$14:J$920)</f>
        <v>0</v>
      </c>
      <c r="K198" s="409"/>
      <c r="L198" s="411">
        <f t="shared" si="22"/>
        <v>0</v>
      </c>
      <c r="M198" s="84"/>
      <c r="N198" s="57">
        <f t="shared" si="26"/>
        <v>0</v>
      </c>
      <c r="P198" s="197" t="str">
        <f t="shared" si="35"/>
        <v>5500/014</v>
      </c>
      <c r="Q198" s="79"/>
      <c r="R198" s="34"/>
      <c r="S198" s="80"/>
      <c r="T198" s="60"/>
      <c r="U198" s="34"/>
    </row>
    <row r="199" spans="1:21" x14ac:dyDescent="0.2">
      <c r="A199" s="394"/>
      <c r="B199" s="114" t="s">
        <v>771</v>
      </c>
      <c r="C199" s="405"/>
      <c r="D199" s="406"/>
      <c r="E199" s="406"/>
      <c r="F199" s="185">
        <f>TrialBalanceA!I199-TrialBalanceA!K199</f>
        <v>0</v>
      </c>
      <c r="G199" s="185">
        <f>TrialBalanceB!I199-TrialBalanceB!K199</f>
        <v>0</v>
      </c>
      <c r="H199" s="185">
        <f>TrialBalanceC!I199-TrialBalanceC!K199</f>
        <v>0</v>
      </c>
      <c r="I199" s="88">
        <f t="shared" si="37"/>
        <v>0</v>
      </c>
      <c r="J199" s="348">
        <f>SUMIF(Journals!D$14:D$920,TrialBalance!P199,Journals!J$14:J$920)+SUMIF(Journals!E$14:E$920,TrialBalance!P199,Journals!J$14:J$920)</f>
        <v>0</v>
      </c>
      <c r="K199" s="409"/>
      <c r="L199" s="411">
        <f t="shared" si="22"/>
        <v>0</v>
      </c>
      <c r="M199" s="84"/>
      <c r="N199" s="57">
        <f t="shared" si="26"/>
        <v>0</v>
      </c>
      <c r="P199" s="197" t="str">
        <f t="shared" si="35"/>
        <v>5500/015</v>
      </c>
      <c r="Q199" s="79"/>
      <c r="R199" s="34"/>
      <c r="S199" s="80"/>
      <c r="T199" s="60"/>
      <c r="U199" s="34"/>
    </row>
    <row r="200" spans="1:21" x14ac:dyDescent="0.2">
      <c r="A200" s="394"/>
      <c r="B200" s="63" t="s">
        <v>165</v>
      </c>
      <c r="C200" s="395" t="s">
        <v>311</v>
      </c>
      <c r="D200" s="406"/>
      <c r="E200" s="407"/>
      <c r="F200" s="185"/>
      <c r="G200" s="185"/>
      <c r="H200" s="185"/>
      <c r="I200" s="88">
        <f t="shared" si="36"/>
        <v>0</v>
      </c>
      <c r="J200" s="348">
        <f>SUMIF(Journals!D$14:D$920,TrialBalance!P200,Journals!J$14:J$920)+SUMIF(Journals!E$14:E$920,TrialBalance!P200,Journals!J$14:J$920)</f>
        <v>0</v>
      </c>
      <c r="K200" s="409"/>
      <c r="L200" s="411">
        <f t="shared" si="22"/>
        <v>0</v>
      </c>
      <c r="M200" s="84"/>
      <c r="N200" s="57">
        <f t="shared" si="26"/>
        <v>0</v>
      </c>
      <c r="P200" s="197" t="str">
        <f t="shared" ref="P200:P235" si="40">CONCATENATE(B200,C200)</f>
        <v>5520/000Short term portion of long term loans</v>
      </c>
      <c r="Q200" s="79"/>
      <c r="R200" s="34"/>
      <c r="S200" s="80"/>
      <c r="T200" s="60"/>
      <c r="U200" s="34"/>
    </row>
    <row r="201" spans="1:21" x14ac:dyDescent="0.2">
      <c r="A201" s="394"/>
      <c r="B201" s="63" t="s">
        <v>167</v>
      </c>
      <c r="C201" s="397" t="s">
        <v>168</v>
      </c>
      <c r="D201" s="406"/>
      <c r="E201" s="407"/>
      <c r="F201" s="185"/>
      <c r="G201" s="185"/>
      <c r="H201" s="185"/>
      <c r="I201" s="88">
        <f t="shared" si="36"/>
        <v>0</v>
      </c>
      <c r="J201" s="348">
        <f>SUMIF(Journals!D$14:D$920,TrialBalance!P201,Journals!J$14:J$920)+SUMIF(Journals!E$14:E$920,TrialBalance!P201,Journals!J$14:J$920)</f>
        <v>0</v>
      </c>
      <c r="K201" s="410" t="s">
        <v>688</v>
      </c>
      <c r="L201" s="411">
        <f t="shared" si="22"/>
        <v>0</v>
      </c>
      <c r="M201" s="84"/>
      <c r="N201" s="57">
        <f t="shared" si="26"/>
        <v>0</v>
      </c>
      <c r="P201" s="197" t="str">
        <f t="shared" si="40"/>
        <v>5550/000LONG TERM INTEREST FREE LOANS</v>
      </c>
      <c r="Q201" s="79"/>
      <c r="R201" s="34"/>
      <c r="S201" s="80"/>
      <c r="T201" s="60"/>
      <c r="U201" s="34"/>
    </row>
    <row r="202" spans="1:21" x14ac:dyDescent="0.2">
      <c r="A202" s="394"/>
      <c r="B202" s="63" t="s">
        <v>169</v>
      </c>
      <c r="C202" s="405"/>
      <c r="D202" s="407"/>
      <c r="E202" s="407"/>
      <c r="F202" s="185">
        <f>TrialBalanceA!I202-TrialBalanceA!K202</f>
        <v>0</v>
      </c>
      <c r="G202" s="185">
        <f>TrialBalanceB!I202-TrialBalanceB!K202</f>
        <v>0</v>
      </c>
      <c r="H202" s="185">
        <f>TrialBalanceC!I202-TrialBalanceC!K202</f>
        <v>0</v>
      </c>
      <c r="I202" s="88">
        <f t="shared" ref="I202:I215" si="41">N202</f>
        <v>0</v>
      </c>
      <c r="J202" s="348">
        <f>SUMIF(Journals!D$14:D$920,TrialBalance!P202,Journals!J$14:J$920)+SUMIF(Journals!E$14:E$920,TrialBalance!P202,Journals!J$14:J$920)</f>
        <v>0</v>
      </c>
      <c r="K202" s="410"/>
      <c r="L202" s="411">
        <f t="shared" si="22"/>
        <v>0</v>
      </c>
      <c r="M202" s="84"/>
      <c r="N202" s="57">
        <f t="shared" si="26"/>
        <v>0</v>
      </c>
      <c r="P202" s="197" t="str">
        <f t="shared" si="40"/>
        <v>5550/001</v>
      </c>
      <c r="Q202" s="81"/>
      <c r="R202" s="34"/>
      <c r="S202" s="80"/>
      <c r="T202" s="60"/>
      <c r="U202" s="34"/>
    </row>
    <row r="203" spans="1:21" x14ac:dyDescent="0.2">
      <c r="A203" s="394"/>
      <c r="B203" s="63" t="s">
        <v>170</v>
      </c>
      <c r="C203" s="405"/>
      <c r="D203" s="407"/>
      <c r="E203" s="407"/>
      <c r="F203" s="185">
        <f>TrialBalanceA!I203-TrialBalanceA!K203</f>
        <v>0</v>
      </c>
      <c r="G203" s="185">
        <f>TrialBalanceB!I203-TrialBalanceB!K203</f>
        <v>0</v>
      </c>
      <c r="H203" s="185">
        <f>TrialBalanceC!I203-TrialBalanceC!K203</f>
        <v>0</v>
      </c>
      <c r="I203" s="88">
        <f t="shared" si="41"/>
        <v>0</v>
      </c>
      <c r="J203" s="348">
        <f>SUMIF(Journals!D$14:D$920,TrialBalance!P203,Journals!J$14:J$920)+SUMIF(Journals!E$14:E$920,TrialBalance!P203,Journals!J$14:J$920)</f>
        <v>0</v>
      </c>
      <c r="K203" s="410"/>
      <c r="L203" s="411">
        <f t="shared" si="22"/>
        <v>0</v>
      </c>
      <c r="M203" s="84"/>
      <c r="N203" s="57">
        <f t="shared" si="26"/>
        <v>0</v>
      </c>
      <c r="P203" s="197" t="str">
        <f t="shared" si="40"/>
        <v>5550/002</v>
      </c>
      <c r="Q203" s="81"/>
      <c r="R203" s="34"/>
      <c r="S203" s="80"/>
      <c r="T203" s="60"/>
      <c r="U203" s="34"/>
    </row>
    <row r="204" spans="1:21" x14ac:dyDescent="0.2">
      <c r="A204" s="394"/>
      <c r="B204" s="63" t="s">
        <v>171</v>
      </c>
      <c r="C204" s="405"/>
      <c r="D204" s="406"/>
      <c r="E204" s="407"/>
      <c r="F204" s="185">
        <f>TrialBalanceA!I204-TrialBalanceA!K204</f>
        <v>0</v>
      </c>
      <c r="G204" s="185">
        <f>TrialBalanceB!I204-TrialBalanceB!K204</f>
        <v>0</v>
      </c>
      <c r="H204" s="185">
        <f>TrialBalanceC!I204-TrialBalanceC!K204</f>
        <v>0</v>
      </c>
      <c r="I204" s="88">
        <f t="shared" si="41"/>
        <v>0</v>
      </c>
      <c r="J204" s="348">
        <f>SUMIF(Journals!D$14:D$920,TrialBalance!P204,Journals!J$14:J$920)+SUMIF(Journals!E$14:E$920,TrialBalance!P204,Journals!J$14:J$920)</f>
        <v>0</v>
      </c>
      <c r="K204" s="409"/>
      <c r="L204" s="411">
        <f t="shared" si="22"/>
        <v>0</v>
      </c>
      <c r="M204" s="84"/>
      <c r="N204" s="57">
        <f t="shared" si="26"/>
        <v>0</v>
      </c>
      <c r="P204" s="197" t="str">
        <f t="shared" si="40"/>
        <v>5550/003</v>
      </c>
      <c r="Q204" s="81"/>
      <c r="R204" s="34"/>
      <c r="S204" s="80"/>
      <c r="T204" s="60"/>
      <c r="U204" s="34"/>
    </row>
    <row r="205" spans="1:21" x14ac:dyDescent="0.2">
      <c r="A205" s="394"/>
      <c r="B205" s="63" t="s">
        <v>172</v>
      </c>
      <c r="C205" s="405"/>
      <c r="D205" s="406"/>
      <c r="E205" s="407"/>
      <c r="F205" s="185">
        <f>TrialBalanceA!I205-TrialBalanceA!K205</f>
        <v>0</v>
      </c>
      <c r="G205" s="185">
        <f>TrialBalanceB!I205-TrialBalanceB!K205</f>
        <v>0</v>
      </c>
      <c r="H205" s="185">
        <f>TrialBalanceC!I205-TrialBalanceC!K205</f>
        <v>0</v>
      </c>
      <c r="I205" s="88">
        <f t="shared" si="41"/>
        <v>0</v>
      </c>
      <c r="J205" s="348">
        <f>SUMIF(Journals!D$14:D$920,TrialBalance!P205,Journals!J$14:J$920)+SUMIF(Journals!E$14:E$920,TrialBalance!P205,Journals!J$14:J$920)</f>
        <v>0</v>
      </c>
      <c r="K205" s="409"/>
      <c r="L205" s="411">
        <f t="shared" si="22"/>
        <v>0</v>
      </c>
      <c r="M205" s="84"/>
      <c r="N205" s="57">
        <f t="shared" si="26"/>
        <v>0</v>
      </c>
      <c r="P205" s="197" t="str">
        <f t="shared" si="40"/>
        <v>5550/004</v>
      </c>
      <c r="Q205" s="79"/>
      <c r="R205" s="34"/>
      <c r="S205" s="80"/>
      <c r="T205" s="60"/>
      <c r="U205" s="34"/>
    </row>
    <row r="206" spans="1:21" x14ac:dyDescent="0.2">
      <c r="A206" s="394"/>
      <c r="B206" s="63" t="s">
        <v>173</v>
      </c>
      <c r="C206" s="405"/>
      <c r="D206" s="406"/>
      <c r="E206" s="407"/>
      <c r="F206" s="185">
        <f>TrialBalanceA!I206-TrialBalanceA!K206</f>
        <v>0</v>
      </c>
      <c r="G206" s="185">
        <f>TrialBalanceB!I206-TrialBalanceB!K206</f>
        <v>0</v>
      </c>
      <c r="H206" s="185">
        <f>TrialBalanceC!I206-TrialBalanceC!K206</f>
        <v>0</v>
      </c>
      <c r="I206" s="88">
        <f t="shared" si="41"/>
        <v>0</v>
      </c>
      <c r="J206" s="348">
        <f>SUMIF(Journals!D$14:D$920,TrialBalance!P206,Journals!J$14:J$920)+SUMIF(Journals!E$14:E$920,TrialBalance!P206,Journals!J$14:J$920)</f>
        <v>0</v>
      </c>
      <c r="K206" s="409"/>
      <c r="L206" s="411">
        <f t="shared" ref="L206:L277" si="42">ROUND(D206-E206+F206+G206+H206+J206+I206,0)</f>
        <v>0</v>
      </c>
      <c r="M206" s="84"/>
      <c r="N206" s="57">
        <f t="shared" ref="N206:N281" si="43">ROUND(SUM(A206),0)</f>
        <v>0</v>
      </c>
      <c r="P206" s="197" t="str">
        <f t="shared" si="40"/>
        <v>5550/005</v>
      </c>
      <c r="Q206" s="79"/>
      <c r="R206" s="34"/>
      <c r="S206" s="80"/>
      <c r="T206" s="60"/>
      <c r="U206" s="34"/>
    </row>
    <row r="207" spans="1:21" x14ac:dyDescent="0.2">
      <c r="A207" s="394"/>
      <c r="B207" s="114" t="s">
        <v>738</v>
      </c>
      <c r="C207" s="405"/>
      <c r="D207" s="406"/>
      <c r="E207" s="407"/>
      <c r="F207" s="185">
        <f>TrialBalanceA!I207-TrialBalanceA!K207</f>
        <v>0</v>
      </c>
      <c r="G207" s="185">
        <f>TrialBalanceB!I207-TrialBalanceB!K207</f>
        <v>0</v>
      </c>
      <c r="H207" s="185">
        <f>TrialBalanceC!I207-TrialBalanceC!K207</f>
        <v>0</v>
      </c>
      <c r="I207" s="88">
        <f t="shared" ref="I207:I210" si="44">N207</f>
        <v>0</v>
      </c>
      <c r="J207" s="348">
        <f>SUMIF(Journals!D$14:D$920,TrialBalance!P207,Journals!J$14:J$920)+SUMIF(Journals!E$14:E$920,TrialBalance!P207,Journals!J$14:J$920)</f>
        <v>0</v>
      </c>
      <c r="K207" s="409"/>
      <c r="L207" s="411">
        <f t="shared" si="42"/>
        <v>0</v>
      </c>
      <c r="M207" s="84"/>
      <c r="N207" s="57">
        <f t="shared" si="43"/>
        <v>0</v>
      </c>
      <c r="P207" s="197" t="str">
        <f t="shared" si="40"/>
        <v>5550/006</v>
      </c>
      <c r="Q207" s="79"/>
      <c r="R207" s="34"/>
      <c r="S207" s="80"/>
      <c r="T207" s="60"/>
      <c r="U207" s="34"/>
    </row>
    <row r="208" spans="1:21" x14ac:dyDescent="0.2">
      <c r="A208" s="394"/>
      <c r="B208" s="114" t="s">
        <v>739</v>
      </c>
      <c r="C208" s="405"/>
      <c r="D208" s="406"/>
      <c r="E208" s="407"/>
      <c r="F208" s="185">
        <f>TrialBalanceA!I208-TrialBalanceA!K208</f>
        <v>0</v>
      </c>
      <c r="G208" s="185">
        <f>TrialBalanceB!I208-TrialBalanceB!K208</f>
        <v>0</v>
      </c>
      <c r="H208" s="185">
        <f>TrialBalanceC!I208-TrialBalanceC!K208</f>
        <v>0</v>
      </c>
      <c r="I208" s="88">
        <f t="shared" si="44"/>
        <v>0</v>
      </c>
      <c r="J208" s="348">
        <f>SUMIF(Journals!D$14:D$920,TrialBalance!P208,Journals!J$14:J$920)+SUMIF(Journals!E$14:E$920,TrialBalance!P208,Journals!J$14:J$920)</f>
        <v>0</v>
      </c>
      <c r="K208" s="409"/>
      <c r="L208" s="411">
        <f t="shared" si="42"/>
        <v>0</v>
      </c>
      <c r="M208" s="84"/>
      <c r="N208" s="57">
        <f t="shared" si="43"/>
        <v>0</v>
      </c>
      <c r="P208" s="197" t="str">
        <f t="shared" si="40"/>
        <v>5550/007</v>
      </c>
      <c r="Q208" s="79"/>
      <c r="R208" s="34"/>
      <c r="S208" s="80"/>
      <c r="T208" s="60"/>
      <c r="U208" s="34"/>
    </row>
    <row r="209" spans="1:21" x14ac:dyDescent="0.2">
      <c r="A209" s="394"/>
      <c r="B209" s="114" t="s">
        <v>740</v>
      </c>
      <c r="C209" s="405"/>
      <c r="D209" s="406"/>
      <c r="E209" s="407"/>
      <c r="F209" s="185">
        <f>TrialBalanceA!I209-TrialBalanceA!K209</f>
        <v>0</v>
      </c>
      <c r="G209" s="185">
        <f>TrialBalanceB!I209-TrialBalanceB!K209</f>
        <v>0</v>
      </c>
      <c r="H209" s="185">
        <f>TrialBalanceC!I209-TrialBalanceC!K209</f>
        <v>0</v>
      </c>
      <c r="I209" s="88">
        <f t="shared" si="44"/>
        <v>0</v>
      </c>
      <c r="J209" s="348">
        <f>SUMIF(Journals!D$14:D$920,TrialBalance!P209,Journals!J$14:J$920)+SUMIF(Journals!E$14:E$920,TrialBalance!P209,Journals!J$14:J$920)</f>
        <v>0</v>
      </c>
      <c r="K209" s="409"/>
      <c r="L209" s="411">
        <f t="shared" si="42"/>
        <v>0</v>
      </c>
      <c r="M209" s="84"/>
      <c r="N209" s="57">
        <f t="shared" si="43"/>
        <v>0</v>
      </c>
      <c r="P209" s="197" t="str">
        <f t="shared" si="40"/>
        <v>5550/008</v>
      </c>
      <c r="Q209" s="79"/>
      <c r="R209" s="34"/>
      <c r="S209" s="80"/>
      <c r="T209" s="60"/>
      <c r="U209" s="34"/>
    </row>
    <row r="210" spans="1:21" x14ac:dyDescent="0.2">
      <c r="A210" s="394"/>
      <c r="B210" s="114" t="s">
        <v>741</v>
      </c>
      <c r="C210" s="405"/>
      <c r="D210" s="406"/>
      <c r="E210" s="407"/>
      <c r="F210" s="185">
        <f>TrialBalanceA!I210-TrialBalanceA!K210</f>
        <v>0</v>
      </c>
      <c r="G210" s="185">
        <f>TrialBalanceB!I210-TrialBalanceB!K210</f>
        <v>0</v>
      </c>
      <c r="H210" s="185">
        <f>TrialBalanceC!I210-TrialBalanceC!K210</f>
        <v>0</v>
      </c>
      <c r="I210" s="88">
        <f t="shared" si="44"/>
        <v>0</v>
      </c>
      <c r="J210" s="348">
        <f>SUMIF(Journals!D$14:D$920,TrialBalance!P210,Journals!J$14:J$920)+SUMIF(Journals!E$14:E$920,TrialBalance!P210,Journals!J$14:J$920)</f>
        <v>0</v>
      </c>
      <c r="K210" s="409"/>
      <c r="L210" s="411">
        <f t="shared" si="42"/>
        <v>0</v>
      </c>
      <c r="M210" s="84"/>
      <c r="N210" s="57">
        <f t="shared" si="43"/>
        <v>0</v>
      </c>
      <c r="P210" s="197" t="str">
        <f t="shared" si="40"/>
        <v>5550/009</v>
      </c>
      <c r="Q210" s="79"/>
      <c r="R210" s="34"/>
      <c r="S210" s="80"/>
      <c r="T210" s="60"/>
      <c r="U210" s="34"/>
    </row>
    <row r="211" spans="1:21" x14ac:dyDescent="0.2">
      <c r="A211" s="394"/>
      <c r="B211" s="114" t="s">
        <v>764</v>
      </c>
      <c r="C211" s="405"/>
      <c r="D211" s="407"/>
      <c r="E211" s="407"/>
      <c r="F211" s="185">
        <f>TrialBalanceA!I211-TrialBalanceA!K211</f>
        <v>0</v>
      </c>
      <c r="G211" s="185">
        <f>TrialBalanceB!I211-TrialBalanceB!K211</f>
        <v>0</v>
      </c>
      <c r="H211" s="185">
        <f>TrialBalanceC!I211-TrialBalanceC!K211</f>
        <v>0</v>
      </c>
      <c r="I211" s="88">
        <f t="shared" si="41"/>
        <v>0</v>
      </c>
      <c r="J211" s="348">
        <f>SUMIF(Journals!D$14:D$920,TrialBalance!P211,Journals!J$14:J$920)+SUMIF(Journals!E$14:E$920,TrialBalance!P211,Journals!J$14:J$920)</f>
        <v>0</v>
      </c>
      <c r="K211" s="409"/>
      <c r="L211" s="411">
        <f>ROUND(D211-E211+F211+G211+H211+J211+I211,0)</f>
        <v>0</v>
      </c>
      <c r="M211" s="84"/>
      <c r="N211" s="57">
        <f t="shared" si="43"/>
        <v>0</v>
      </c>
      <c r="P211" s="197" t="str">
        <f t="shared" si="40"/>
        <v>5550/010</v>
      </c>
      <c r="Q211" s="79"/>
      <c r="R211" s="34"/>
      <c r="S211" s="80"/>
      <c r="T211" s="60">
        <f>L204+L215</f>
        <v>0</v>
      </c>
      <c r="U211" s="34"/>
    </row>
    <row r="212" spans="1:21" x14ac:dyDescent="0.2">
      <c r="A212" s="394"/>
      <c r="B212" s="114" t="s">
        <v>777</v>
      </c>
      <c r="C212" s="405"/>
      <c r="D212" s="407"/>
      <c r="E212" s="407"/>
      <c r="F212" s="185">
        <f>TrialBalanceA!I212-TrialBalanceA!K212</f>
        <v>0</v>
      </c>
      <c r="G212" s="185">
        <f>TrialBalanceB!I212-TrialBalanceB!K212</f>
        <v>0</v>
      </c>
      <c r="H212" s="185">
        <f>TrialBalanceC!I212-TrialBalanceC!K212</f>
        <v>0</v>
      </c>
      <c r="I212" s="88">
        <f t="shared" si="41"/>
        <v>0</v>
      </c>
      <c r="J212" s="348">
        <f>SUMIF(Journals!D$14:D$920,TrialBalance!P212,Journals!J$14:J$920)+SUMIF(Journals!E$14:E$920,TrialBalance!P212,Journals!J$14:J$920)</f>
        <v>0</v>
      </c>
      <c r="K212" s="409"/>
      <c r="L212" s="411">
        <f>ROUND(D212-E212+F212+G212+H212+J212+I212,0)</f>
        <v>0</v>
      </c>
      <c r="M212" s="84"/>
      <c r="N212" s="57">
        <f t="shared" si="43"/>
        <v>0</v>
      </c>
      <c r="P212" s="197" t="str">
        <f t="shared" si="40"/>
        <v>5550/011</v>
      </c>
      <c r="Q212" s="79"/>
      <c r="R212" s="34"/>
      <c r="S212" s="80"/>
      <c r="T212" s="60"/>
      <c r="U212" s="34"/>
    </row>
    <row r="213" spans="1:21" x14ac:dyDescent="0.2">
      <c r="A213" s="394"/>
      <c r="B213" s="114" t="s">
        <v>778</v>
      </c>
      <c r="C213" s="405"/>
      <c r="D213" s="407"/>
      <c r="E213" s="407"/>
      <c r="F213" s="185">
        <f>TrialBalanceA!I213-TrialBalanceA!K213</f>
        <v>0</v>
      </c>
      <c r="G213" s="185">
        <f>TrialBalanceB!I213-TrialBalanceB!K213</f>
        <v>0</v>
      </c>
      <c r="H213" s="185">
        <f>TrialBalanceC!I213-TrialBalanceC!K213</f>
        <v>0</v>
      </c>
      <c r="I213" s="88">
        <f t="shared" si="41"/>
        <v>0</v>
      </c>
      <c r="J213" s="348">
        <f>SUMIF(Journals!D$14:D$920,TrialBalance!P213,Journals!J$14:J$920)+SUMIF(Journals!E$14:E$920,TrialBalance!P213,Journals!J$14:J$920)</f>
        <v>0</v>
      </c>
      <c r="K213" s="409"/>
      <c r="L213" s="411">
        <f t="shared" si="42"/>
        <v>0</v>
      </c>
      <c r="M213" s="84"/>
      <c r="N213" s="57">
        <f t="shared" si="43"/>
        <v>0</v>
      </c>
      <c r="P213" s="197" t="str">
        <f t="shared" si="40"/>
        <v>5550/012</v>
      </c>
      <c r="Q213" s="79"/>
      <c r="R213" s="34"/>
      <c r="S213" s="80"/>
      <c r="T213" s="60"/>
      <c r="U213" s="34"/>
    </row>
    <row r="214" spans="1:21" x14ac:dyDescent="0.2">
      <c r="A214" s="394"/>
      <c r="B214" s="114" t="s">
        <v>779</v>
      </c>
      <c r="C214" s="405"/>
      <c r="D214" s="407"/>
      <c r="E214" s="407"/>
      <c r="F214" s="185">
        <f>TrialBalanceA!I214-TrialBalanceA!K214</f>
        <v>0</v>
      </c>
      <c r="G214" s="185">
        <f>TrialBalanceB!I214-TrialBalanceB!K214</f>
        <v>0</v>
      </c>
      <c r="H214" s="185">
        <f>TrialBalanceC!I214-TrialBalanceC!K214</f>
        <v>0</v>
      </c>
      <c r="I214" s="88">
        <f t="shared" si="41"/>
        <v>0</v>
      </c>
      <c r="J214" s="348">
        <f>SUMIF(Journals!D$14:D$920,TrialBalance!P214,Journals!J$14:J$920)+SUMIF(Journals!E$14:E$920,TrialBalance!P214,Journals!J$14:J$920)</f>
        <v>0</v>
      </c>
      <c r="K214" s="409"/>
      <c r="L214" s="411">
        <f t="shared" si="42"/>
        <v>0</v>
      </c>
      <c r="M214" s="84"/>
      <c r="N214" s="57">
        <f t="shared" si="43"/>
        <v>0</v>
      </c>
      <c r="P214" s="197" t="str">
        <f t="shared" si="40"/>
        <v>5550/013</v>
      </c>
      <c r="Q214" s="79"/>
      <c r="R214" s="34"/>
      <c r="S214" s="80"/>
      <c r="T214" s="60"/>
      <c r="U214" s="34"/>
    </row>
    <row r="215" spans="1:21" x14ac:dyDescent="0.2">
      <c r="A215" s="394"/>
      <c r="B215" s="114" t="s">
        <v>780</v>
      </c>
      <c r="C215" s="405"/>
      <c r="D215" s="407"/>
      <c r="E215" s="407"/>
      <c r="F215" s="185">
        <f>TrialBalanceA!I215-TrialBalanceA!K215</f>
        <v>0</v>
      </c>
      <c r="G215" s="185">
        <f>TrialBalanceB!I215-TrialBalanceB!K215</f>
        <v>0</v>
      </c>
      <c r="H215" s="185">
        <f>TrialBalanceC!I215-TrialBalanceC!K215</f>
        <v>0</v>
      </c>
      <c r="I215" s="88">
        <f t="shared" si="41"/>
        <v>0</v>
      </c>
      <c r="J215" s="348">
        <f>SUMIF(Journals!D$14:D$920,TrialBalance!P215,Journals!J$14:J$920)+SUMIF(Journals!E$14:E$920,TrialBalance!P215,Journals!J$14:J$920)</f>
        <v>0</v>
      </c>
      <c r="K215" s="409"/>
      <c r="L215" s="411">
        <f t="shared" si="42"/>
        <v>0</v>
      </c>
      <c r="M215" s="84"/>
      <c r="N215" s="57">
        <f t="shared" si="43"/>
        <v>0</v>
      </c>
      <c r="P215" s="197" t="str">
        <f t="shared" si="40"/>
        <v>5550/014</v>
      </c>
      <c r="Q215" s="79"/>
      <c r="R215" s="34"/>
      <c r="S215" s="80"/>
      <c r="T215" s="60"/>
      <c r="U215" s="34"/>
    </row>
    <row r="216" spans="1:21" x14ac:dyDescent="0.2">
      <c r="A216" s="394"/>
      <c r="B216" s="114" t="s">
        <v>781</v>
      </c>
      <c r="C216" s="405"/>
      <c r="D216" s="407"/>
      <c r="E216" s="407"/>
      <c r="F216" s="185">
        <f>TrialBalanceA!I216-TrialBalanceA!K216</f>
        <v>0</v>
      </c>
      <c r="G216" s="185">
        <f>TrialBalanceB!I216-TrialBalanceB!K216</f>
        <v>0</v>
      </c>
      <c r="H216" s="185">
        <f>TrialBalanceC!I216-TrialBalanceC!K216</f>
        <v>0</v>
      </c>
      <c r="I216" s="88">
        <f>N216</f>
        <v>0</v>
      </c>
      <c r="J216" s="348">
        <f>SUMIF(Journals!D$14:D$920,TrialBalance!P216,Journals!J$14:J$920)+SUMIF(Journals!E$14:E$920,TrialBalance!P216,Journals!J$14:J$920)</f>
        <v>0</v>
      </c>
      <c r="K216" s="409"/>
      <c r="L216" s="411">
        <f t="shared" si="42"/>
        <v>0</v>
      </c>
      <c r="M216" s="84"/>
      <c r="N216" s="57">
        <f t="shared" si="43"/>
        <v>0</v>
      </c>
      <c r="P216" s="197" t="str">
        <f t="shared" si="40"/>
        <v>5550/015</v>
      </c>
      <c r="Q216" s="79"/>
      <c r="R216" s="34"/>
      <c r="S216" s="80"/>
      <c r="T216" s="60"/>
      <c r="U216" s="34"/>
    </row>
    <row r="217" spans="1:21" x14ac:dyDescent="0.2">
      <c r="A217" s="394"/>
      <c r="B217" s="114" t="s">
        <v>782</v>
      </c>
      <c r="C217" s="405"/>
      <c r="D217" s="407"/>
      <c r="E217" s="407"/>
      <c r="F217" s="185">
        <f>TrialBalanceA!I217-TrialBalanceA!K217</f>
        <v>0</v>
      </c>
      <c r="G217" s="185">
        <f>TrialBalanceB!I217-TrialBalanceB!K217</f>
        <v>0</v>
      </c>
      <c r="H217" s="185">
        <f>TrialBalanceC!I217-TrialBalanceC!K217</f>
        <v>0</v>
      </c>
      <c r="I217" s="88">
        <f>N217</f>
        <v>0</v>
      </c>
      <c r="J217" s="348">
        <f>SUMIF(Journals!D$14:D$920,TrialBalance!P217,Journals!J$14:J$920)+SUMIF(Journals!E$14:E$920,TrialBalance!P217,Journals!J$14:J$920)</f>
        <v>0</v>
      </c>
      <c r="K217" s="409"/>
      <c r="L217" s="411">
        <f t="shared" si="42"/>
        <v>0</v>
      </c>
      <c r="M217" s="84"/>
      <c r="N217" s="57">
        <f t="shared" si="43"/>
        <v>0</v>
      </c>
      <c r="P217" s="197" t="str">
        <f t="shared" si="40"/>
        <v>5550/016</v>
      </c>
      <c r="Q217" s="79"/>
      <c r="R217" s="34"/>
      <c r="S217" s="80"/>
      <c r="T217" s="60"/>
      <c r="U217" s="34"/>
    </row>
    <row r="218" spans="1:21" x14ac:dyDescent="0.2">
      <c r="A218" s="394"/>
      <c r="B218" s="114" t="s">
        <v>783</v>
      </c>
      <c r="C218" s="405"/>
      <c r="D218" s="407"/>
      <c r="E218" s="407"/>
      <c r="F218" s="185">
        <f>TrialBalanceA!I218-TrialBalanceA!K218</f>
        <v>0</v>
      </c>
      <c r="G218" s="185">
        <f>TrialBalanceB!I218-TrialBalanceB!K218</f>
        <v>0</v>
      </c>
      <c r="H218" s="185">
        <f>TrialBalanceC!I218-TrialBalanceC!K218</f>
        <v>0</v>
      </c>
      <c r="I218" s="88">
        <f>N218</f>
        <v>0</v>
      </c>
      <c r="J218" s="348">
        <f>SUMIF(Journals!D$14:D$920,TrialBalance!P218,Journals!J$14:J$920)+SUMIF(Journals!E$14:E$920,TrialBalance!P218,Journals!J$14:J$920)</f>
        <v>0</v>
      </c>
      <c r="K218" s="409"/>
      <c r="L218" s="411">
        <f t="shared" si="42"/>
        <v>0</v>
      </c>
      <c r="M218" s="84"/>
      <c r="N218" s="57">
        <f t="shared" si="43"/>
        <v>0</v>
      </c>
      <c r="P218" s="197" t="str">
        <f t="shared" si="40"/>
        <v>5550/017</v>
      </c>
      <c r="Q218" s="79"/>
      <c r="R218" s="34"/>
      <c r="S218" s="80"/>
      <c r="T218" s="60"/>
      <c r="U218" s="34"/>
    </row>
    <row r="219" spans="1:21" x14ac:dyDescent="0.2">
      <c r="A219" s="394"/>
      <c r="B219" s="63" t="s">
        <v>174</v>
      </c>
      <c r="C219" s="397" t="s">
        <v>232</v>
      </c>
      <c r="D219" s="406"/>
      <c r="E219" s="407"/>
      <c r="F219" s="185"/>
      <c r="G219" s="185"/>
      <c r="H219" s="185"/>
      <c r="I219" s="88"/>
      <c r="J219" s="348">
        <f>SUMIF(Journals!D$14:D$920,TrialBalance!P219,Journals!J$14:J$920)+SUMIF(Journals!E$14:E$920,TrialBalance!P219,Journals!J$14:J$920)</f>
        <v>0</v>
      </c>
      <c r="K219" s="410" t="s">
        <v>688</v>
      </c>
      <c r="L219" s="411">
        <f t="shared" si="42"/>
        <v>0</v>
      </c>
      <c r="M219" s="84"/>
      <c r="N219" s="57">
        <f t="shared" si="43"/>
        <v>0</v>
      </c>
      <c r="P219" s="197" t="str">
        <f t="shared" si="40"/>
        <v>5700/000DEFERRED TAX</v>
      </c>
      <c r="Q219" s="79"/>
      <c r="R219" s="34"/>
      <c r="S219" s="80"/>
      <c r="T219" s="60"/>
      <c r="U219" s="34"/>
    </row>
    <row r="220" spans="1:21" x14ac:dyDescent="0.2">
      <c r="A220" s="394"/>
      <c r="B220" s="63" t="s">
        <v>175</v>
      </c>
      <c r="C220" s="398" t="s">
        <v>614</v>
      </c>
      <c r="D220" s="406"/>
      <c r="E220" s="407"/>
      <c r="F220" s="185"/>
      <c r="G220" s="185"/>
      <c r="H220" s="185"/>
      <c r="I220" s="88">
        <f>N220+N222+N224+N226</f>
        <v>0</v>
      </c>
      <c r="J220" s="348">
        <f>SUMIF(Journals!D$14:D$920,TrialBalance!P220,Journals!J$14:J$920)+SUMIF(Journals!E$14:E$920,TrialBalance!P220,Journals!J$14:J$920)</f>
        <v>0</v>
      </c>
      <c r="K220" s="409"/>
      <c r="L220" s="411">
        <f t="shared" si="42"/>
        <v>0</v>
      </c>
      <c r="M220" s="84"/>
      <c r="N220" s="57">
        <f t="shared" si="43"/>
        <v>0</v>
      </c>
      <c r="P220" s="197" t="str">
        <f t="shared" si="40"/>
        <v>5700/010Deferred tax balance  depreciation b/fwd</v>
      </c>
      <c r="Q220" s="79"/>
      <c r="R220" s="34"/>
      <c r="S220" s="80"/>
      <c r="T220" s="60"/>
      <c r="U220" s="34"/>
    </row>
    <row r="221" spans="1:21" x14ac:dyDescent="0.2">
      <c r="A221" s="394"/>
      <c r="B221" s="114" t="s">
        <v>742</v>
      </c>
      <c r="C221" s="398" t="s">
        <v>615</v>
      </c>
      <c r="D221" s="406"/>
      <c r="E221" s="407"/>
      <c r="F221" s="185"/>
      <c r="G221" s="185"/>
      <c r="H221" s="185"/>
      <c r="I221" s="88">
        <f>N221+N223+N225+N227</f>
        <v>0</v>
      </c>
      <c r="J221" s="348">
        <f>SUMIF(Journals!D$14:D$920,TrialBalance!P221,Journals!J$14:J$920)+SUMIF(Journals!E$14:E$920,TrialBalance!P221,Journals!J$14:J$920)</f>
        <v>0</v>
      </c>
      <c r="K221" s="409"/>
      <c r="L221" s="411">
        <f t="shared" si="42"/>
        <v>0</v>
      </c>
      <c r="M221" s="84"/>
      <c r="N221" s="57">
        <f t="shared" si="43"/>
        <v>0</v>
      </c>
      <c r="P221" s="197" t="str">
        <f t="shared" si="40"/>
        <v>5700/020Deferred tax balance  tax loss b/fwd</v>
      </c>
      <c r="Q221" s="79"/>
      <c r="R221" s="34"/>
      <c r="S221" s="80"/>
      <c r="T221" s="60"/>
      <c r="U221" s="34"/>
    </row>
    <row r="222" spans="1:21" x14ac:dyDescent="0.2">
      <c r="A222" s="394"/>
      <c r="B222" s="114" t="s">
        <v>1587</v>
      </c>
      <c r="C222" s="398" t="s">
        <v>1588</v>
      </c>
      <c r="D222" s="406"/>
      <c r="E222" s="407"/>
      <c r="F222" s="185">
        <f>TrialBalanceA!I222</f>
        <v>0</v>
      </c>
      <c r="G222" s="185">
        <f>TrialBalanceB!I222</f>
        <v>0</v>
      </c>
      <c r="H222" s="185">
        <f>TrialBalanceC!I222</f>
        <v>0</v>
      </c>
      <c r="I222" s="88"/>
      <c r="J222" s="348">
        <f>SUMIF(Journals!D$14:D$920,TrialBalance!P222,Journals!J$14:J$920)+SUMIF(Journals!E$14:E$920,TrialBalance!P222,Journals!J$14:J$920)</f>
        <v>0</v>
      </c>
      <c r="K222" s="409"/>
      <c r="L222" s="411">
        <f t="shared" ref="L222:L223" si="45">ROUND(D222-E222+F222+G222+H222+J222+I222,0)</f>
        <v>0</v>
      </c>
      <c r="M222" s="84"/>
      <c r="N222" s="57">
        <f t="shared" ref="N222:N223" si="46">ROUND(SUM(A222),0)</f>
        <v>0</v>
      </c>
      <c r="P222" s="197" t="str">
        <f t="shared" ref="P222:P223" si="47">CONCATENATE(B222,C222)</f>
        <v>5700/021Opening balance depreciation tax rate change</v>
      </c>
      <c r="Q222" s="79"/>
      <c r="R222" s="34"/>
      <c r="S222" s="80"/>
      <c r="T222" s="60"/>
      <c r="U222" s="34"/>
    </row>
    <row r="223" spans="1:21" x14ac:dyDescent="0.2">
      <c r="A223" s="394"/>
      <c r="B223" s="114" t="s">
        <v>1589</v>
      </c>
      <c r="C223" s="398" t="s">
        <v>1590</v>
      </c>
      <c r="D223" s="406"/>
      <c r="E223" s="407"/>
      <c r="F223" s="185">
        <f>TrialBalanceA!I223</f>
        <v>0</v>
      </c>
      <c r="G223" s="185">
        <f>TrialBalanceB!I223</f>
        <v>0</v>
      </c>
      <c r="H223" s="185">
        <f>TrialBalanceC!I223</f>
        <v>0</v>
      </c>
      <c r="I223" s="88"/>
      <c r="J223" s="348">
        <f>SUMIF(Journals!D$14:D$920,TrialBalance!P223,Journals!J$14:J$920)+SUMIF(Journals!E$14:E$920,TrialBalance!P223,Journals!J$14:J$920)</f>
        <v>0</v>
      </c>
      <c r="K223" s="409"/>
      <c r="L223" s="411">
        <f t="shared" si="45"/>
        <v>0</v>
      </c>
      <c r="M223" s="84"/>
      <c r="N223" s="57">
        <f t="shared" si="46"/>
        <v>0</v>
      </c>
      <c r="P223" s="197" t="str">
        <f t="shared" si="47"/>
        <v>5700/022Opening balance tax loss tax rate change</v>
      </c>
      <c r="Q223" s="79"/>
      <c r="R223" s="34"/>
      <c r="S223" s="80"/>
      <c r="T223" s="60"/>
      <c r="U223" s="34"/>
    </row>
    <row r="224" spans="1:21" x14ac:dyDescent="0.2">
      <c r="A224" s="394"/>
      <c r="B224" s="114" t="s">
        <v>743</v>
      </c>
      <c r="C224" s="395" t="s">
        <v>176</v>
      </c>
      <c r="D224" s="406"/>
      <c r="E224" s="407"/>
      <c r="F224" s="185">
        <f>TrialBalanceA!I224</f>
        <v>0</v>
      </c>
      <c r="G224" s="185">
        <f>TrialBalanceB!I224</f>
        <v>0</v>
      </c>
      <c r="H224" s="185">
        <f>TrialBalanceC!I224</f>
        <v>0</v>
      </c>
      <c r="I224" s="88"/>
      <c r="J224" s="348">
        <f>SUMIF(Journals!D$14:D$920,TrialBalance!P224,Journals!J$14:J$920)+SUMIF(Journals!E$14:E$920,TrialBalance!P224,Journals!J$14:J$920)</f>
        <v>0</v>
      </c>
      <c r="K224" s="409"/>
      <c r="L224" s="411">
        <f t="shared" si="42"/>
        <v>0</v>
      </c>
      <c r="M224" s="84"/>
      <c r="N224" s="57">
        <f t="shared" si="43"/>
        <v>0</v>
      </c>
      <c r="P224" s="197" t="str">
        <f t="shared" si="40"/>
        <v>5700/030Deferred tax on depreciation for year</v>
      </c>
      <c r="Q224" s="79"/>
      <c r="R224" s="34"/>
      <c r="S224" s="80"/>
      <c r="T224" s="60"/>
      <c r="U224" s="34"/>
    </row>
    <row r="225" spans="1:21" x14ac:dyDescent="0.2">
      <c r="A225" s="394"/>
      <c r="B225" s="114" t="s">
        <v>744</v>
      </c>
      <c r="C225" s="395" t="s">
        <v>177</v>
      </c>
      <c r="D225" s="406"/>
      <c r="E225" s="407"/>
      <c r="F225" s="185">
        <f>TrialBalanceA!I225</f>
        <v>0</v>
      </c>
      <c r="G225" s="185">
        <f>TrialBalanceB!I225</f>
        <v>0</v>
      </c>
      <c r="H225" s="185">
        <f>TrialBalanceC!I225</f>
        <v>0</v>
      </c>
      <c r="I225" s="88"/>
      <c r="J225" s="348">
        <f>SUMIF(Journals!D$14:D$920,TrialBalance!P225,Journals!J$14:J$920)+SUMIF(Journals!E$14:E$920,TrialBalance!P225,Journals!J$14:J$920)</f>
        <v>0</v>
      </c>
      <c r="K225" s="409"/>
      <c r="L225" s="411">
        <f t="shared" si="42"/>
        <v>0</v>
      </c>
      <c r="M225" s="84"/>
      <c r="N225" s="57">
        <f t="shared" si="43"/>
        <v>0</v>
      </c>
      <c r="P225" s="197" t="str">
        <f t="shared" si="40"/>
        <v>5700/040Deferred tax on tax loss for year</v>
      </c>
      <c r="Q225" s="79"/>
      <c r="R225" s="34"/>
      <c r="S225" s="80"/>
      <c r="T225" s="60"/>
      <c r="U225" s="34"/>
    </row>
    <row r="226" spans="1:21" x14ac:dyDescent="0.2">
      <c r="A226" s="394"/>
      <c r="B226" s="114" t="s">
        <v>745</v>
      </c>
      <c r="C226" s="398" t="s">
        <v>724</v>
      </c>
      <c r="D226" s="406"/>
      <c r="E226" s="407"/>
      <c r="F226" s="185">
        <f>TrialBalanceA!I226</f>
        <v>0</v>
      </c>
      <c r="G226" s="185">
        <f>TrialBalanceB!I226</f>
        <v>0</v>
      </c>
      <c r="H226" s="185">
        <f>TrialBalanceC!I226</f>
        <v>0</v>
      </c>
      <c r="I226" s="88"/>
      <c r="J226" s="348">
        <f>SUMIF(Journals!D$14:D$920,TrialBalance!P226,Journals!J$14:J$920)+SUMIF(Journals!E$14:E$920,TrialBalance!P226,Journals!J$14:J$920)</f>
        <v>0</v>
      </c>
      <c r="K226" s="409"/>
      <c r="L226" s="411">
        <f t="shared" si="42"/>
        <v>0</v>
      </c>
      <c r="M226" s="84"/>
      <c r="N226" s="57">
        <f t="shared" si="43"/>
        <v>0</v>
      </c>
      <c r="P226" s="197" t="str">
        <f t="shared" si="40"/>
        <v>5700/050Def tax adj  depreciation previous year</v>
      </c>
      <c r="Q226" s="79"/>
      <c r="R226" s="34"/>
      <c r="S226" s="80"/>
      <c r="T226" s="60"/>
      <c r="U226" s="34"/>
    </row>
    <row r="227" spans="1:21" x14ac:dyDescent="0.2">
      <c r="A227" s="394"/>
      <c r="B227" s="114" t="s">
        <v>746</v>
      </c>
      <c r="C227" s="398" t="s">
        <v>725</v>
      </c>
      <c r="D227" s="406"/>
      <c r="E227" s="407"/>
      <c r="F227" s="185">
        <f>TrialBalanceA!I227</f>
        <v>0</v>
      </c>
      <c r="G227" s="185">
        <f>TrialBalanceB!I227</f>
        <v>0</v>
      </c>
      <c r="H227" s="185">
        <f>TrialBalanceC!I227</f>
        <v>0</v>
      </c>
      <c r="I227" s="88"/>
      <c r="J227" s="348">
        <f>SUMIF(Journals!D$14:D$920,TrialBalance!P227,Journals!J$14:J$920)+SUMIF(Journals!E$14:E$920,TrialBalance!P227,Journals!J$14:J$920)</f>
        <v>0</v>
      </c>
      <c r="K227" s="409"/>
      <c r="L227" s="411">
        <f t="shared" si="42"/>
        <v>0</v>
      </c>
      <c r="M227" s="84"/>
      <c r="N227" s="57">
        <f t="shared" si="43"/>
        <v>0</v>
      </c>
      <c r="P227" s="197" t="str">
        <f t="shared" si="40"/>
        <v>5700/060Def tax adj tax loss previous year</v>
      </c>
      <c r="Q227" s="79"/>
      <c r="R227" s="34"/>
      <c r="S227" s="80"/>
      <c r="T227" s="60"/>
      <c r="U227" s="34"/>
    </row>
    <row r="228" spans="1:21" x14ac:dyDescent="0.2">
      <c r="A228" s="394"/>
      <c r="B228" s="63" t="s">
        <v>178</v>
      </c>
      <c r="C228" s="397" t="s">
        <v>1620</v>
      </c>
      <c r="D228" s="406"/>
      <c r="E228" s="407"/>
      <c r="F228" s="185"/>
      <c r="G228" s="185"/>
      <c r="H228" s="185"/>
      <c r="I228" s="88"/>
      <c r="J228" s="348">
        <f>SUMIF(Journals!D$14:D$920,TrialBalance!P228,Journals!J$14:J$920)+SUMIF(Journals!E$14:E$920,TrialBalance!P228,Journals!J$14:J$920)</f>
        <v>0</v>
      </c>
      <c r="K228" s="410" t="s">
        <v>688</v>
      </c>
      <c r="L228" s="411">
        <f t="shared" si="42"/>
        <v>0</v>
      </c>
      <c r="M228" s="84"/>
      <c r="N228" s="57">
        <f t="shared" si="43"/>
        <v>0</v>
      </c>
      <c r="P228" s="197" t="str">
        <f t="shared" si="40"/>
        <v>6100/000PROPERTY - COST</v>
      </c>
      <c r="Q228" s="79"/>
      <c r="R228" s="34"/>
      <c r="S228" s="80"/>
      <c r="T228" s="60"/>
      <c r="U228" s="34"/>
    </row>
    <row r="229" spans="1:21" x14ac:dyDescent="0.2">
      <c r="A229" s="394"/>
      <c r="B229" s="63" t="s">
        <v>179</v>
      </c>
      <c r="C229" s="398" t="s">
        <v>1621</v>
      </c>
      <c r="D229" s="406"/>
      <c r="E229" s="407"/>
      <c r="F229" s="185"/>
      <c r="G229" s="185"/>
      <c r="H229" s="185"/>
      <c r="I229" s="88">
        <f>SUM(N229:N233)</f>
        <v>0</v>
      </c>
      <c r="J229" s="348">
        <f>SUMIF(Journals!D$14:D$920,TrialBalance!P229,Journals!J$14:J$920)+SUMIF(Journals!E$14:E$920,TrialBalance!P229,Journals!J$14:J$920)</f>
        <v>0</v>
      </c>
      <c r="K229" s="409"/>
      <c r="L229" s="411">
        <f t="shared" si="42"/>
        <v>0</v>
      </c>
      <c r="M229" s="84"/>
      <c r="N229" s="57">
        <f t="shared" si="43"/>
        <v>0</v>
      </c>
      <c r="P229" s="197" t="str">
        <f t="shared" si="40"/>
        <v>6100/001Property - cost b/fwd</v>
      </c>
      <c r="Q229" s="79"/>
      <c r="R229" s="34"/>
      <c r="S229" s="80"/>
      <c r="T229" s="60"/>
      <c r="U229" s="34"/>
    </row>
    <row r="230" spans="1:21" x14ac:dyDescent="0.2">
      <c r="A230" s="394"/>
      <c r="B230" s="63" t="s">
        <v>180</v>
      </c>
      <c r="C230" s="398" t="s">
        <v>1622</v>
      </c>
      <c r="D230" s="406"/>
      <c r="E230" s="406"/>
      <c r="F230" s="185">
        <f>TrialBalanceA!I230</f>
        <v>0</v>
      </c>
      <c r="G230" s="185">
        <f>TrialBalanceB!I230</f>
        <v>0</v>
      </c>
      <c r="H230" s="185">
        <f>TrialBalanceC!I230</f>
        <v>0</v>
      </c>
      <c r="I230" s="88"/>
      <c r="J230" s="348">
        <f>SUMIF(Journals!D$14:D$920,TrialBalance!P230,Journals!J$14:J$920)+SUMIF(Journals!E$14:E$920,TrialBalance!P230,Journals!J$14:J$920)</f>
        <v>0</v>
      </c>
      <c r="K230" s="409"/>
      <c r="L230" s="411">
        <f t="shared" si="42"/>
        <v>0</v>
      </c>
      <c r="M230" s="84"/>
      <c r="N230" s="57">
        <f t="shared" si="43"/>
        <v>0</v>
      </c>
      <c r="P230" s="197" t="str">
        <f t="shared" si="40"/>
        <v>6100/002Property - additions</v>
      </c>
      <c r="Q230" s="79"/>
      <c r="R230" s="34"/>
      <c r="S230" s="80"/>
      <c r="T230" s="60"/>
      <c r="U230" s="34"/>
    </row>
    <row r="231" spans="1:21" x14ac:dyDescent="0.2">
      <c r="A231" s="394"/>
      <c r="B231" s="63" t="s">
        <v>181</v>
      </c>
      <c r="C231" s="398" t="s">
        <v>1623</v>
      </c>
      <c r="D231" s="406"/>
      <c r="E231" s="407"/>
      <c r="F231" s="185">
        <f>TrialBalanceA!I231</f>
        <v>0</v>
      </c>
      <c r="G231" s="185">
        <f>TrialBalanceB!I231</f>
        <v>0</v>
      </c>
      <c r="H231" s="185">
        <f>TrialBalanceC!I231</f>
        <v>0</v>
      </c>
      <c r="I231" s="88"/>
      <c r="J231" s="348">
        <f>SUMIF(Journals!D$14:D$920,TrialBalance!P231,Journals!J$14:J$920)+SUMIF(Journals!E$14:E$920,TrialBalance!P231,Journals!J$14:J$920)</f>
        <v>0</v>
      </c>
      <c r="K231" s="409"/>
      <c r="L231" s="411">
        <f t="shared" si="42"/>
        <v>0</v>
      </c>
      <c r="M231" s="84"/>
      <c r="N231" s="57">
        <f t="shared" si="43"/>
        <v>0</v>
      </c>
      <c r="P231" s="197" t="str">
        <f t="shared" si="40"/>
        <v>6100/003Property - cost of sales</v>
      </c>
      <c r="Q231" s="79"/>
      <c r="R231" s="34"/>
      <c r="S231" s="80"/>
      <c r="T231" s="60"/>
      <c r="U231" s="34"/>
    </row>
    <row r="232" spans="1:21" x14ac:dyDescent="0.2">
      <c r="A232" s="394"/>
      <c r="B232" s="114" t="s">
        <v>1414</v>
      </c>
      <c r="C232" s="398" t="s">
        <v>1624</v>
      </c>
      <c r="D232" s="406"/>
      <c r="E232" s="407"/>
      <c r="F232" s="185">
        <f>TrialBalanceA!I232</f>
        <v>0</v>
      </c>
      <c r="G232" s="185">
        <f>TrialBalanceB!I232</f>
        <v>0</v>
      </c>
      <c r="H232" s="185">
        <f>TrialBalanceC!I232</f>
        <v>0</v>
      </c>
      <c r="I232" s="88"/>
      <c r="J232" s="348">
        <f>SUMIF(Journals!D$14:D$920,TrialBalance!P232,Journals!J$14:J$920)+SUMIF(Journals!E$14:E$920,TrialBalance!P232,Journals!J$14:J$920)</f>
        <v>0</v>
      </c>
      <c r="K232" s="409"/>
      <c r="L232" s="411">
        <f t="shared" ref="L232" si="48">ROUND(D232-E232+F232+G232+H232+J232+I232,0)</f>
        <v>0</v>
      </c>
      <c r="M232" s="84"/>
      <c r="N232" s="57">
        <f t="shared" ref="N232" si="49">ROUND(SUM(A232),0)</f>
        <v>0</v>
      </c>
      <c r="P232" s="197" t="str">
        <f t="shared" ref="P232" si="50">CONCATENATE(B232,C232)</f>
        <v>6100/004Property - transfer to investment property</v>
      </c>
      <c r="Q232" s="79"/>
      <c r="R232" s="34"/>
      <c r="S232" s="80"/>
      <c r="T232" s="60"/>
      <c r="U232" s="34"/>
    </row>
    <row r="233" spans="1:21" x14ac:dyDescent="0.2">
      <c r="A233" s="394"/>
      <c r="B233" s="114" t="s">
        <v>1555</v>
      </c>
      <c r="C233" s="398" t="s">
        <v>1625</v>
      </c>
      <c r="D233" s="406"/>
      <c r="E233" s="407"/>
      <c r="F233" s="185">
        <f>TrialBalanceA!I233</f>
        <v>0</v>
      </c>
      <c r="G233" s="185">
        <f>TrialBalanceB!I233</f>
        <v>0</v>
      </c>
      <c r="H233" s="185">
        <f>TrialBalanceC!I233</f>
        <v>0</v>
      </c>
      <c r="I233" s="88"/>
      <c r="J233" s="348">
        <f>SUMIF(Journals!D$14:D$920,TrialBalance!P233,Journals!J$14:J$920)+SUMIF(Journals!E$14:E$920,TrialBalance!P233,Journals!J$14:J$920)</f>
        <v>0</v>
      </c>
      <c r="K233" s="409"/>
      <c r="L233" s="411">
        <f t="shared" ref="L233" si="51">ROUND(D233-E233+F233+G233+H233+J233+I233,0)</f>
        <v>0</v>
      </c>
      <c r="M233" s="84"/>
      <c r="N233" s="57">
        <f t="shared" ref="N233" si="52">ROUND(SUM(A233),0)</f>
        <v>0</v>
      </c>
      <c r="P233" s="197" t="str">
        <f t="shared" ref="P233" si="53">CONCATENATE(B233,C233)</f>
        <v>6100/005Property - transfer from investment property</v>
      </c>
      <c r="Q233" s="79"/>
      <c r="R233" s="34"/>
      <c r="S233" s="80"/>
      <c r="T233" s="60"/>
      <c r="U233" s="34"/>
    </row>
    <row r="234" spans="1:21" x14ac:dyDescent="0.2">
      <c r="A234" s="394"/>
      <c r="B234" s="63" t="s">
        <v>344</v>
      </c>
      <c r="C234" s="397" t="s">
        <v>1626</v>
      </c>
      <c r="D234" s="406"/>
      <c r="E234" s="407"/>
      <c r="F234" s="185"/>
      <c r="G234" s="185"/>
      <c r="H234" s="185"/>
      <c r="I234" s="88"/>
      <c r="J234" s="348">
        <f>SUMIF(Journals!D$14:D$920,TrialBalance!P234,Journals!J$14:J$920)+SUMIF(Journals!E$14:E$920,TrialBalance!P234,Journals!J$14:J$920)</f>
        <v>0</v>
      </c>
      <c r="K234" s="409"/>
      <c r="L234" s="411">
        <f t="shared" si="42"/>
        <v>0</v>
      </c>
      <c r="M234" s="84"/>
      <c r="N234" s="57">
        <f t="shared" si="43"/>
        <v>0</v>
      </c>
      <c r="P234" s="197" t="str">
        <f t="shared" si="40"/>
        <v>6100/020PROPERTY - ACC DEPR</v>
      </c>
      <c r="Q234" s="79"/>
      <c r="R234" s="34"/>
      <c r="S234" s="80"/>
      <c r="T234" s="60"/>
      <c r="U234" s="34"/>
    </row>
    <row r="235" spans="1:21" x14ac:dyDescent="0.2">
      <c r="A235" s="394"/>
      <c r="B235" s="63" t="s">
        <v>345</v>
      </c>
      <c r="C235" s="398" t="s">
        <v>1627</v>
      </c>
      <c r="D235" s="406"/>
      <c r="E235" s="407"/>
      <c r="F235" s="185"/>
      <c r="G235" s="185"/>
      <c r="H235" s="185"/>
      <c r="I235" s="88">
        <f>SUM(N235:N238)</f>
        <v>0</v>
      </c>
      <c r="J235" s="348">
        <f>SUMIF(Journals!D$14:D$920,TrialBalance!P235,Journals!J$14:J$920)+SUMIF(Journals!E$14:E$920,TrialBalance!P235,Journals!J$14:J$920)</f>
        <v>0</v>
      </c>
      <c r="K235" s="409"/>
      <c r="L235" s="411">
        <f t="shared" si="42"/>
        <v>0</v>
      </c>
      <c r="M235" s="84"/>
      <c r="N235" s="57">
        <f t="shared" si="43"/>
        <v>0</v>
      </c>
      <c r="P235" s="197" t="str">
        <f t="shared" si="40"/>
        <v>6100/021Property - acc depr b/fwd</v>
      </c>
      <c r="Q235" s="79"/>
      <c r="R235" s="34"/>
      <c r="S235" s="80"/>
      <c r="T235" s="60"/>
      <c r="U235" s="34"/>
    </row>
    <row r="236" spans="1:21" x14ac:dyDescent="0.2">
      <c r="A236" s="394"/>
      <c r="B236" s="63" t="s">
        <v>346</v>
      </c>
      <c r="C236" s="398" t="s">
        <v>1628</v>
      </c>
      <c r="D236" s="406"/>
      <c r="E236" s="407"/>
      <c r="F236" s="185">
        <f>TrialBalanceA!I236</f>
        <v>0</v>
      </c>
      <c r="G236" s="185">
        <f>TrialBalanceB!I236</f>
        <v>0</v>
      </c>
      <c r="H236" s="185">
        <f>TrialBalanceC!I236</f>
        <v>0</v>
      </c>
      <c r="I236" s="88">
        <f>-FARegister!Z12</f>
        <v>0</v>
      </c>
      <c r="J236" s="348">
        <f>SUMIF(Journals!D$14:D$920,TrialBalance!P236,Journals!J$14:J$920)+SUMIF(Journals!E$14:E$920,TrialBalance!P236,Journals!J$14:J$920)</f>
        <v>0</v>
      </c>
      <c r="K236" s="409"/>
      <c r="L236" s="411">
        <f t="shared" si="42"/>
        <v>0</v>
      </c>
      <c r="M236" s="84"/>
      <c r="N236" s="57">
        <f t="shared" si="43"/>
        <v>0</v>
      </c>
      <c r="P236" s="197" t="str">
        <f t="shared" ref="P236:P275" si="54">CONCATENATE(B236,C236)</f>
        <v>6100/022Property - depr this year</v>
      </c>
      <c r="Q236" s="79"/>
      <c r="R236" s="34"/>
      <c r="S236" s="80"/>
      <c r="T236" s="60"/>
      <c r="U236" s="34"/>
    </row>
    <row r="237" spans="1:21" x14ac:dyDescent="0.2">
      <c r="A237" s="394"/>
      <c r="B237" s="63" t="s">
        <v>349</v>
      </c>
      <c r="C237" s="398" t="s">
        <v>1629</v>
      </c>
      <c r="D237" s="406"/>
      <c r="E237" s="407"/>
      <c r="F237" s="185">
        <f>TrialBalanceA!I237</f>
        <v>0</v>
      </c>
      <c r="G237" s="185">
        <f>TrialBalanceB!I237</f>
        <v>0</v>
      </c>
      <c r="H237" s="185">
        <f>TrialBalanceC!I237</f>
        <v>0</v>
      </c>
      <c r="I237" s="88"/>
      <c r="J237" s="348">
        <f>SUMIF(Journals!D$14:D$920,TrialBalance!P237,Journals!J$14:J$920)+SUMIF(Journals!E$14:E$920,TrialBalance!P237,Journals!J$14:J$920)</f>
        <v>0</v>
      </c>
      <c r="K237" s="409"/>
      <c r="L237" s="411">
        <f t="shared" si="42"/>
        <v>0</v>
      </c>
      <c r="M237" s="84"/>
      <c r="N237" s="57">
        <f t="shared" si="43"/>
        <v>0</v>
      </c>
      <c r="P237" s="197" t="str">
        <f t="shared" si="54"/>
        <v>6100/023Property - acc depr on sales</v>
      </c>
      <c r="Q237" s="79"/>
      <c r="R237" s="34"/>
      <c r="S237" s="80"/>
      <c r="T237" s="60"/>
      <c r="U237" s="34"/>
    </row>
    <row r="238" spans="1:21" x14ac:dyDescent="0.2">
      <c r="A238" s="394"/>
      <c r="B238" s="114" t="s">
        <v>1543</v>
      </c>
      <c r="C238" s="398" t="s">
        <v>1630</v>
      </c>
      <c r="D238" s="406"/>
      <c r="E238" s="407"/>
      <c r="F238" s="185">
        <f>TrialBalanceA!I238</f>
        <v>0</v>
      </c>
      <c r="G238" s="185">
        <f>TrialBalanceB!I238</f>
        <v>0</v>
      </c>
      <c r="H238" s="185">
        <f>TrialBalanceC!I238</f>
        <v>0</v>
      </c>
      <c r="I238" s="88"/>
      <c r="J238" s="348">
        <f>SUMIF(Journals!D$14:D$920,TrialBalance!P238,Journals!J$14:J$920)+SUMIF(Journals!E$14:E$920,TrialBalance!P238,Journals!J$14:J$920)</f>
        <v>0</v>
      </c>
      <c r="K238" s="409"/>
      <c r="L238" s="411">
        <f t="shared" ref="L238" si="55">ROUND(D238-E238+F238+G238+H238+J238+I238,0)</f>
        <v>0</v>
      </c>
      <c r="M238" s="84"/>
      <c r="N238" s="57">
        <f t="shared" ref="N238" si="56">ROUND(SUM(A238),0)</f>
        <v>0</v>
      </c>
      <c r="P238" s="197" t="str">
        <f t="shared" ref="P238" si="57">CONCATENATE(B238,C238)</f>
        <v>6100/024Property - recoupment of depr</v>
      </c>
      <c r="Q238" s="79"/>
      <c r="R238" s="34"/>
      <c r="S238" s="80"/>
      <c r="T238" s="60"/>
      <c r="U238" s="34"/>
    </row>
    <row r="239" spans="1:21" x14ac:dyDescent="0.2">
      <c r="A239" s="394"/>
      <c r="B239" s="114" t="s">
        <v>862</v>
      </c>
      <c r="C239" s="397" t="s">
        <v>1409</v>
      </c>
      <c r="D239" s="406"/>
      <c r="E239" s="407"/>
      <c r="F239" s="185"/>
      <c r="G239" s="185"/>
      <c r="H239" s="185"/>
      <c r="I239" s="88"/>
      <c r="J239" s="348">
        <f>SUMIF(Journals!D$14:D$920,TrialBalance!P239,Journals!J$14:J$920)+SUMIF(Journals!E$14:E$920,TrialBalance!P239,Journals!J$14:J$920)</f>
        <v>0</v>
      </c>
      <c r="K239" s="409"/>
      <c r="L239" s="411">
        <f t="shared" ref="L239:L243" si="58">ROUND(D239-E239+F239+G239+H239+J239+I239,0)</f>
        <v>0</v>
      </c>
      <c r="M239" s="84"/>
      <c r="N239" s="57">
        <f t="shared" ref="N239:N243" si="59">ROUND(SUM(A239),0)</f>
        <v>0</v>
      </c>
      <c r="P239" s="197" t="str">
        <f t="shared" ref="P239:P243" si="60">CONCATENATE(B239,C239)</f>
        <v>6100/030INVESTMENT PROPERTY - COST</v>
      </c>
      <c r="Q239" s="79"/>
      <c r="R239" s="34"/>
      <c r="S239" s="80"/>
      <c r="T239" s="60"/>
      <c r="U239" s="34"/>
    </row>
    <row r="240" spans="1:21" x14ac:dyDescent="0.2">
      <c r="A240" s="394"/>
      <c r="B240" s="114" t="s">
        <v>863</v>
      </c>
      <c r="C240" s="398" t="s">
        <v>1410</v>
      </c>
      <c r="D240" s="406"/>
      <c r="E240" s="407"/>
      <c r="F240" s="185"/>
      <c r="G240" s="185"/>
      <c r="H240" s="185"/>
      <c r="I240" s="88">
        <f>SUM(N240:N244)</f>
        <v>0</v>
      </c>
      <c r="J240" s="348">
        <f>SUMIF(Journals!D$14:D$920,TrialBalance!P240,Journals!J$14:J$920)+SUMIF(Journals!E$14:E$920,TrialBalance!P240,Journals!J$14:J$920)</f>
        <v>0</v>
      </c>
      <c r="K240" s="409"/>
      <c r="L240" s="411">
        <f t="shared" si="58"/>
        <v>0</v>
      </c>
      <c r="M240" s="84"/>
      <c r="N240" s="57">
        <f t="shared" si="59"/>
        <v>0</v>
      </c>
      <c r="P240" s="197" t="str">
        <f t="shared" si="60"/>
        <v>6100/031Investment property - cost b/fwd</v>
      </c>
      <c r="Q240" s="79"/>
      <c r="R240" s="34"/>
      <c r="S240" s="80"/>
      <c r="T240" s="60"/>
      <c r="U240" s="34"/>
    </row>
    <row r="241" spans="1:21" x14ac:dyDescent="0.2">
      <c r="A241" s="394"/>
      <c r="B241" s="114" t="s">
        <v>864</v>
      </c>
      <c r="C241" s="398" t="s">
        <v>1411</v>
      </c>
      <c r="D241" s="406"/>
      <c r="E241" s="407"/>
      <c r="F241" s="185">
        <f>TrialBalanceA!I241</f>
        <v>0</v>
      </c>
      <c r="G241" s="185">
        <f>TrialBalanceB!I241</f>
        <v>0</v>
      </c>
      <c r="H241" s="185">
        <f>TrialBalanceC!I241</f>
        <v>0</v>
      </c>
      <c r="I241" s="88"/>
      <c r="J241" s="348">
        <f>SUMIF(Journals!D$14:D$920,TrialBalance!P241,Journals!J$14:J$920)+SUMIF(Journals!E$14:E$920,TrialBalance!P241,Journals!J$14:J$920)</f>
        <v>0</v>
      </c>
      <c r="K241" s="409"/>
      <c r="L241" s="411">
        <f t="shared" si="58"/>
        <v>0</v>
      </c>
      <c r="M241" s="84"/>
      <c r="N241" s="57">
        <f t="shared" si="59"/>
        <v>0</v>
      </c>
      <c r="P241" s="197" t="str">
        <f t="shared" si="60"/>
        <v>6100/032Investment property - additions</v>
      </c>
      <c r="Q241" s="79"/>
      <c r="R241" s="34"/>
      <c r="S241" s="80"/>
      <c r="T241" s="60"/>
      <c r="U241" s="34"/>
    </row>
    <row r="242" spans="1:21" x14ac:dyDescent="0.2">
      <c r="A242" s="394"/>
      <c r="B242" s="114" t="s">
        <v>865</v>
      </c>
      <c r="C242" s="398" t="s">
        <v>1412</v>
      </c>
      <c r="D242" s="406"/>
      <c r="E242" s="407"/>
      <c r="F242" s="185">
        <f>TrialBalanceA!I242</f>
        <v>0</v>
      </c>
      <c r="G242" s="185">
        <f>TrialBalanceB!I242</f>
        <v>0</v>
      </c>
      <c r="H242" s="185">
        <f>TrialBalanceC!I242</f>
        <v>0</v>
      </c>
      <c r="I242" s="88"/>
      <c r="J242" s="348">
        <f>SUMIF(Journals!D$14:D$920,TrialBalance!P242,Journals!J$14:J$920)+SUMIF(Journals!E$14:E$920,TrialBalance!P242,Journals!J$14:J$920)</f>
        <v>0</v>
      </c>
      <c r="K242" s="409"/>
      <c r="L242" s="411">
        <f t="shared" si="58"/>
        <v>0</v>
      </c>
      <c r="M242" s="84"/>
      <c r="N242" s="57">
        <f t="shared" si="59"/>
        <v>0</v>
      </c>
      <c r="P242" s="197" t="str">
        <f t="shared" si="60"/>
        <v>6100/033Investment property - cost of sales</v>
      </c>
      <c r="Q242" s="79"/>
      <c r="R242" s="34"/>
      <c r="S242" s="80"/>
      <c r="T242" s="60"/>
      <c r="U242" s="34"/>
    </row>
    <row r="243" spans="1:21" x14ac:dyDescent="0.2">
      <c r="A243" s="394"/>
      <c r="B243" s="114" t="s">
        <v>1535</v>
      </c>
      <c r="C243" s="398" t="s">
        <v>1413</v>
      </c>
      <c r="D243" s="406"/>
      <c r="E243" s="407"/>
      <c r="F243" s="185">
        <f>TrialBalanceA!I243</f>
        <v>0</v>
      </c>
      <c r="G243" s="185">
        <f>TrialBalanceB!I243</f>
        <v>0</v>
      </c>
      <c r="H243" s="185">
        <f>TrialBalanceC!I243</f>
        <v>0</v>
      </c>
      <c r="I243" s="88"/>
      <c r="J243" s="348">
        <f>SUMIF(Journals!D$14:D$920,TrialBalance!P243,Journals!J$14:J$920)+SUMIF(Journals!E$14:E$920,TrialBalance!P243,Journals!J$14:J$920)</f>
        <v>0</v>
      </c>
      <c r="K243" s="409"/>
      <c r="L243" s="411">
        <f t="shared" si="58"/>
        <v>0</v>
      </c>
      <c r="M243" s="84"/>
      <c r="N243" s="57">
        <f t="shared" si="59"/>
        <v>0</v>
      </c>
      <c r="P243" s="197" t="str">
        <f t="shared" si="60"/>
        <v>6100/034Investment property - transfer from property</v>
      </c>
      <c r="Q243" s="79"/>
      <c r="R243" s="34"/>
      <c r="S243" s="80"/>
      <c r="T243" s="60"/>
      <c r="U243" s="34"/>
    </row>
    <row r="244" spans="1:21" x14ac:dyDescent="0.2">
      <c r="A244" s="394"/>
      <c r="B244" s="114" t="s">
        <v>1556</v>
      </c>
      <c r="C244" s="398" t="s">
        <v>1557</v>
      </c>
      <c r="D244" s="406"/>
      <c r="E244" s="407"/>
      <c r="F244" s="185">
        <f>TrialBalanceA!I244</f>
        <v>0</v>
      </c>
      <c r="G244" s="185">
        <f>TrialBalanceB!I244</f>
        <v>0</v>
      </c>
      <c r="H244" s="185">
        <f>TrialBalanceC!I244</f>
        <v>0</v>
      </c>
      <c r="I244" s="88"/>
      <c r="J244" s="348">
        <f>SUMIF(Journals!D$14:D$920,TrialBalance!P244,Journals!J$14:J$920)+SUMIF(Journals!E$14:E$920,TrialBalance!P244,Journals!J$14:J$920)</f>
        <v>0</v>
      </c>
      <c r="K244" s="409"/>
      <c r="L244" s="411">
        <f t="shared" ref="L244" si="61">ROUND(D244-E244+F244+G244+H244+J244+I244,0)</f>
        <v>0</v>
      </c>
      <c r="M244" s="84"/>
      <c r="N244" s="57">
        <f t="shared" ref="N244" si="62">ROUND(SUM(A244),0)</f>
        <v>0</v>
      </c>
      <c r="P244" s="197" t="str">
        <f t="shared" ref="P244" si="63">CONCATENATE(B244,C244)</f>
        <v>6100/035Investment property - transfer to property</v>
      </c>
      <c r="Q244" s="79"/>
      <c r="R244" s="34"/>
      <c r="S244" s="80"/>
      <c r="T244" s="60"/>
      <c r="U244" s="34"/>
    </row>
    <row r="245" spans="1:21" x14ac:dyDescent="0.2">
      <c r="A245" s="394"/>
      <c r="B245" s="114" t="s">
        <v>1536</v>
      </c>
      <c r="C245" s="397" t="s">
        <v>1540</v>
      </c>
      <c r="D245" s="406"/>
      <c r="E245" s="407"/>
      <c r="F245" s="185"/>
      <c r="G245" s="185"/>
      <c r="H245" s="185"/>
      <c r="I245" s="88"/>
      <c r="J245" s="348">
        <f>SUMIF(Journals!D$14:D$920,TrialBalance!P245,Journals!J$14:J$920)+SUMIF(Journals!E$14:E$920,TrialBalance!P245,Journals!J$14:J$920)</f>
        <v>0</v>
      </c>
      <c r="K245" s="410"/>
      <c r="L245" s="411">
        <f t="shared" ref="L245:L249" si="64">ROUND(D245-E245+F245+G245+H245+J245+I245,0)</f>
        <v>0</v>
      </c>
      <c r="M245" s="84"/>
      <c r="N245" s="57">
        <f t="shared" si="43"/>
        <v>0</v>
      </c>
      <c r="P245" s="197" t="str">
        <f t="shared" si="54"/>
        <v>6100/040INVESTMENT PROPERTY - VALUATION</v>
      </c>
      <c r="Q245" s="79"/>
      <c r="R245" s="34"/>
      <c r="S245" s="80"/>
      <c r="T245" s="60"/>
      <c r="U245" s="34"/>
    </row>
    <row r="246" spans="1:21" x14ac:dyDescent="0.2">
      <c r="A246" s="394"/>
      <c r="B246" s="114" t="s">
        <v>1537</v>
      </c>
      <c r="C246" s="398" t="s">
        <v>1541</v>
      </c>
      <c r="D246" s="406"/>
      <c r="E246" s="407"/>
      <c r="F246" s="185"/>
      <c r="G246" s="185"/>
      <c r="H246" s="185"/>
      <c r="I246" s="88">
        <f>SUM(N246:N249)</f>
        <v>0</v>
      </c>
      <c r="J246" s="348">
        <f>SUMIF(Journals!D$14:D$920,TrialBalance!P246,Journals!J$14:J$920)+SUMIF(Journals!E$14:E$920,TrialBalance!P246,Journals!J$14:J$920)</f>
        <v>0</v>
      </c>
      <c r="K246" s="409"/>
      <c r="L246" s="411">
        <f t="shared" si="64"/>
        <v>0</v>
      </c>
      <c r="M246" s="84"/>
      <c r="N246" s="57">
        <f t="shared" si="43"/>
        <v>0</v>
      </c>
      <c r="P246" s="197" t="str">
        <f t="shared" si="54"/>
        <v>6100/041Investment property - valuation b/fwd</v>
      </c>
      <c r="Q246" s="79"/>
      <c r="R246" s="34"/>
      <c r="S246" s="80"/>
      <c r="T246" s="60"/>
      <c r="U246" s="34"/>
    </row>
    <row r="247" spans="1:21" x14ac:dyDescent="0.2">
      <c r="A247" s="394"/>
      <c r="B247" s="114" t="s">
        <v>1538</v>
      </c>
      <c r="C247" s="398" t="s">
        <v>1542</v>
      </c>
      <c r="D247" s="406"/>
      <c r="E247" s="407"/>
      <c r="F247" s="185">
        <f>TrialBalanceA!I247</f>
        <v>0</v>
      </c>
      <c r="G247" s="185">
        <f>TrialBalanceB!I247</f>
        <v>0</v>
      </c>
      <c r="H247" s="185">
        <f>TrialBalanceC!I247</f>
        <v>0</v>
      </c>
      <c r="I247" s="88"/>
      <c r="J247" s="348">
        <f>SUMIF(Journals!D$14:D$920,TrialBalance!P247,Journals!J$14:J$920)+SUMIF(Journals!E$14:E$920,TrialBalance!P247,Journals!J$14:J$920)</f>
        <v>0</v>
      </c>
      <c r="K247" s="409"/>
      <c r="L247" s="411">
        <f t="shared" si="64"/>
        <v>0</v>
      </c>
      <c r="M247" s="84"/>
      <c r="N247" s="57">
        <f t="shared" si="43"/>
        <v>0</v>
      </c>
      <c r="P247" s="197" t="str">
        <f t="shared" si="54"/>
        <v>6100/042Investment property - valuation additions</v>
      </c>
      <c r="Q247" s="79"/>
      <c r="R247" s="34"/>
      <c r="S247" s="80"/>
      <c r="T247" s="60"/>
      <c r="U247" s="34"/>
    </row>
    <row r="248" spans="1:21" x14ac:dyDescent="0.2">
      <c r="A248" s="394"/>
      <c r="B248" s="114" t="s">
        <v>1539</v>
      </c>
      <c r="C248" s="398" t="s">
        <v>1562</v>
      </c>
      <c r="D248" s="406"/>
      <c r="E248" s="407"/>
      <c r="F248" s="185">
        <f>TrialBalanceA!I248</f>
        <v>0</v>
      </c>
      <c r="G248" s="185">
        <f>TrialBalanceB!I248</f>
        <v>0</v>
      </c>
      <c r="H248" s="185">
        <f>TrialBalanceC!I248</f>
        <v>0</v>
      </c>
      <c r="I248" s="88"/>
      <c r="J248" s="348">
        <f>SUMIF(Journals!D$14:D$920,TrialBalance!P248,Journals!J$14:J$920)+SUMIF(Journals!E$14:E$920,TrialBalance!P248,Journals!J$14:J$920)</f>
        <v>0</v>
      </c>
      <c r="K248" s="409"/>
      <c r="L248" s="411">
        <f t="shared" ref="L248" si="65">ROUND(D248-E248+F248+G248+H248+J248+I248,0)</f>
        <v>0</v>
      </c>
      <c r="M248" s="84"/>
      <c r="N248" s="57">
        <f t="shared" ref="N248" si="66">ROUND(SUM(A248),0)</f>
        <v>0</v>
      </c>
      <c r="P248" s="197" t="str">
        <f t="shared" ref="P248" si="67">CONCATENATE(B248,C248)</f>
        <v>6100/043Investment property - valuation reduction on sales</v>
      </c>
      <c r="Q248" s="79"/>
      <c r="R248" s="34"/>
      <c r="S248" s="80"/>
      <c r="T248" s="60"/>
      <c r="U248" s="34"/>
    </row>
    <row r="249" spans="1:21" x14ac:dyDescent="0.2">
      <c r="A249" s="394"/>
      <c r="B249" s="114" t="s">
        <v>1563</v>
      </c>
      <c r="C249" s="398" t="s">
        <v>1564</v>
      </c>
      <c r="D249" s="406"/>
      <c r="E249" s="407"/>
      <c r="F249" s="185">
        <f>TrialBalanceA!I249</f>
        <v>0</v>
      </c>
      <c r="G249" s="185">
        <f>TrialBalanceB!I249</f>
        <v>0</v>
      </c>
      <c r="H249" s="185">
        <f>TrialBalanceC!I249</f>
        <v>0</v>
      </c>
      <c r="I249" s="88"/>
      <c r="J249" s="348">
        <f>SUMIF(Journals!D$14:D$920,TrialBalance!P249,Journals!J$14:J$920)+SUMIF(Journals!E$14:E$920,TrialBalance!P249,Journals!J$14:J$920)</f>
        <v>0</v>
      </c>
      <c r="K249" s="409"/>
      <c r="L249" s="411">
        <f t="shared" si="64"/>
        <v>0</v>
      </c>
      <c r="M249" s="84"/>
      <c r="N249" s="57">
        <f t="shared" si="43"/>
        <v>0</v>
      </c>
      <c r="P249" s="197" t="str">
        <f t="shared" si="54"/>
        <v>6100/044Investment property - valuation reduction on transfers</v>
      </c>
      <c r="Q249" s="79"/>
      <c r="R249" s="34"/>
      <c r="S249" s="80"/>
      <c r="T249" s="60"/>
      <c r="U249" s="34"/>
    </row>
    <row r="250" spans="1:21" x14ac:dyDescent="0.2">
      <c r="A250" s="394"/>
      <c r="B250" s="63" t="s">
        <v>350</v>
      </c>
      <c r="C250" s="397" t="s">
        <v>1006</v>
      </c>
      <c r="D250" s="406"/>
      <c r="E250" s="407"/>
      <c r="F250" s="185"/>
      <c r="G250" s="185"/>
      <c r="H250" s="185"/>
      <c r="I250" s="88"/>
      <c r="J250" s="348">
        <f>SUMIF(Journals!D$14:D$920,TrialBalance!P250,Journals!J$14:J$920)+SUMIF(Journals!E$14:E$920,TrialBalance!P250,Journals!J$14:J$920)</f>
        <v>0</v>
      </c>
      <c r="K250" s="409"/>
      <c r="L250" s="411">
        <f t="shared" si="42"/>
        <v>0</v>
      </c>
      <c r="M250" s="84"/>
      <c r="N250" s="57">
        <f t="shared" si="43"/>
        <v>0</v>
      </c>
      <c r="P250" s="197" t="str">
        <f t="shared" si="54"/>
        <v>6150/000PLANT AND MACHINERY - COST</v>
      </c>
      <c r="Q250" s="79"/>
      <c r="R250" s="34"/>
      <c r="S250" s="80"/>
      <c r="T250" s="60"/>
      <c r="U250" s="34"/>
    </row>
    <row r="251" spans="1:21" x14ac:dyDescent="0.2">
      <c r="A251" s="394"/>
      <c r="B251" s="63" t="s">
        <v>43</v>
      </c>
      <c r="C251" s="398" t="s">
        <v>1007</v>
      </c>
      <c r="D251" s="406"/>
      <c r="E251" s="407"/>
      <c r="F251" s="185"/>
      <c r="G251" s="185"/>
      <c r="H251" s="185"/>
      <c r="I251" s="88">
        <f>SUM(N251:N253)</f>
        <v>0</v>
      </c>
      <c r="J251" s="348">
        <f>SUMIF(Journals!D$14:D$920,TrialBalance!P251,Journals!J$14:J$920)+SUMIF(Journals!E$14:E$920,TrialBalance!P251,Journals!J$14:J$920)</f>
        <v>0</v>
      </c>
      <c r="K251" s="409"/>
      <c r="L251" s="411">
        <f t="shared" si="42"/>
        <v>0</v>
      </c>
      <c r="M251" s="84"/>
      <c r="N251" s="57">
        <f t="shared" si="43"/>
        <v>0</v>
      </c>
      <c r="P251" s="197" t="str">
        <f t="shared" si="54"/>
        <v>6150/001Plant and machinery - cost b/fwd</v>
      </c>
      <c r="Q251" s="81"/>
      <c r="R251" s="34"/>
      <c r="S251" s="60"/>
      <c r="T251" s="60"/>
      <c r="U251" s="34"/>
    </row>
    <row r="252" spans="1:21" x14ac:dyDescent="0.2">
      <c r="A252" s="394"/>
      <c r="B252" s="63" t="s">
        <v>44</v>
      </c>
      <c r="C252" s="398" t="s">
        <v>1008</v>
      </c>
      <c r="D252" s="406"/>
      <c r="E252" s="407"/>
      <c r="F252" s="185">
        <f>TrialBalanceA!I252</f>
        <v>0</v>
      </c>
      <c r="G252" s="185">
        <f>TrialBalanceB!I252</f>
        <v>0</v>
      </c>
      <c r="H252" s="185">
        <f>TrialBalanceC!I252</f>
        <v>0</v>
      </c>
      <c r="I252" s="88"/>
      <c r="J252" s="348">
        <f>SUMIF(Journals!D$14:D$920,TrialBalance!P252,Journals!J$14:J$920)+SUMIF(Journals!E$14:E$920,TrialBalance!P252,Journals!J$14:J$920)</f>
        <v>0</v>
      </c>
      <c r="K252" s="409"/>
      <c r="L252" s="411">
        <f t="shared" si="42"/>
        <v>0</v>
      </c>
      <c r="M252" s="84"/>
      <c r="N252" s="57">
        <f t="shared" si="43"/>
        <v>0</v>
      </c>
      <c r="P252" s="197" t="str">
        <f t="shared" si="54"/>
        <v>6150/002Plant and machinery - additions</v>
      </c>
      <c r="Q252" s="79"/>
      <c r="R252" s="34"/>
      <c r="S252" s="80"/>
      <c r="T252" s="60"/>
      <c r="U252" s="34"/>
    </row>
    <row r="253" spans="1:21" x14ac:dyDescent="0.2">
      <c r="A253" s="394"/>
      <c r="B253" s="63" t="s">
        <v>45</v>
      </c>
      <c r="C253" s="398" t="s">
        <v>1009</v>
      </c>
      <c r="D253" s="406"/>
      <c r="E253" s="407"/>
      <c r="F253" s="185">
        <f>TrialBalanceA!I253</f>
        <v>0</v>
      </c>
      <c r="G253" s="185">
        <f>TrialBalanceB!I253</f>
        <v>0</v>
      </c>
      <c r="H253" s="185">
        <f>TrialBalanceC!I253</f>
        <v>0</v>
      </c>
      <c r="I253" s="88"/>
      <c r="J253" s="348">
        <f>SUMIF(Journals!D$14:D$920,TrialBalance!P253,Journals!J$14:J$920)+SUMIF(Journals!E$14:E$920,TrialBalance!P253,Journals!J$14:J$920)</f>
        <v>0</v>
      </c>
      <c r="K253" s="409"/>
      <c r="L253" s="411">
        <f t="shared" si="42"/>
        <v>0</v>
      </c>
      <c r="M253" s="84"/>
      <c r="N253" s="57">
        <f t="shared" si="43"/>
        <v>0</v>
      </c>
      <c r="P253" s="197" t="str">
        <f t="shared" si="54"/>
        <v>6150/003Plant and machinery - cost of sales</v>
      </c>
      <c r="Q253" s="79"/>
      <c r="R253" s="34"/>
      <c r="S253" s="80"/>
      <c r="T253" s="60"/>
      <c r="U253" s="34"/>
    </row>
    <row r="254" spans="1:21" x14ac:dyDescent="0.2">
      <c r="A254" s="394"/>
      <c r="B254" s="63" t="s">
        <v>20</v>
      </c>
      <c r="C254" s="397" t="s">
        <v>1010</v>
      </c>
      <c r="D254" s="406"/>
      <c r="E254" s="407"/>
      <c r="F254" s="185"/>
      <c r="G254" s="185"/>
      <c r="H254" s="185"/>
      <c r="I254" s="88"/>
      <c r="J254" s="348">
        <f>SUMIF(Journals!D$14:D$920,TrialBalance!P254,Journals!J$14:J$920)+SUMIF(Journals!E$14:E$920,TrialBalance!P254,Journals!J$14:J$920)</f>
        <v>0</v>
      </c>
      <c r="K254" s="409"/>
      <c r="L254" s="411">
        <f t="shared" si="42"/>
        <v>0</v>
      </c>
      <c r="M254" s="84"/>
      <c r="N254" s="57">
        <f t="shared" si="43"/>
        <v>0</v>
      </c>
      <c r="P254" s="197" t="str">
        <f t="shared" si="54"/>
        <v>6150/020PLANT AND MACHINERY - ACC DEPR</v>
      </c>
      <c r="Q254" s="79"/>
      <c r="R254" s="34"/>
      <c r="S254" s="80"/>
      <c r="T254" s="60"/>
      <c r="U254" s="34"/>
    </row>
    <row r="255" spans="1:21" x14ac:dyDescent="0.2">
      <c r="A255" s="394"/>
      <c r="B255" s="63" t="s">
        <v>21</v>
      </c>
      <c r="C255" s="398" t="s">
        <v>1011</v>
      </c>
      <c r="D255" s="406"/>
      <c r="E255" s="407"/>
      <c r="F255" s="185"/>
      <c r="G255" s="185"/>
      <c r="H255" s="185"/>
      <c r="I255" s="88">
        <f>SUM(N255:N257)</f>
        <v>0</v>
      </c>
      <c r="J255" s="348">
        <f>SUMIF(Journals!D$14:D$920,TrialBalance!P255,Journals!J$14:J$920)+SUMIF(Journals!E$14:E$920,TrialBalance!P255,Journals!J$14:J$920)</f>
        <v>0</v>
      </c>
      <c r="K255" s="409"/>
      <c r="L255" s="411">
        <f t="shared" si="42"/>
        <v>0</v>
      </c>
      <c r="M255" s="84"/>
      <c r="N255" s="57">
        <f t="shared" si="43"/>
        <v>0</v>
      </c>
      <c r="P255" s="197" t="str">
        <f t="shared" si="54"/>
        <v>6150/021Plant and machinery - acc depr b/fwd</v>
      </c>
      <c r="Q255" s="79"/>
      <c r="R255" s="34"/>
      <c r="S255" s="80"/>
      <c r="T255" s="60"/>
      <c r="U255" s="34"/>
    </row>
    <row r="256" spans="1:21" x14ac:dyDescent="0.2">
      <c r="A256" s="394"/>
      <c r="B256" s="63" t="s">
        <v>37</v>
      </c>
      <c r="C256" s="398" t="s">
        <v>1012</v>
      </c>
      <c r="D256" s="406"/>
      <c r="E256" s="407"/>
      <c r="F256" s="185">
        <f>TrialBalanceA!I256</f>
        <v>0</v>
      </c>
      <c r="G256" s="185">
        <f>TrialBalanceB!I256</f>
        <v>0</v>
      </c>
      <c r="H256" s="185">
        <f>TrialBalanceC!I256</f>
        <v>0</v>
      </c>
      <c r="I256" s="88">
        <f>-FARegister!Z13</f>
        <v>0</v>
      </c>
      <c r="J256" s="348">
        <f>SUMIF(Journals!D$14:D$920,TrialBalance!P256,Journals!J$14:J$920)+SUMIF(Journals!E$14:E$920,TrialBalance!P256,Journals!J$14:J$920)</f>
        <v>0</v>
      </c>
      <c r="K256" s="409"/>
      <c r="L256" s="411">
        <f t="shared" si="42"/>
        <v>0</v>
      </c>
      <c r="M256" s="84"/>
      <c r="N256" s="57">
        <f t="shared" si="43"/>
        <v>0</v>
      </c>
      <c r="P256" s="197" t="str">
        <f t="shared" si="54"/>
        <v>6150/022Plant and machinery - depr this year</v>
      </c>
      <c r="Q256" s="79"/>
      <c r="R256" s="34"/>
      <c r="S256" s="80"/>
      <c r="T256" s="60"/>
      <c r="U256" s="34"/>
    </row>
    <row r="257" spans="1:21" x14ac:dyDescent="0.2">
      <c r="A257" s="394"/>
      <c r="B257" s="63" t="s">
        <v>38</v>
      </c>
      <c r="C257" s="398" t="s">
        <v>1013</v>
      </c>
      <c r="D257" s="406"/>
      <c r="E257" s="407"/>
      <c r="F257" s="185">
        <f>TrialBalanceA!I257</f>
        <v>0</v>
      </c>
      <c r="G257" s="185">
        <f>TrialBalanceB!I257</f>
        <v>0</v>
      </c>
      <c r="H257" s="185">
        <f>TrialBalanceC!I257</f>
        <v>0</v>
      </c>
      <c r="I257" s="88"/>
      <c r="J257" s="348">
        <f>SUMIF(Journals!D$14:D$920,TrialBalance!P257,Journals!J$14:J$920)+SUMIF(Journals!E$14:E$920,TrialBalance!P257,Journals!J$14:J$920)</f>
        <v>0</v>
      </c>
      <c r="K257" s="409"/>
      <c r="L257" s="411">
        <f t="shared" si="42"/>
        <v>0</v>
      </c>
      <c r="M257" s="84"/>
      <c r="N257" s="57">
        <f t="shared" si="43"/>
        <v>0</v>
      </c>
      <c r="P257" s="197" t="str">
        <f t="shared" si="54"/>
        <v>6150/023Plant and machinery - acc depr on sales</v>
      </c>
      <c r="Q257" s="79"/>
      <c r="R257" s="34"/>
      <c r="S257" s="80"/>
      <c r="T257" s="60"/>
      <c r="U257" s="34"/>
    </row>
    <row r="258" spans="1:21" x14ac:dyDescent="0.2">
      <c r="A258" s="394"/>
      <c r="B258" s="63" t="s">
        <v>39</v>
      </c>
      <c r="C258" s="397" t="s">
        <v>40</v>
      </c>
      <c r="D258" s="406"/>
      <c r="E258" s="407"/>
      <c r="F258" s="185"/>
      <c r="G258" s="185"/>
      <c r="H258" s="185"/>
      <c r="I258" s="88"/>
      <c r="J258" s="348">
        <f>SUMIF(Journals!D$14:D$920,TrialBalance!P258,Journals!J$14:J$920)+SUMIF(Journals!E$14:E$920,TrialBalance!P258,Journals!J$14:J$920)</f>
        <v>0</v>
      </c>
      <c r="K258" s="409"/>
      <c r="L258" s="411">
        <f t="shared" si="42"/>
        <v>0</v>
      </c>
      <c r="M258" s="84"/>
      <c r="N258" s="57">
        <f t="shared" si="43"/>
        <v>0</v>
      </c>
      <c r="P258" s="197" t="str">
        <f t="shared" si="54"/>
        <v>6200/000MOTOR VEHICLES - COST</v>
      </c>
      <c r="Q258" s="79"/>
      <c r="R258" s="34"/>
      <c r="S258" s="80"/>
      <c r="T258" s="60"/>
      <c r="U258" s="34"/>
    </row>
    <row r="259" spans="1:21" x14ac:dyDescent="0.2">
      <c r="A259" s="394"/>
      <c r="B259" s="63" t="s">
        <v>41</v>
      </c>
      <c r="C259" s="398" t="s">
        <v>1014</v>
      </c>
      <c r="D259" s="406"/>
      <c r="E259" s="407"/>
      <c r="F259" s="185"/>
      <c r="G259" s="185"/>
      <c r="H259" s="185"/>
      <c r="I259" s="88">
        <f>SUM(N259:N261)</f>
        <v>0</v>
      </c>
      <c r="J259" s="348">
        <f>SUMIF(Journals!D$14:D$920,TrialBalance!P259,Journals!J$14:J$920)+SUMIF(Journals!E$14:E$920,TrialBalance!P259,Journals!J$14:J$920)</f>
        <v>0</v>
      </c>
      <c r="K259" s="409"/>
      <c r="L259" s="411">
        <f t="shared" si="42"/>
        <v>0</v>
      </c>
      <c r="M259" s="84"/>
      <c r="N259" s="57">
        <f t="shared" si="43"/>
        <v>0</v>
      </c>
      <c r="P259" s="197" t="str">
        <f t="shared" si="54"/>
        <v>6200/001Motor vehicles - cost b/fwd</v>
      </c>
      <c r="Q259" s="81"/>
      <c r="R259" s="34"/>
      <c r="S259" s="80"/>
      <c r="T259" s="60"/>
      <c r="U259" s="34"/>
    </row>
    <row r="260" spans="1:21" x14ac:dyDescent="0.2">
      <c r="A260" s="394"/>
      <c r="B260" s="63" t="s">
        <v>42</v>
      </c>
      <c r="C260" s="398" t="s">
        <v>1015</v>
      </c>
      <c r="D260" s="406"/>
      <c r="E260" s="407"/>
      <c r="F260" s="185">
        <f>TrialBalanceA!I260</f>
        <v>0</v>
      </c>
      <c r="G260" s="185">
        <f>TrialBalanceB!I260</f>
        <v>0</v>
      </c>
      <c r="H260" s="185">
        <f>TrialBalanceC!I260</f>
        <v>0</v>
      </c>
      <c r="I260" s="88"/>
      <c r="J260" s="348">
        <f>SUMIF(Journals!D$14:D$920,TrialBalance!P260,Journals!J$14:J$920)+SUMIF(Journals!E$14:E$920,TrialBalance!P260,Journals!J$14:J$920)</f>
        <v>0</v>
      </c>
      <c r="K260" s="409"/>
      <c r="L260" s="411">
        <f t="shared" si="42"/>
        <v>0</v>
      </c>
      <c r="M260" s="84"/>
      <c r="N260" s="57">
        <f t="shared" si="43"/>
        <v>0</v>
      </c>
      <c r="P260" s="197" t="str">
        <f t="shared" si="54"/>
        <v>6200/002Motor vehicles - additions</v>
      </c>
      <c r="Q260" s="79"/>
      <c r="R260" s="34"/>
      <c r="S260" s="80"/>
      <c r="T260" s="60"/>
      <c r="U260" s="34"/>
    </row>
    <row r="261" spans="1:21" x14ac:dyDescent="0.2">
      <c r="A261" s="394"/>
      <c r="B261" s="63" t="s">
        <v>556</v>
      </c>
      <c r="C261" s="398" t="s">
        <v>1016</v>
      </c>
      <c r="D261" s="406"/>
      <c r="E261" s="407"/>
      <c r="F261" s="185">
        <f>TrialBalanceA!I261</f>
        <v>0</v>
      </c>
      <c r="G261" s="185">
        <f>TrialBalanceB!I261</f>
        <v>0</v>
      </c>
      <c r="H261" s="185">
        <f>TrialBalanceC!I261</f>
        <v>0</v>
      </c>
      <c r="I261" s="88"/>
      <c r="J261" s="348">
        <f>SUMIF(Journals!D$14:D$920,TrialBalance!P261,Journals!J$14:J$920)+SUMIF(Journals!E$14:E$920,TrialBalance!P261,Journals!J$14:J$920)</f>
        <v>0</v>
      </c>
      <c r="K261" s="409"/>
      <c r="L261" s="411">
        <f t="shared" si="42"/>
        <v>0</v>
      </c>
      <c r="M261" s="84"/>
      <c r="N261" s="57">
        <f t="shared" si="43"/>
        <v>0</v>
      </c>
      <c r="P261" s="197" t="str">
        <f t="shared" si="54"/>
        <v>6200/003Motor vehicles - cost of sales</v>
      </c>
      <c r="Q261" s="79"/>
      <c r="R261" s="34"/>
      <c r="S261" s="80"/>
      <c r="T261" s="60"/>
      <c r="U261" s="34"/>
    </row>
    <row r="262" spans="1:21" x14ac:dyDescent="0.2">
      <c r="A262" s="394"/>
      <c r="B262" s="63" t="s">
        <v>0</v>
      </c>
      <c r="C262" s="397" t="s">
        <v>1</v>
      </c>
      <c r="D262" s="406"/>
      <c r="E262" s="407"/>
      <c r="F262" s="185"/>
      <c r="G262" s="185"/>
      <c r="H262" s="185"/>
      <c r="I262" s="88"/>
      <c r="J262" s="348">
        <f>SUMIF(Journals!D$14:D$920,TrialBalance!P262,Journals!J$14:J$920)+SUMIF(Journals!E$14:E$920,TrialBalance!P262,Journals!J$14:J$920)</f>
        <v>0</v>
      </c>
      <c r="K262" s="409"/>
      <c r="L262" s="411">
        <f t="shared" si="42"/>
        <v>0</v>
      </c>
      <c r="M262" s="84"/>
      <c r="N262" s="57">
        <f t="shared" si="43"/>
        <v>0</v>
      </c>
      <c r="P262" s="197" t="str">
        <f t="shared" si="54"/>
        <v>6200/020MOTOR VEHICLES - ACC DEPR</v>
      </c>
      <c r="Q262" s="79"/>
      <c r="R262" s="34"/>
      <c r="S262" s="80"/>
      <c r="T262" s="60"/>
      <c r="U262" s="34"/>
    </row>
    <row r="263" spans="1:21" x14ac:dyDescent="0.2">
      <c r="A263" s="394"/>
      <c r="B263" s="63" t="s">
        <v>2</v>
      </c>
      <c r="C263" s="398" t="s">
        <v>1017</v>
      </c>
      <c r="D263" s="406"/>
      <c r="E263" s="407"/>
      <c r="F263" s="185"/>
      <c r="G263" s="185"/>
      <c r="H263" s="185"/>
      <c r="I263" s="88">
        <f>SUM(N263:N265)</f>
        <v>0</v>
      </c>
      <c r="J263" s="348">
        <f>SUMIF(Journals!D$14:D$920,TrialBalance!P263,Journals!J$14:J$920)+SUMIF(Journals!E$14:E$920,TrialBalance!P263,Journals!J$14:J$920)</f>
        <v>0</v>
      </c>
      <c r="K263" s="409"/>
      <c r="L263" s="411">
        <f t="shared" si="42"/>
        <v>0</v>
      </c>
      <c r="M263" s="84"/>
      <c r="N263" s="57">
        <f t="shared" si="43"/>
        <v>0</v>
      </c>
      <c r="P263" s="197" t="str">
        <f t="shared" si="54"/>
        <v>6200/021Motor vehicles - acc depr b/fwd</v>
      </c>
      <c r="Q263" s="79"/>
      <c r="R263" s="34"/>
      <c r="S263" s="80"/>
      <c r="T263" s="80"/>
      <c r="U263" s="34"/>
    </row>
    <row r="264" spans="1:21" x14ac:dyDescent="0.2">
      <c r="A264" s="394"/>
      <c r="B264" s="63" t="s">
        <v>3</v>
      </c>
      <c r="C264" s="398" t="s">
        <v>1018</v>
      </c>
      <c r="D264" s="406"/>
      <c r="E264" s="407"/>
      <c r="F264" s="185">
        <f>TrialBalanceA!I264</f>
        <v>0</v>
      </c>
      <c r="G264" s="185">
        <f>TrialBalanceB!I264</f>
        <v>0</v>
      </c>
      <c r="H264" s="185">
        <f>TrialBalanceC!I264</f>
        <v>0</v>
      </c>
      <c r="I264" s="88">
        <f>-FARegister!Z14</f>
        <v>0</v>
      </c>
      <c r="J264" s="348">
        <f>SUMIF(Journals!D$14:D$920,TrialBalance!P264,Journals!J$14:J$920)+SUMIF(Journals!E$14:E$920,TrialBalance!P264,Journals!J$14:J$920)</f>
        <v>0</v>
      </c>
      <c r="K264" s="409"/>
      <c r="L264" s="411">
        <f t="shared" si="42"/>
        <v>0</v>
      </c>
      <c r="M264" s="84"/>
      <c r="N264" s="57">
        <f t="shared" si="43"/>
        <v>0</v>
      </c>
      <c r="P264" s="197" t="str">
        <f t="shared" si="54"/>
        <v>6200/022Motor vehicles - depr this year</v>
      </c>
      <c r="Q264" s="79"/>
      <c r="R264" s="34"/>
      <c r="S264" s="80"/>
      <c r="T264" s="80"/>
      <c r="U264" s="34"/>
    </row>
    <row r="265" spans="1:21" x14ac:dyDescent="0.2">
      <c r="A265" s="394"/>
      <c r="B265" s="63" t="s">
        <v>4</v>
      </c>
      <c r="C265" s="398" t="s">
        <v>1019</v>
      </c>
      <c r="D265" s="406"/>
      <c r="E265" s="407"/>
      <c r="F265" s="185">
        <f>TrialBalanceA!I265</f>
        <v>0</v>
      </c>
      <c r="G265" s="185">
        <f>TrialBalanceB!I265</f>
        <v>0</v>
      </c>
      <c r="H265" s="185">
        <f>TrialBalanceC!I265</f>
        <v>0</v>
      </c>
      <c r="I265" s="88"/>
      <c r="J265" s="348">
        <f>SUMIF(Journals!D$14:D$920,TrialBalance!P265,Journals!J$14:J$920)+SUMIF(Journals!E$14:E$920,TrialBalance!P265,Journals!J$14:J$920)</f>
        <v>0</v>
      </c>
      <c r="K265" s="409"/>
      <c r="L265" s="411">
        <f t="shared" si="42"/>
        <v>0</v>
      </c>
      <c r="M265" s="84"/>
      <c r="N265" s="57">
        <f t="shared" si="43"/>
        <v>0</v>
      </c>
      <c r="P265" s="197" t="str">
        <f t="shared" si="54"/>
        <v>6200/023Motor vehicles - acc depr on sales</v>
      </c>
      <c r="Q265" s="79"/>
      <c r="R265" s="34"/>
      <c r="S265" s="80"/>
      <c r="T265" s="60"/>
      <c r="U265" s="34"/>
    </row>
    <row r="266" spans="1:21" x14ac:dyDescent="0.2">
      <c r="A266" s="394"/>
      <c r="B266" s="63" t="s">
        <v>5</v>
      </c>
      <c r="C266" s="397" t="s">
        <v>150</v>
      </c>
      <c r="D266" s="406"/>
      <c r="E266" s="407"/>
      <c r="F266" s="185"/>
      <c r="G266" s="185"/>
      <c r="H266" s="185"/>
      <c r="I266" s="88"/>
      <c r="J266" s="348">
        <f>SUMIF(Journals!D$14:D$920,TrialBalance!P266,Journals!J$14:J$920)+SUMIF(Journals!E$14:E$920,TrialBalance!P266,Journals!J$14:J$920)</f>
        <v>0</v>
      </c>
      <c r="K266" s="409"/>
      <c r="L266" s="411">
        <f t="shared" si="42"/>
        <v>0</v>
      </c>
      <c r="M266" s="84"/>
      <c r="N266" s="57">
        <f t="shared" si="43"/>
        <v>0</v>
      </c>
      <c r="P266" s="197" t="str">
        <f t="shared" si="54"/>
        <v>6250/000ELECTRONIC EQUIPMENT - COST</v>
      </c>
      <c r="Q266" s="79"/>
      <c r="R266" s="34"/>
      <c r="S266" s="80"/>
      <c r="T266" s="60"/>
      <c r="U266" s="34"/>
    </row>
    <row r="267" spans="1:21" x14ac:dyDescent="0.2">
      <c r="A267" s="394"/>
      <c r="B267" s="63" t="s">
        <v>6</v>
      </c>
      <c r="C267" s="398" t="s">
        <v>1020</v>
      </c>
      <c r="D267" s="406"/>
      <c r="E267" s="407"/>
      <c r="F267" s="185"/>
      <c r="G267" s="185"/>
      <c r="H267" s="185"/>
      <c r="I267" s="88">
        <f>SUM(N267:N269)</f>
        <v>0</v>
      </c>
      <c r="J267" s="348">
        <f>SUMIF(Journals!D$14:D$920,TrialBalance!P267,Journals!J$14:J$920)+SUMIF(Journals!E$14:E$920,TrialBalance!P267,Journals!J$14:J$920)</f>
        <v>0</v>
      </c>
      <c r="K267" s="409"/>
      <c r="L267" s="411">
        <f t="shared" si="42"/>
        <v>0</v>
      </c>
      <c r="M267" s="84"/>
      <c r="N267" s="57">
        <f t="shared" si="43"/>
        <v>0</v>
      </c>
      <c r="P267" s="197" t="str">
        <f t="shared" si="54"/>
        <v>6250/001Electronic equipment - cost b/fwd</v>
      </c>
      <c r="Q267" s="79"/>
      <c r="R267" s="34"/>
      <c r="S267" s="60"/>
      <c r="T267" s="60"/>
      <c r="U267" s="34"/>
    </row>
    <row r="268" spans="1:21" x14ac:dyDescent="0.2">
      <c r="A268" s="394"/>
      <c r="B268" s="63" t="s">
        <v>7</v>
      </c>
      <c r="C268" s="398" t="s">
        <v>1021</v>
      </c>
      <c r="D268" s="406"/>
      <c r="E268" s="407"/>
      <c r="F268" s="185">
        <f>TrialBalanceA!I268</f>
        <v>0</v>
      </c>
      <c r="G268" s="185">
        <f>TrialBalanceB!I268</f>
        <v>0</v>
      </c>
      <c r="H268" s="185">
        <f>TrialBalanceC!I268</f>
        <v>0</v>
      </c>
      <c r="I268" s="88"/>
      <c r="J268" s="348">
        <f>SUMIF(Journals!D$14:D$920,TrialBalance!P268,Journals!J$14:J$920)+SUMIF(Journals!E$14:E$920,TrialBalance!P268,Journals!J$14:J$920)</f>
        <v>0</v>
      </c>
      <c r="K268" s="409"/>
      <c r="L268" s="411">
        <f>ROUND(D268-E268+F268+G268+H268+J268+I268,0)</f>
        <v>0</v>
      </c>
      <c r="M268" s="84"/>
      <c r="N268" s="57">
        <f t="shared" si="43"/>
        <v>0</v>
      </c>
      <c r="P268" s="197" t="str">
        <f t="shared" si="54"/>
        <v>6250/002Electronic equipment - additions</v>
      </c>
      <c r="Q268" s="79"/>
      <c r="R268" s="34"/>
      <c r="S268" s="80"/>
      <c r="T268" s="60"/>
      <c r="U268" s="34"/>
    </row>
    <row r="269" spans="1:21" x14ac:dyDescent="0.2">
      <c r="A269" s="394"/>
      <c r="B269" s="63" t="s">
        <v>8</v>
      </c>
      <c r="C269" s="398" t="s">
        <v>1022</v>
      </c>
      <c r="D269" s="406"/>
      <c r="E269" s="407"/>
      <c r="F269" s="185">
        <f>TrialBalanceA!I269</f>
        <v>0</v>
      </c>
      <c r="G269" s="185">
        <f>TrialBalanceB!I269</f>
        <v>0</v>
      </c>
      <c r="H269" s="185">
        <f>TrialBalanceC!I269</f>
        <v>0</v>
      </c>
      <c r="I269" s="88"/>
      <c r="J269" s="348">
        <f>SUMIF(Journals!D$14:D$920,TrialBalance!P269,Journals!J$14:J$920)+SUMIF(Journals!E$14:E$920,TrialBalance!P269,Journals!J$14:J$920)</f>
        <v>0</v>
      </c>
      <c r="K269" s="409"/>
      <c r="L269" s="411">
        <f t="shared" si="42"/>
        <v>0</v>
      </c>
      <c r="M269" s="84"/>
      <c r="N269" s="57">
        <f t="shared" si="43"/>
        <v>0</v>
      </c>
      <c r="P269" s="197" t="str">
        <f t="shared" si="54"/>
        <v>6250/003Electronic equipment - cost of sales</v>
      </c>
      <c r="Q269" s="79"/>
      <c r="R269" s="34"/>
      <c r="S269" s="80"/>
      <c r="T269" s="60"/>
      <c r="U269" s="34"/>
    </row>
    <row r="270" spans="1:21" x14ac:dyDescent="0.2">
      <c r="A270" s="394"/>
      <c r="B270" s="63" t="s">
        <v>9</v>
      </c>
      <c r="C270" s="397" t="s">
        <v>151</v>
      </c>
      <c r="D270" s="406"/>
      <c r="E270" s="407"/>
      <c r="F270" s="185"/>
      <c r="G270" s="185"/>
      <c r="H270" s="185"/>
      <c r="I270" s="88"/>
      <c r="J270" s="348">
        <f>SUMIF(Journals!D$14:D$920,TrialBalance!P270,Journals!J$14:J$920)+SUMIF(Journals!E$14:E$920,TrialBalance!P270,Journals!J$14:J$920)</f>
        <v>0</v>
      </c>
      <c r="K270" s="409"/>
      <c r="L270" s="411">
        <f t="shared" si="42"/>
        <v>0</v>
      </c>
      <c r="M270" s="84"/>
      <c r="N270" s="57">
        <f t="shared" si="43"/>
        <v>0</v>
      </c>
      <c r="P270" s="197" t="str">
        <f t="shared" si="54"/>
        <v>6250/020ELECTRONIC EQUIPMENT - ACC DEPR</v>
      </c>
      <c r="Q270" s="79"/>
      <c r="R270" s="34"/>
      <c r="S270" s="80"/>
      <c r="T270" s="60"/>
      <c r="U270" s="34"/>
    </row>
    <row r="271" spans="1:21" x14ac:dyDescent="0.2">
      <c r="A271" s="394"/>
      <c r="B271" s="63" t="s">
        <v>10</v>
      </c>
      <c r="C271" s="398" t="s">
        <v>1023</v>
      </c>
      <c r="D271" s="406"/>
      <c r="E271" s="407"/>
      <c r="F271" s="185"/>
      <c r="G271" s="185"/>
      <c r="H271" s="185"/>
      <c r="I271" s="88">
        <f>SUM(N271:N273)</f>
        <v>0</v>
      </c>
      <c r="J271" s="348">
        <f>SUMIF(Journals!D$14:D$920,TrialBalance!P271,Journals!J$14:J$920)+SUMIF(Journals!E$14:E$920,TrialBalance!P271,Journals!J$14:J$920)</f>
        <v>0</v>
      </c>
      <c r="K271" s="409"/>
      <c r="L271" s="411">
        <f t="shared" si="42"/>
        <v>0</v>
      </c>
      <c r="M271" s="84"/>
      <c r="N271" s="57">
        <f t="shared" si="43"/>
        <v>0</v>
      </c>
      <c r="P271" s="197" t="str">
        <f t="shared" si="54"/>
        <v>6250/021Electronic equipment - acc depr b/fwd</v>
      </c>
      <c r="Q271" s="79"/>
      <c r="R271" s="34"/>
      <c r="S271" s="60"/>
      <c r="T271" s="60"/>
      <c r="U271" s="34"/>
    </row>
    <row r="272" spans="1:21" x14ac:dyDescent="0.2">
      <c r="A272" s="394"/>
      <c r="B272" s="63" t="s">
        <v>11</v>
      </c>
      <c r="C272" s="398" t="s">
        <v>1024</v>
      </c>
      <c r="D272" s="406"/>
      <c r="E272" s="407"/>
      <c r="F272" s="185">
        <f>TrialBalanceA!I272</f>
        <v>0</v>
      </c>
      <c r="G272" s="185">
        <f>TrialBalanceB!I272</f>
        <v>0</v>
      </c>
      <c r="H272" s="185">
        <f>TrialBalanceC!I272</f>
        <v>0</v>
      </c>
      <c r="I272" s="88">
        <f>-FARegister!Z15</f>
        <v>0</v>
      </c>
      <c r="J272" s="348">
        <f>SUMIF(Journals!D$14:D$920,TrialBalance!P272,Journals!J$14:J$920)+SUMIF(Journals!E$14:E$920,TrialBalance!P272,Journals!J$14:J$920)</f>
        <v>0</v>
      </c>
      <c r="K272" s="409"/>
      <c r="L272" s="411">
        <f t="shared" si="42"/>
        <v>0</v>
      </c>
      <c r="M272" s="84"/>
      <c r="N272" s="57">
        <f t="shared" si="43"/>
        <v>0</v>
      </c>
      <c r="P272" s="197" t="str">
        <f t="shared" si="54"/>
        <v>6250/022Electronic equipment - depr this year</v>
      </c>
      <c r="Q272" s="79"/>
      <c r="R272" s="34"/>
      <c r="S272" s="80"/>
      <c r="T272" s="60"/>
      <c r="U272" s="34"/>
    </row>
    <row r="273" spans="1:21" x14ac:dyDescent="0.2">
      <c r="A273" s="394"/>
      <c r="B273" s="63" t="s">
        <v>12</v>
      </c>
      <c r="C273" s="398" t="s">
        <v>1025</v>
      </c>
      <c r="D273" s="406"/>
      <c r="E273" s="407"/>
      <c r="F273" s="185">
        <f>TrialBalanceA!I273</f>
        <v>0</v>
      </c>
      <c r="G273" s="185">
        <f>TrialBalanceB!I273</f>
        <v>0</v>
      </c>
      <c r="H273" s="185">
        <f>TrialBalanceC!I273</f>
        <v>0</v>
      </c>
      <c r="I273" s="88"/>
      <c r="J273" s="348">
        <f>SUMIF(Journals!D$14:D$920,TrialBalance!P273,Journals!J$14:J$920)+SUMIF(Journals!E$14:E$920,TrialBalance!P273,Journals!J$14:J$920)</f>
        <v>0</v>
      </c>
      <c r="K273" s="409"/>
      <c r="L273" s="411">
        <f t="shared" si="42"/>
        <v>0</v>
      </c>
      <c r="M273" s="84"/>
      <c r="N273" s="57">
        <f t="shared" si="43"/>
        <v>0</v>
      </c>
      <c r="P273" s="197" t="str">
        <f t="shared" si="54"/>
        <v>6250/023Electronic equipment - acc depr on sales</v>
      </c>
      <c r="Q273" s="79"/>
      <c r="R273" s="34"/>
      <c r="S273" s="80"/>
      <c r="T273" s="60"/>
      <c r="U273" s="34"/>
    </row>
    <row r="274" spans="1:21" x14ac:dyDescent="0.2">
      <c r="A274" s="394"/>
      <c r="B274" s="63" t="s">
        <v>16</v>
      </c>
      <c r="C274" s="397" t="s">
        <v>1026</v>
      </c>
      <c r="D274" s="406"/>
      <c r="E274" s="407"/>
      <c r="F274" s="185"/>
      <c r="G274" s="185"/>
      <c r="H274" s="185"/>
      <c r="I274" s="88"/>
      <c r="J274" s="348">
        <f>SUMIF(Journals!D$14:D$920,TrialBalance!P274,Journals!J$14:J$920)+SUMIF(Journals!E$14:E$920,TrialBalance!P274,Journals!J$14:J$920)</f>
        <v>0</v>
      </c>
      <c r="K274" s="409"/>
      <c r="L274" s="411">
        <f t="shared" si="42"/>
        <v>0</v>
      </c>
      <c r="M274" s="84"/>
      <c r="N274" s="57">
        <f t="shared" si="43"/>
        <v>0</v>
      </c>
      <c r="P274" s="197" t="str">
        <f t="shared" si="54"/>
        <v>6350/000FURNITURE AND FITTINGS - COST</v>
      </c>
      <c r="Q274" s="79"/>
      <c r="R274" s="34"/>
      <c r="S274" s="80"/>
      <c r="T274" s="60"/>
      <c r="U274" s="34"/>
    </row>
    <row r="275" spans="1:21" x14ac:dyDescent="0.2">
      <c r="A275" s="394"/>
      <c r="B275" s="63" t="s">
        <v>17</v>
      </c>
      <c r="C275" s="398" t="s">
        <v>1027</v>
      </c>
      <c r="D275" s="406"/>
      <c r="E275" s="407"/>
      <c r="F275" s="185"/>
      <c r="G275" s="185"/>
      <c r="H275" s="185"/>
      <c r="I275" s="88">
        <f>SUM(N275:N277)</f>
        <v>0</v>
      </c>
      <c r="J275" s="348">
        <f>SUMIF(Journals!D$14:D$920,TrialBalance!P275,Journals!J$14:J$920)+SUMIF(Journals!E$14:E$920,TrialBalance!P275,Journals!J$14:J$920)</f>
        <v>0</v>
      </c>
      <c r="K275" s="409"/>
      <c r="L275" s="411">
        <f t="shared" si="42"/>
        <v>0</v>
      </c>
      <c r="M275" s="84"/>
      <c r="N275" s="57">
        <f t="shared" si="43"/>
        <v>0</v>
      </c>
      <c r="P275" s="197" t="str">
        <f t="shared" si="54"/>
        <v>6350/001Furniture and fittings - cost b/fwd</v>
      </c>
      <c r="Q275" s="81"/>
      <c r="R275" s="34"/>
      <c r="S275" s="80"/>
      <c r="T275" s="60"/>
      <c r="U275" s="34"/>
    </row>
    <row r="276" spans="1:21" x14ac:dyDescent="0.2">
      <c r="A276" s="394"/>
      <c r="B276" s="63" t="s">
        <v>500</v>
      </c>
      <c r="C276" s="398" t="s">
        <v>1028</v>
      </c>
      <c r="D276" s="406"/>
      <c r="E276" s="407"/>
      <c r="F276" s="185">
        <f>TrialBalanceA!I276</f>
        <v>0</v>
      </c>
      <c r="G276" s="185">
        <f>TrialBalanceB!I276</f>
        <v>0</v>
      </c>
      <c r="H276" s="185">
        <f>TrialBalanceC!I276</f>
        <v>0</v>
      </c>
      <c r="I276" s="88"/>
      <c r="J276" s="348">
        <f>SUMIF(Journals!D$14:D$920,TrialBalance!P276,Journals!J$14:J$920)+SUMIF(Journals!E$14:E$920,TrialBalance!P276,Journals!J$14:J$920)</f>
        <v>0</v>
      </c>
      <c r="K276" s="409"/>
      <c r="L276" s="411">
        <f t="shared" si="42"/>
        <v>0</v>
      </c>
      <c r="M276" s="84"/>
      <c r="N276" s="57">
        <f t="shared" si="43"/>
        <v>0</v>
      </c>
      <c r="P276" s="197" t="str">
        <f t="shared" ref="P276:P333" si="68">CONCATENATE(B276,C276)</f>
        <v>6350/002Furniture and fittings - additions</v>
      </c>
      <c r="Q276" s="79"/>
      <c r="R276" s="34"/>
      <c r="S276" s="80"/>
      <c r="T276" s="60"/>
      <c r="U276" s="34"/>
    </row>
    <row r="277" spans="1:21" x14ac:dyDescent="0.2">
      <c r="A277" s="394"/>
      <c r="B277" s="63" t="s">
        <v>516</v>
      </c>
      <c r="C277" s="398" t="s">
        <v>1029</v>
      </c>
      <c r="D277" s="406"/>
      <c r="E277" s="407"/>
      <c r="F277" s="185">
        <f>TrialBalanceA!I277</f>
        <v>0</v>
      </c>
      <c r="G277" s="185">
        <f>TrialBalanceB!I277</f>
        <v>0</v>
      </c>
      <c r="H277" s="185">
        <f>TrialBalanceC!I277</f>
        <v>0</v>
      </c>
      <c r="I277" s="88"/>
      <c r="J277" s="348">
        <f>SUMIF(Journals!D$14:D$920,TrialBalance!P277,Journals!J$14:J$920)+SUMIF(Journals!E$14:E$920,TrialBalance!P277,Journals!J$14:J$920)</f>
        <v>0</v>
      </c>
      <c r="K277" s="409"/>
      <c r="L277" s="411">
        <f t="shared" si="42"/>
        <v>0</v>
      </c>
      <c r="M277" s="84"/>
      <c r="N277" s="57">
        <f t="shared" si="43"/>
        <v>0</v>
      </c>
      <c r="P277" s="197" t="str">
        <f t="shared" si="68"/>
        <v>6350/003Furniture and fittings - cost of sales</v>
      </c>
      <c r="Q277" s="79"/>
      <c r="R277" s="34"/>
      <c r="S277" s="80"/>
      <c r="T277" s="60"/>
      <c r="U277" s="34"/>
    </row>
    <row r="278" spans="1:21" x14ac:dyDescent="0.2">
      <c r="A278" s="394"/>
      <c r="B278" s="63" t="s">
        <v>331</v>
      </c>
      <c r="C278" s="397" t="s">
        <v>1030</v>
      </c>
      <c r="D278" s="406"/>
      <c r="E278" s="406"/>
      <c r="F278" s="185"/>
      <c r="G278" s="185"/>
      <c r="H278" s="185"/>
      <c r="I278" s="88"/>
      <c r="J278" s="348">
        <f>SUMIF(Journals!D$14:D$920,TrialBalance!P278,Journals!J$14:J$920)+SUMIF(Journals!E$14:E$920,TrialBalance!P278,Journals!J$14:J$920)</f>
        <v>0</v>
      </c>
      <c r="K278" s="409"/>
      <c r="L278" s="411">
        <f t="shared" ref="L278:L371" si="69">ROUND(D278-E278+F278+G278+H278+J278+I278,0)</f>
        <v>0</v>
      </c>
      <c r="M278" s="84"/>
      <c r="N278" s="57">
        <f t="shared" si="43"/>
        <v>0</v>
      </c>
      <c r="P278" s="197" t="str">
        <f t="shared" si="68"/>
        <v>6350/020FURNITURE AND FITTINGS - ACC DEPR</v>
      </c>
      <c r="Q278" s="79"/>
      <c r="R278" s="34"/>
      <c r="S278" s="80"/>
      <c r="T278" s="60"/>
      <c r="U278" s="34"/>
    </row>
    <row r="279" spans="1:21" x14ac:dyDescent="0.2">
      <c r="A279" s="394"/>
      <c r="B279" s="63" t="s">
        <v>183</v>
      </c>
      <c r="C279" s="398" t="s">
        <v>1031</v>
      </c>
      <c r="D279" s="406"/>
      <c r="E279" s="407"/>
      <c r="F279" s="185"/>
      <c r="G279" s="185"/>
      <c r="H279" s="185"/>
      <c r="I279" s="88">
        <f>SUM(N279:N281)</f>
        <v>0</v>
      </c>
      <c r="J279" s="348">
        <f>SUMIF(Journals!D$14:D$920,TrialBalance!P279,Journals!J$14:J$920)+SUMIF(Journals!E$14:E$920,TrialBalance!P279,Journals!J$14:J$920)</f>
        <v>0</v>
      </c>
      <c r="K279" s="409"/>
      <c r="L279" s="411">
        <f t="shared" si="69"/>
        <v>0</v>
      </c>
      <c r="M279" s="84"/>
      <c r="N279" s="57">
        <f t="shared" si="43"/>
        <v>0</v>
      </c>
      <c r="P279" s="197" t="str">
        <f t="shared" si="68"/>
        <v>6350/021Furniture and fittings - acc depr b/fwd</v>
      </c>
      <c r="Q279" s="79"/>
      <c r="R279" s="34"/>
      <c r="S279" s="80"/>
      <c r="T279" s="80"/>
      <c r="U279" s="34"/>
    </row>
    <row r="280" spans="1:21" x14ac:dyDescent="0.2">
      <c r="A280" s="394"/>
      <c r="B280" s="63" t="s">
        <v>184</v>
      </c>
      <c r="C280" s="398" t="s">
        <v>1032</v>
      </c>
      <c r="D280" s="406"/>
      <c r="E280" s="407"/>
      <c r="F280" s="185">
        <f>TrialBalanceA!I280</f>
        <v>0</v>
      </c>
      <c r="G280" s="185">
        <f>TrialBalanceB!I280</f>
        <v>0</v>
      </c>
      <c r="H280" s="185">
        <f>TrialBalanceC!I280</f>
        <v>0</v>
      </c>
      <c r="I280" s="88">
        <f>-FARegister!Z16</f>
        <v>0</v>
      </c>
      <c r="J280" s="348">
        <f>SUMIF(Journals!D$14:D$920,TrialBalance!P280,Journals!J$14:J$920)+SUMIF(Journals!E$14:E$920,TrialBalance!P280,Journals!J$14:J$920)</f>
        <v>0</v>
      </c>
      <c r="K280" s="409"/>
      <c r="L280" s="411">
        <f t="shared" si="69"/>
        <v>0</v>
      </c>
      <c r="M280" s="84"/>
      <c r="N280" s="57">
        <f t="shared" si="43"/>
        <v>0</v>
      </c>
      <c r="P280" s="197" t="str">
        <f t="shared" si="68"/>
        <v>6350/022Furniture and fittings - depr this year</v>
      </c>
      <c r="Q280" s="79"/>
      <c r="R280" s="34"/>
      <c r="S280" s="80"/>
      <c r="T280" s="60"/>
      <c r="U280" s="34"/>
    </row>
    <row r="281" spans="1:21" x14ac:dyDescent="0.2">
      <c r="A281" s="394"/>
      <c r="B281" s="63" t="s">
        <v>300</v>
      </c>
      <c r="C281" s="398" t="s">
        <v>1033</v>
      </c>
      <c r="D281" s="406"/>
      <c r="E281" s="407"/>
      <c r="F281" s="185">
        <f>TrialBalanceA!I281</f>
        <v>0</v>
      </c>
      <c r="G281" s="185">
        <f>TrialBalanceB!I281</f>
        <v>0</v>
      </c>
      <c r="H281" s="185">
        <f>TrialBalanceC!I281</f>
        <v>0</v>
      </c>
      <c r="I281" s="88"/>
      <c r="J281" s="348">
        <f>SUMIF(Journals!D$14:D$920,TrialBalance!P281,Journals!J$14:J$920)+SUMIF(Journals!E$14:E$920,TrialBalance!P281,Journals!J$14:J$920)</f>
        <v>0</v>
      </c>
      <c r="K281" s="409"/>
      <c r="L281" s="411">
        <f t="shared" si="69"/>
        <v>0</v>
      </c>
      <c r="M281" s="84"/>
      <c r="N281" s="57">
        <f t="shared" si="43"/>
        <v>0</v>
      </c>
      <c r="P281" s="197" t="str">
        <f t="shared" si="68"/>
        <v>6350/023Furniture and fittings - acc depr on sales</v>
      </c>
      <c r="Q281" s="79"/>
      <c r="R281" s="34"/>
      <c r="S281" s="80"/>
      <c r="T281" s="60"/>
      <c r="U281" s="34"/>
    </row>
    <row r="282" spans="1:21" x14ac:dyDescent="0.2">
      <c r="A282" s="394"/>
      <c r="B282" s="63" t="s">
        <v>538</v>
      </c>
      <c r="C282" s="397" t="s">
        <v>57</v>
      </c>
      <c r="D282" s="406"/>
      <c r="E282" s="407"/>
      <c r="F282" s="185"/>
      <c r="G282" s="185"/>
      <c r="H282" s="185"/>
      <c r="I282" s="88"/>
      <c r="J282" s="348">
        <f>SUMIF(Journals!D$14:D$920,TrialBalance!P282,Journals!J$14:J$920)+SUMIF(Journals!E$14:E$920,TrialBalance!P282,Journals!J$14:J$920)</f>
        <v>0</v>
      </c>
      <c r="K282" s="409"/>
      <c r="L282" s="411">
        <f t="shared" si="69"/>
        <v>0</v>
      </c>
      <c r="M282" s="84"/>
      <c r="N282" s="57">
        <f t="shared" ref="N282:N378" si="70">ROUND(SUM(A282),0)</f>
        <v>0</v>
      </c>
      <c r="P282" s="197" t="str">
        <f t="shared" si="68"/>
        <v>7000/000INTANGIBLE ASSETS</v>
      </c>
      <c r="Q282" s="79"/>
      <c r="R282" s="34"/>
      <c r="S282" s="80"/>
      <c r="T282" s="60"/>
      <c r="U282" s="34"/>
    </row>
    <row r="283" spans="1:21" x14ac:dyDescent="0.2">
      <c r="A283" s="394"/>
      <c r="B283" s="114" t="s">
        <v>1489</v>
      </c>
      <c r="C283" s="397" t="s">
        <v>1490</v>
      </c>
      <c r="D283" s="406"/>
      <c r="E283" s="407"/>
      <c r="F283" s="185"/>
      <c r="G283" s="185"/>
      <c r="H283" s="185"/>
      <c r="I283" s="88"/>
      <c r="J283" s="348">
        <f>SUMIF(Journals!D$14:D$920,TrialBalance!P283,Journals!J$14:J$920)+SUMIF(Journals!E$14:E$920,TrialBalance!P283,Journals!J$14:J$920)</f>
        <v>0</v>
      </c>
      <c r="K283" s="409"/>
      <c r="L283" s="411">
        <f t="shared" ref="L283:L300" si="71">ROUND(D283-E283+F283+G283+H283+J283+I283,0)</f>
        <v>0</v>
      </c>
      <c r="M283" s="84"/>
      <c r="N283" s="57">
        <f t="shared" ref="N283:N300" si="72">ROUND(SUM(A283),0)</f>
        <v>0</v>
      </c>
      <c r="P283" s="197" t="str">
        <f t="shared" ref="P283:P300" si="73">CONCATENATE(B283,C283)</f>
        <v>7000/001GOODWILL - COST</v>
      </c>
      <c r="Q283" s="79"/>
      <c r="R283" s="34"/>
      <c r="S283" s="80"/>
      <c r="T283" s="60"/>
      <c r="U283" s="34"/>
    </row>
    <row r="284" spans="1:21" x14ac:dyDescent="0.2">
      <c r="A284" s="394"/>
      <c r="B284" s="114" t="s">
        <v>1491</v>
      </c>
      <c r="C284" s="398" t="s">
        <v>1492</v>
      </c>
      <c r="D284" s="406"/>
      <c r="E284" s="407"/>
      <c r="F284" s="185"/>
      <c r="G284" s="185"/>
      <c r="H284" s="185"/>
      <c r="I284" s="88">
        <f>SUM(N284:N285)</f>
        <v>0</v>
      </c>
      <c r="J284" s="348">
        <f>SUMIF(Journals!D$14:D$920,TrialBalance!P284,Journals!J$14:J$920)+SUMIF(Journals!E$14:E$920,TrialBalance!P284,Journals!J$14:J$920)</f>
        <v>0</v>
      </c>
      <c r="K284" s="409"/>
      <c r="L284" s="411">
        <f t="shared" si="71"/>
        <v>0</v>
      </c>
      <c r="M284" s="84"/>
      <c r="N284" s="57">
        <f t="shared" si="72"/>
        <v>0</v>
      </c>
      <c r="P284" s="197" t="str">
        <f t="shared" si="73"/>
        <v>7000/002Goodwill - cost b/fwd</v>
      </c>
      <c r="Q284" s="79"/>
      <c r="R284" s="34"/>
      <c r="S284" s="80"/>
      <c r="T284" s="60"/>
      <c r="U284" s="34"/>
    </row>
    <row r="285" spans="1:21" x14ac:dyDescent="0.2">
      <c r="A285" s="394"/>
      <c r="B285" s="114" t="s">
        <v>1493</v>
      </c>
      <c r="C285" s="398" t="s">
        <v>1494</v>
      </c>
      <c r="D285" s="406"/>
      <c r="E285" s="407"/>
      <c r="F285" s="185">
        <f>TrialBalanceA!I285</f>
        <v>0</v>
      </c>
      <c r="G285" s="185">
        <f>TrialBalanceB!I285</f>
        <v>0</v>
      </c>
      <c r="H285" s="185">
        <f>TrialBalanceC!I285</f>
        <v>0</v>
      </c>
      <c r="I285" s="88"/>
      <c r="J285" s="348">
        <f>SUMIF(Journals!D$14:D$920,TrialBalance!P285,Journals!J$14:J$920)+SUMIF(Journals!E$14:E$920,TrialBalance!P285,Journals!J$14:J$920)</f>
        <v>0</v>
      </c>
      <c r="K285" s="409"/>
      <c r="L285" s="411">
        <f t="shared" si="71"/>
        <v>0</v>
      </c>
      <c r="M285" s="84"/>
      <c r="N285" s="57">
        <f t="shared" si="72"/>
        <v>0</v>
      </c>
      <c r="P285" s="197" t="str">
        <f t="shared" si="73"/>
        <v>7000/003Goodwill - additions</v>
      </c>
      <c r="Q285" s="79"/>
      <c r="R285" s="34"/>
      <c r="S285" s="80"/>
      <c r="T285" s="60"/>
      <c r="U285" s="34"/>
    </row>
    <row r="286" spans="1:21" x14ac:dyDescent="0.2">
      <c r="A286" s="394"/>
      <c r="B286" s="114" t="s">
        <v>1495</v>
      </c>
      <c r="C286" s="397" t="s">
        <v>1496</v>
      </c>
      <c r="D286" s="406"/>
      <c r="E286" s="407"/>
      <c r="F286" s="185"/>
      <c r="G286" s="185"/>
      <c r="H286" s="185"/>
      <c r="I286" s="88"/>
      <c r="J286" s="348">
        <f>SUMIF(Journals!D$14:D$920,TrialBalance!P286,Journals!J$14:J$920)+SUMIF(Journals!E$14:E$920,TrialBalance!P286,Journals!J$14:J$920)</f>
        <v>0</v>
      </c>
      <c r="K286" s="409"/>
      <c r="L286" s="411">
        <f t="shared" si="71"/>
        <v>0</v>
      </c>
      <c r="M286" s="84"/>
      <c r="N286" s="57">
        <f t="shared" si="72"/>
        <v>0</v>
      </c>
      <c r="P286" s="197" t="str">
        <f t="shared" si="73"/>
        <v>7000/005GOODWILL - ACC AMORTISATION</v>
      </c>
      <c r="Q286" s="79"/>
      <c r="R286" s="34"/>
      <c r="S286" s="80"/>
      <c r="T286" s="60"/>
      <c r="U286" s="34"/>
    </row>
    <row r="287" spans="1:21" x14ac:dyDescent="0.2">
      <c r="A287" s="394"/>
      <c r="B287" s="114" t="s">
        <v>1497</v>
      </c>
      <c r="C287" s="398" t="s">
        <v>1498</v>
      </c>
      <c r="D287" s="406"/>
      <c r="E287" s="407"/>
      <c r="F287" s="185"/>
      <c r="G287" s="185"/>
      <c r="H287" s="185"/>
      <c r="I287" s="88">
        <f>SUM(N287:N288)</f>
        <v>0</v>
      </c>
      <c r="J287" s="348">
        <f>SUMIF(Journals!D$14:D$920,TrialBalance!P287,Journals!J$14:J$920)+SUMIF(Journals!E$14:E$920,TrialBalance!P287,Journals!J$14:J$920)</f>
        <v>0</v>
      </c>
      <c r="K287" s="409"/>
      <c r="L287" s="411">
        <f t="shared" si="71"/>
        <v>0</v>
      </c>
      <c r="M287" s="84"/>
      <c r="N287" s="57">
        <f t="shared" si="72"/>
        <v>0</v>
      </c>
      <c r="P287" s="197" t="str">
        <f t="shared" si="73"/>
        <v>7000/006Goodwill - acc amortisation b/fwd</v>
      </c>
      <c r="Q287" s="79"/>
      <c r="R287" s="34"/>
      <c r="S287" s="80"/>
      <c r="T287" s="60"/>
      <c r="U287" s="34"/>
    </row>
    <row r="288" spans="1:21" x14ac:dyDescent="0.2">
      <c r="A288" s="394"/>
      <c r="B288" s="114" t="s">
        <v>1499</v>
      </c>
      <c r="C288" s="398" t="s">
        <v>1500</v>
      </c>
      <c r="D288" s="406"/>
      <c r="E288" s="407"/>
      <c r="F288" s="185">
        <f>TrialBalanceA!I288</f>
        <v>0</v>
      </c>
      <c r="G288" s="185">
        <f>TrialBalanceB!I288</f>
        <v>0</v>
      </c>
      <c r="H288" s="185">
        <f>TrialBalanceC!I288</f>
        <v>0</v>
      </c>
      <c r="I288" s="88"/>
      <c r="J288" s="348">
        <f>SUMIF(Journals!D$14:D$920,TrialBalance!P288,Journals!J$14:J$920)+SUMIF(Journals!E$14:E$920,TrialBalance!P288,Journals!J$14:J$920)</f>
        <v>0</v>
      </c>
      <c r="K288" s="409"/>
      <c r="L288" s="411">
        <f t="shared" si="71"/>
        <v>0</v>
      </c>
      <c r="M288" s="84"/>
      <c r="N288" s="57">
        <f t="shared" si="72"/>
        <v>0</v>
      </c>
      <c r="P288" s="197" t="str">
        <f t="shared" si="73"/>
        <v>7000/007Goodwill - amortisation this year</v>
      </c>
      <c r="Q288" s="79"/>
      <c r="R288" s="34"/>
      <c r="S288" s="80"/>
      <c r="T288" s="60"/>
      <c r="U288" s="34"/>
    </row>
    <row r="289" spans="1:21" x14ac:dyDescent="0.2">
      <c r="A289" s="394"/>
      <c r="B289" s="114" t="s">
        <v>539</v>
      </c>
      <c r="C289" s="397" t="s">
        <v>1501</v>
      </c>
      <c r="D289" s="406"/>
      <c r="E289" s="407"/>
      <c r="F289" s="185"/>
      <c r="G289" s="185"/>
      <c r="H289" s="185"/>
      <c r="I289" s="88"/>
      <c r="J289" s="348">
        <f>SUMIF(Journals!D$14:D$920,TrialBalance!P289,Journals!J$14:J$920)+SUMIF(Journals!E$14:E$920,TrialBalance!P289,Journals!J$14:J$920)</f>
        <v>0</v>
      </c>
      <c r="K289" s="409"/>
      <c r="L289" s="411">
        <f t="shared" si="71"/>
        <v>0</v>
      </c>
      <c r="M289" s="84"/>
      <c r="N289" s="57">
        <f t="shared" si="72"/>
        <v>0</v>
      </c>
      <c r="P289" s="197" t="str">
        <f t="shared" si="73"/>
        <v>7000/010GOODWILL - IMPAIRMENT</v>
      </c>
      <c r="Q289" s="79"/>
      <c r="R289" s="34"/>
      <c r="S289" s="80"/>
      <c r="T289" s="60"/>
      <c r="U289" s="34"/>
    </row>
    <row r="290" spans="1:21" x14ac:dyDescent="0.2">
      <c r="A290" s="394"/>
      <c r="B290" s="114" t="s">
        <v>762</v>
      </c>
      <c r="C290" s="398" t="s">
        <v>1502</v>
      </c>
      <c r="D290" s="406"/>
      <c r="E290" s="407"/>
      <c r="F290" s="185"/>
      <c r="G290" s="185"/>
      <c r="H290" s="185"/>
      <c r="I290" s="88">
        <f>SUM(N290:N291)</f>
        <v>0</v>
      </c>
      <c r="J290" s="348">
        <f>SUMIF(Journals!D$14:D$920,TrialBalance!P290,Journals!J$14:J$920)+SUMIF(Journals!E$14:E$920,TrialBalance!P290,Journals!J$14:J$920)</f>
        <v>0</v>
      </c>
      <c r="K290" s="409"/>
      <c r="L290" s="411">
        <f t="shared" si="71"/>
        <v>0</v>
      </c>
      <c r="M290" s="84"/>
      <c r="N290" s="57">
        <f t="shared" si="72"/>
        <v>0</v>
      </c>
      <c r="P290" s="197" t="str">
        <f t="shared" si="73"/>
        <v>7000/011Goodwill - impairment loss b/fwd</v>
      </c>
      <c r="Q290" s="79"/>
      <c r="R290" s="34"/>
      <c r="S290" s="80"/>
      <c r="T290" s="60"/>
      <c r="U290" s="34"/>
    </row>
    <row r="291" spans="1:21" x14ac:dyDescent="0.2">
      <c r="A291" s="394"/>
      <c r="B291" s="114" t="s">
        <v>1503</v>
      </c>
      <c r="C291" s="398" t="s">
        <v>1504</v>
      </c>
      <c r="D291" s="406"/>
      <c r="E291" s="407"/>
      <c r="F291" s="185">
        <f>TrialBalanceA!I291</f>
        <v>0</v>
      </c>
      <c r="G291" s="185">
        <f>TrialBalanceB!I291</f>
        <v>0</v>
      </c>
      <c r="H291" s="185">
        <f>TrialBalanceC!I291</f>
        <v>0</v>
      </c>
      <c r="I291" s="88"/>
      <c r="J291" s="348">
        <f>SUMIF(Journals!D$14:D$920,TrialBalance!P291,Journals!J$14:J$920)+SUMIF(Journals!E$14:E$920,TrialBalance!P291,Journals!J$14:J$920)</f>
        <v>0</v>
      </c>
      <c r="K291" s="409"/>
      <c r="L291" s="411">
        <f t="shared" si="71"/>
        <v>0</v>
      </c>
      <c r="M291" s="84"/>
      <c r="N291" s="57">
        <f t="shared" si="72"/>
        <v>0</v>
      </c>
      <c r="P291" s="197" t="str">
        <f t="shared" si="73"/>
        <v>7000/012Goodwill - impairment loss this year</v>
      </c>
      <c r="Q291" s="79"/>
      <c r="R291" s="34"/>
      <c r="S291" s="80"/>
      <c r="T291" s="60"/>
      <c r="U291" s="34"/>
    </row>
    <row r="292" spans="1:21" x14ac:dyDescent="0.2">
      <c r="A292" s="394"/>
      <c r="B292" s="114" t="s">
        <v>1505</v>
      </c>
      <c r="C292" s="397" t="s">
        <v>1506</v>
      </c>
      <c r="D292" s="406"/>
      <c r="E292" s="407"/>
      <c r="F292" s="185"/>
      <c r="G292" s="185"/>
      <c r="H292" s="185"/>
      <c r="I292" s="88"/>
      <c r="J292" s="348">
        <f>SUMIF(Journals!D$14:D$920,TrialBalance!P292,Journals!J$14:J$920)+SUMIF(Journals!E$14:E$920,TrialBalance!P292,Journals!J$14:J$920)</f>
        <v>0</v>
      </c>
      <c r="K292" s="409"/>
      <c r="L292" s="411">
        <f>ROUND(D292-E292+F292+G292+H292+J292+I292,0)</f>
        <v>0</v>
      </c>
      <c r="M292" s="84"/>
      <c r="N292" s="57">
        <f t="shared" si="72"/>
        <v>0</v>
      </c>
      <c r="P292" s="197" t="str">
        <f t="shared" si="73"/>
        <v>7000/021PREPAID LEASE AGREEMENT - COST</v>
      </c>
      <c r="Q292" s="79"/>
      <c r="R292" s="34"/>
      <c r="S292" s="80"/>
      <c r="T292" s="60"/>
      <c r="U292" s="34"/>
    </row>
    <row r="293" spans="1:21" x14ac:dyDescent="0.2">
      <c r="A293" s="394"/>
      <c r="B293" s="114" t="s">
        <v>1507</v>
      </c>
      <c r="C293" s="398" t="s">
        <v>1508</v>
      </c>
      <c r="D293" s="406"/>
      <c r="E293" s="407"/>
      <c r="F293" s="185"/>
      <c r="G293" s="185"/>
      <c r="H293" s="185"/>
      <c r="I293" s="88">
        <f>SUM(N293:N294)</f>
        <v>0</v>
      </c>
      <c r="J293" s="348">
        <f>SUMIF(Journals!D$14:D$920,TrialBalance!P293,Journals!J$14:J$920)+SUMIF(Journals!E$14:E$920,TrialBalance!P293,Journals!J$14:J$920)</f>
        <v>0</v>
      </c>
      <c r="K293" s="409"/>
      <c r="L293" s="411">
        <f t="shared" si="71"/>
        <v>0</v>
      </c>
      <c r="M293" s="84"/>
      <c r="N293" s="57">
        <f t="shared" si="72"/>
        <v>0</v>
      </c>
      <c r="P293" s="197" t="str">
        <f t="shared" si="73"/>
        <v>7000/022Prepaid lease agreement - cost b/fwd</v>
      </c>
      <c r="Q293" s="79"/>
      <c r="R293" s="34"/>
      <c r="S293" s="80"/>
      <c r="T293" s="60"/>
      <c r="U293" s="34"/>
    </row>
    <row r="294" spans="1:21" x14ac:dyDescent="0.2">
      <c r="A294" s="394"/>
      <c r="B294" s="114" t="s">
        <v>1509</v>
      </c>
      <c r="C294" s="398" t="s">
        <v>1510</v>
      </c>
      <c r="D294" s="406"/>
      <c r="E294" s="407"/>
      <c r="F294" s="185">
        <f>TrialBalanceA!I294</f>
        <v>0</v>
      </c>
      <c r="G294" s="185">
        <f>TrialBalanceB!I294</f>
        <v>0</v>
      </c>
      <c r="H294" s="185">
        <f>TrialBalanceC!I294</f>
        <v>0</v>
      </c>
      <c r="I294" s="88"/>
      <c r="J294" s="348">
        <f>SUMIF(Journals!D$14:D$920,TrialBalance!P294,Journals!J$14:J$920)+SUMIF(Journals!E$14:E$920,TrialBalance!P294,Journals!J$14:J$920)</f>
        <v>0</v>
      </c>
      <c r="K294" s="409"/>
      <c r="L294" s="411">
        <f t="shared" si="71"/>
        <v>0</v>
      </c>
      <c r="M294" s="84"/>
      <c r="N294" s="57">
        <f t="shared" si="72"/>
        <v>0</v>
      </c>
      <c r="P294" s="197" t="str">
        <f t="shared" si="73"/>
        <v>7000/023Prepaid lease agreement - additions</v>
      </c>
      <c r="Q294" s="79"/>
      <c r="R294" s="34"/>
      <c r="S294" s="80"/>
      <c r="T294" s="60"/>
      <c r="U294" s="34"/>
    </row>
    <row r="295" spans="1:21" x14ac:dyDescent="0.2">
      <c r="A295" s="394"/>
      <c r="B295" s="114" t="s">
        <v>540</v>
      </c>
      <c r="C295" s="397" t="s">
        <v>1511</v>
      </c>
      <c r="D295" s="406"/>
      <c r="E295" s="407"/>
      <c r="F295" s="185"/>
      <c r="G295" s="185"/>
      <c r="H295" s="185"/>
      <c r="I295" s="88"/>
      <c r="J295" s="348">
        <f>SUMIF(Journals!D$14:D$920,TrialBalance!P295,Journals!J$14:J$920)+SUMIF(Journals!E$14:E$920,TrialBalance!P295,Journals!J$14:J$920)</f>
        <v>0</v>
      </c>
      <c r="K295" s="409"/>
      <c r="L295" s="411">
        <f t="shared" si="71"/>
        <v>0</v>
      </c>
      <c r="M295" s="84"/>
      <c r="N295" s="57">
        <f t="shared" si="72"/>
        <v>0</v>
      </c>
      <c r="P295" s="197" t="str">
        <f t="shared" si="73"/>
        <v>7000/025PREPAID LEASE AGREEMENT - ACC AMORTISATION</v>
      </c>
      <c r="Q295" s="79"/>
      <c r="R295" s="34"/>
      <c r="S295" s="80"/>
      <c r="T295" s="60"/>
      <c r="U295" s="34"/>
    </row>
    <row r="296" spans="1:21" x14ac:dyDescent="0.2">
      <c r="A296" s="394"/>
      <c r="B296" s="114" t="s">
        <v>1512</v>
      </c>
      <c r="C296" s="398" t="s">
        <v>1513</v>
      </c>
      <c r="D296" s="406"/>
      <c r="E296" s="407"/>
      <c r="F296" s="185"/>
      <c r="G296" s="185"/>
      <c r="H296" s="185"/>
      <c r="I296" s="88">
        <f>SUM(N296:N297)</f>
        <v>0</v>
      </c>
      <c r="J296" s="348">
        <f>SUMIF(Journals!D$14:D$920,TrialBalance!P296,Journals!J$14:J$920)+SUMIF(Journals!E$14:E$920,TrialBalance!P296,Journals!J$14:J$920)</f>
        <v>0</v>
      </c>
      <c r="K296" s="409"/>
      <c r="L296" s="411">
        <f t="shared" si="71"/>
        <v>0</v>
      </c>
      <c r="M296" s="84"/>
      <c r="N296" s="57">
        <f t="shared" si="72"/>
        <v>0</v>
      </c>
      <c r="P296" s="197" t="str">
        <f t="shared" si="73"/>
        <v>7000/026Prepaid lease agreement - acc amortisation b/fwd</v>
      </c>
      <c r="Q296" s="79"/>
      <c r="R296" s="34"/>
      <c r="S296" s="80"/>
      <c r="T296" s="60"/>
      <c r="U296" s="34"/>
    </row>
    <row r="297" spans="1:21" x14ac:dyDescent="0.2">
      <c r="A297" s="394"/>
      <c r="B297" s="114" t="s">
        <v>1514</v>
      </c>
      <c r="C297" s="398" t="s">
        <v>1515</v>
      </c>
      <c r="D297" s="406"/>
      <c r="E297" s="407"/>
      <c r="F297" s="185">
        <f>TrialBalanceA!I297</f>
        <v>0</v>
      </c>
      <c r="G297" s="185">
        <f>TrialBalanceB!I297</f>
        <v>0</v>
      </c>
      <c r="H297" s="185">
        <f>TrialBalanceC!I297</f>
        <v>0</v>
      </c>
      <c r="I297" s="88"/>
      <c r="J297" s="348">
        <f>SUMIF(Journals!D$14:D$920,TrialBalance!P297,Journals!J$14:J$920)+SUMIF(Journals!E$14:E$920,TrialBalance!P297,Journals!J$14:J$920)</f>
        <v>0</v>
      </c>
      <c r="K297" s="409"/>
      <c r="L297" s="411">
        <f t="shared" si="71"/>
        <v>0</v>
      </c>
      <c r="M297" s="84"/>
      <c r="N297" s="57">
        <f t="shared" si="72"/>
        <v>0</v>
      </c>
      <c r="P297" s="197" t="str">
        <f t="shared" si="73"/>
        <v>7000/027Prepaid lease agreement - amortisation this year</v>
      </c>
      <c r="Q297" s="79"/>
      <c r="R297" s="34"/>
      <c r="S297" s="80"/>
      <c r="T297" s="60"/>
      <c r="U297" s="34"/>
    </row>
    <row r="298" spans="1:21" x14ac:dyDescent="0.2">
      <c r="A298" s="394"/>
      <c r="B298" s="114" t="s">
        <v>1516</v>
      </c>
      <c r="C298" s="397" t="s">
        <v>1517</v>
      </c>
      <c r="D298" s="406"/>
      <c r="E298" s="407"/>
      <c r="F298" s="185"/>
      <c r="G298" s="185"/>
      <c r="H298" s="185"/>
      <c r="I298" s="88"/>
      <c r="J298" s="348">
        <f>SUMIF(Journals!D$14:D$920,TrialBalance!P298,Journals!J$14:J$920)+SUMIF(Journals!E$14:E$920,TrialBalance!P298,Journals!J$14:J$920)</f>
        <v>0</v>
      </c>
      <c r="K298" s="409"/>
      <c r="L298" s="411">
        <f t="shared" si="71"/>
        <v>0</v>
      </c>
      <c r="M298" s="84"/>
      <c r="N298" s="57">
        <f t="shared" si="72"/>
        <v>0</v>
      </c>
      <c r="P298" s="197" t="str">
        <f t="shared" si="73"/>
        <v>7000/030PREPAID LEASE AGREEMENT - IMPAIRMENT</v>
      </c>
      <c r="Q298" s="79"/>
      <c r="R298" s="34"/>
      <c r="S298" s="80"/>
      <c r="T298" s="60"/>
      <c r="U298" s="34"/>
    </row>
    <row r="299" spans="1:21" x14ac:dyDescent="0.2">
      <c r="A299" s="394"/>
      <c r="B299" s="114" t="s">
        <v>1518</v>
      </c>
      <c r="C299" s="398" t="s">
        <v>1519</v>
      </c>
      <c r="D299" s="406"/>
      <c r="E299" s="407"/>
      <c r="F299" s="185"/>
      <c r="G299" s="185"/>
      <c r="H299" s="185"/>
      <c r="I299" s="88">
        <f>SUM(N299:N300)</f>
        <v>0</v>
      </c>
      <c r="J299" s="348">
        <f>SUMIF(Journals!D$14:D$920,TrialBalance!P299,Journals!J$14:J$920)+SUMIF(Journals!E$14:E$920,TrialBalance!P299,Journals!J$14:J$920)</f>
        <v>0</v>
      </c>
      <c r="K299" s="409"/>
      <c r="L299" s="411">
        <f t="shared" si="71"/>
        <v>0</v>
      </c>
      <c r="M299" s="84"/>
      <c r="N299" s="57">
        <f t="shared" si="72"/>
        <v>0</v>
      </c>
      <c r="P299" s="197" t="str">
        <f t="shared" si="73"/>
        <v>7000/031Prepaid lease agreement - impairment loss b/fwd</v>
      </c>
      <c r="Q299" s="79"/>
      <c r="R299" s="34"/>
      <c r="S299" s="80"/>
      <c r="T299" s="60"/>
      <c r="U299" s="34"/>
    </row>
    <row r="300" spans="1:21" x14ac:dyDescent="0.2">
      <c r="A300" s="394"/>
      <c r="B300" s="114" t="s">
        <v>1520</v>
      </c>
      <c r="C300" s="398" t="s">
        <v>1521</v>
      </c>
      <c r="D300" s="406"/>
      <c r="E300" s="407"/>
      <c r="F300" s="185">
        <f>TrialBalanceA!I300</f>
        <v>0</v>
      </c>
      <c r="G300" s="185">
        <f>TrialBalanceB!I300</f>
        <v>0</v>
      </c>
      <c r="H300" s="185">
        <f>TrialBalanceC!I300</f>
        <v>0</v>
      </c>
      <c r="I300" s="88"/>
      <c r="J300" s="348">
        <f>SUMIF(Journals!D$14:D$920,TrialBalance!P300,Journals!J$14:J$920)+SUMIF(Journals!E$14:E$920,TrialBalance!P300,Journals!J$14:J$920)</f>
        <v>0</v>
      </c>
      <c r="K300" s="409"/>
      <c r="L300" s="411">
        <f t="shared" si="71"/>
        <v>0</v>
      </c>
      <c r="M300" s="84"/>
      <c r="N300" s="57">
        <f t="shared" si="72"/>
        <v>0</v>
      </c>
      <c r="P300" s="197" t="str">
        <f t="shared" si="73"/>
        <v>7000/032Prepaid lease agreement - impairment loss this year</v>
      </c>
      <c r="Q300" s="79"/>
      <c r="R300" s="34"/>
      <c r="S300" s="80"/>
      <c r="T300" s="60"/>
      <c r="U300" s="34"/>
    </row>
    <row r="301" spans="1:21" x14ac:dyDescent="0.2">
      <c r="A301" s="394"/>
      <c r="B301" s="63" t="s">
        <v>541</v>
      </c>
      <c r="C301" s="397" t="s">
        <v>209</v>
      </c>
      <c r="D301" s="406"/>
      <c r="E301" s="407"/>
      <c r="F301" s="185"/>
      <c r="G301" s="185"/>
      <c r="H301" s="185"/>
      <c r="I301" s="88"/>
      <c r="J301" s="348">
        <f>SUMIF(Journals!D$14:D$920,TrialBalance!P301,Journals!J$14:J$920)+SUMIF(Journals!E$14:E$920,TrialBalance!P301,Journals!J$14:J$920)</f>
        <v>0</v>
      </c>
      <c r="K301" s="409"/>
      <c r="L301" s="411">
        <f t="shared" si="69"/>
        <v>0</v>
      </c>
      <c r="M301" s="84"/>
      <c r="N301" s="57">
        <f t="shared" si="70"/>
        <v>0</v>
      </c>
      <c r="P301" s="197" t="str">
        <f t="shared" si="68"/>
        <v>7100/000INVESTMENTS</v>
      </c>
      <c r="Q301" s="79"/>
      <c r="R301" s="34"/>
      <c r="S301" s="80"/>
      <c r="T301" s="60"/>
      <c r="U301" s="34"/>
    </row>
    <row r="302" spans="1:21" x14ac:dyDescent="0.2">
      <c r="A302" s="394"/>
      <c r="B302" s="114" t="s">
        <v>1324</v>
      </c>
      <c r="C302" s="398" t="s">
        <v>1318</v>
      </c>
      <c r="D302" s="406"/>
      <c r="E302" s="407"/>
      <c r="F302" s="185"/>
      <c r="G302" s="185"/>
      <c r="H302" s="185"/>
      <c r="I302" s="88"/>
      <c r="J302" s="348">
        <f>SUMIF(Journals!D$14:D$920,TrialBalance!P302,Journals!J$14:J$920)+SUMIF(Journals!E$14:E$920,TrialBalance!P302,Journals!J$14:J$920)</f>
        <v>0</v>
      </c>
      <c r="K302" s="409"/>
      <c r="L302" s="411">
        <f t="shared" ref="L302:L305" si="74">ROUND(D302-E302+F302+G302+H302+J302+I302,0)</f>
        <v>0</v>
      </c>
      <c r="M302" s="84"/>
      <c r="N302" s="57">
        <f t="shared" ref="N302:N305" si="75">ROUND(SUM(A302),0)</f>
        <v>0</v>
      </c>
      <c r="P302" s="197" t="str">
        <f t="shared" ref="P302:P305" si="76">CONCATENATE(B302,C302)</f>
        <v>7100/050INVESTMENTS IN ASSOCIATES</v>
      </c>
      <c r="Q302" s="79"/>
      <c r="R302" s="34"/>
      <c r="S302" s="80"/>
      <c r="T302" s="60"/>
      <c r="U302" s="34"/>
    </row>
    <row r="303" spans="1:21" x14ac:dyDescent="0.2">
      <c r="A303" s="394"/>
      <c r="B303" s="114" t="s">
        <v>1325</v>
      </c>
      <c r="C303" s="405" t="s">
        <v>1328</v>
      </c>
      <c r="D303" s="406"/>
      <c r="E303" s="407"/>
      <c r="F303" s="185">
        <f>TrialBalanceA!I303-TrialBalanceA!K303</f>
        <v>0</v>
      </c>
      <c r="G303" s="185">
        <f>TrialBalanceB!I303-TrialBalanceB!K303</f>
        <v>0</v>
      </c>
      <c r="H303" s="185">
        <f>TrialBalanceC!I303-TrialBalanceC!K303</f>
        <v>0</v>
      </c>
      <c r="I303" s="88">
        <f>N303</f>
        <v>0</v>
      </c>
      <c r="J303" s="348">
        <f>SUMIF(Journals!D$14:D$920,TrialBalance!P303,Journals!J$14:J$920)+SUMIF(Journals!E$14:E$920,TrialBalance!P303,Journals!J$14:J$920)</f>
        <v>0</v>
      </c>
      <c r="K303" s="409"/>
      <c r="L303" s="411">
        <f t="shared" si="74"/>
        <v>0</v>
      </c>
      <c r="M303" s="84"/>
      <c r="N303" s="57">
        <f t="shared" si="75"/>
        <v>0</v>
      </c>
      <c r="P303" s="197" t="str">
        <f t="shared" si="76"/>
        <v>7100/051100 Shares in ABC Company (Pty) Ltd - 100% interest</v>
      </c>
      <c r="Q303" s="79"/>
      <c r="R303" s="34"/>
      <c r="S303" s="80"/>
      <c r="T303" s="60"/>
      <c r="U303" s="34"/>
    </row>
    <row r="304" spans="1:21" x14ac:dyDescent="0.2">
      <c r="A304" s="394"/>
      <c r="B304" s="114" t="s">
        <v>1326</v>
      </c>
      <c r="C304" s="405"/>
      <c r="D304" s="406"/>
      <c r="E304" s="407"/>
      <c r="F304" s="185">
        <f>TrialBalanceA!I304-TrialBalanceA!K304</f>
        <v>0</v>
      </c>
      <c r="G304" s="185">
        <f>TrialBalanceB!I304-TrialBalanceB!K304</f>
        <v>0</v>
      </c>
      <c r="H304" s="185">
        <f>TrialBalanceC!I304-TrialBalanceC!K304</f>
        <v>0</v>
      </c>
      <c r="I304" s="88">
        <f t="shared" ref="I304:I305" si="77">N304</f>
        <v>0</v>
      </c>
      <c r="J304" s="348">
        <f>SUMIF(Journals!D$14:D$920,TrialBalance!P304,Journals!J$14:J$920)+SUMIF(Journals!E$14:E$920,TrialBalance!P304,Journals!J$14:J$920)</f>
        <v>0</v>
      </c>
      <c r="K304" s="409"/>
      <c r="L304" s="411">
        <f t="shared" si="74"/>
        <v>0</v>
      </c>
      <c r="M304" s="84"/>
      <c r="N304" s="57">
        <f t="shared" si="75"/>
        <v>0</v>
      </c>
      <c r="P304" s="197" t="str">
        <f t="shared" si="76"/>
        <v>7100/052</v>
      </c>
      <c r="Q304" s="79"/>
      <c r="R304" s="34"/>
      <c r="S304" s="80"/>
      <c r="T304" s="60"/>
      <c r="U304" s="34"/>
    </row>
    <row r="305" spans="1:21" x14ac:dyDescent="0.2">
      <c r="A305" s="394"/>
      <c r="B305" s="114" t="s">
        <v>1327</v>
      </c>
      <c r="C305" s="405"/>
      <c r="D305" s="406"/>
      <c r="E305" s="407"/>
      <c r="F305" s="185">
        <f>TrialBalanceA!I305-TrialBalanceA!K305</f>
        <v>0</v>
      </c>
      <c r="G305" s="185">
        <f>TrialBalanceB!I305-TrialBalanceB!K305</f>
        <v>0</v>
      </c>
      <c r="H305" s="185">
        <f>TrialBalanceC!I305-TrialBalanceC!K305</f>
        <v>0</v>
      </c>
      <c r="I305" s="88">
        <f t="shared" si="77"/>
        <v>0</v>
      </c>
      <c r="J305" s="348">
        <f>SUMIF(Journals!D$14:D$920,TrialBalance!P305,Journals!J$14:J$920)+SUMIF(Journals!E$14:E$920,TrialBalance!P305,Journals!J$14:J$920)</f>
        <v>0</v>
      </c>
      <c r="K305" s="409"/>
      <c r="L305" s="411">
        <f t="shared" si="74"/>
        <v>0</v>
      </c>
      <c r="M305" s="84"/>
      <c r="N305" s="57">
        <f t="shared" si="75"/>
        <v>0</v>
      </c>
      <c r="P305" s="197" t="str">
        <f t="shared" si="76"/>
        <v>7100/053</v>
      </c>
      <c r="Q305" s="79"/>
      <c r="R305" s="34"/>
      <c r="S305" s="80"/>
      <c r="T305" s="60"/>
      <c r="U305" s="34"/>
    </row>
    <row r="306" spans="1:21" x14ac:dyDescent="0.2">
      <c r="A306" s="394"/>
      <c r="B306" s="63" t="s">
        <v>542</v>
      </c>
      <c r="C306" s="395" t="s">
        <v>543</v>
      </c>
      <c r="D306" s="406"/>
      <c r="E306" s="407"/>
      <c r="F306" s="185"/>
      <c r="G306" s="185"/>
      <c r="H306" s="185"/>
      <c r="I306" s="88"/>
      <c r="J306" s="348">
        <f>SUMIF(Journals!D$14:D$920,TrialBalance!P306,Journals!J$14:J$920)+SUMIF(Journals!E$14:E$920,TrialBalance!P306,Journals!J$14:J$920)</f>
        <v>0</v>
      </c>
      <c r="K306" s="409"/>
      <c r="L306" s="411">
        <f t="shared" si="69"/>
        <v>0</v>
      </c>
      <c r="M306" s="84"/>
      <c r="N306" s="57">
        <f t="shared" si="70"/>
        <v>0</v>
      </c>
      <c r="P306" s="197" t="str">
        <f t="shared" si="68"/>
        <v>7100/100LISTED INVESTMENTS</v>
      </c>
      <c r="Q306" s="79"/>
      <c r="R306" s="34"/>
      <c r="S306" s="80"/>
      <c r="T306" s="60"/>
      <c r="U306" s="34"/>
    </row>
    <row r="307" spans="1:21" x14ac:dyDescent="0.2">
      <c r="A307" s="394"/>
      <c r="B307" s="63" t="s">
        <v>544</v>
      </c>
      <c r="C307" s="405"/>
      <c r="D307" s="406"/>
      <c r="E307" s="407"/>
      <c r="F307" s="185">
        <f>TrialBalanceA!I307-TrialBalanceA!K307</f>
        <v>0</v>
      </c>
      <c r="G307" s="185">
        <f>TrialBalanceB!I307-TrialBalanceB!K307</f>
        <v>0</v>
      </c>
      <c r="H307" s="185">
        <f>TrialBalanceC!I307-TrialBalanceC!K307</f>
        <v>0</v>
      </c>
      <c r="I307" s="88">
        <f>N307</f>
        <v>0</v>
      </c>
      <c r="J307" s="348">
        <f>SUMIF(Journals!D$14:D$920,TrialBalance!P307,Journals!J$14:J$920)+SUMIF(Journals!E$14:E$920,TrialBalance!P307,Journals!J$14:J$920)</f>
        <v>0</v>
      </c>
      <c r="K307" s="409"/>
      <c r="L307" s="411">
        <f t="shared" si="69"/>
        <v>0</v>
      </c>
      <c r="M307" s="84"/>
      <c r="N307" s="57">
        <f t="shared" si="70"/>
        <v>0</v>
      </c>
      <c r="P307" s="197" t="str">
        <f t="shared" si="68"/>
        <v>7100/101</v>
      </c>
      <c r="Q307" s="79"/>
      <c r="R307" s="34"/>
      <c r="S307" s="80"/>
      <c r="T307" s="60"/>
      <c r="U307" s="34"/>
    </row>
    <row r="308" spans="1:21" x14ac:dyDescent="0.2">
      <c r="A308" s="394"/>
      <c r="B308" s="63" t="s">
        <v>545</v>
      </c>
      <c r="C308" s="405"/>
      <c r="D308" s="406"/>
      <c r="E308" s="407"/>
      <c r="F308" s="185">
        <f>TrialBalanceA!I308-TrialBalanceA!K308</f>
        <v>0</v>
      </c>
      <c r="G308" s="185">
        <f>TrialBalanceB!I308-TrialBalanceB!K308</f>
        <v>0</v>
      </c>
      <c r="H308" s="185">
        <f>TrialBalanceC!I308-TrialBalanceC!K308</f>
        <v>0</v>
      </c>
      <c r="I308" s="88">
        <f>N308</f>
        <v>0</v>
      </c>
      <c r="J308" s="348">
        <f>SUMIF(Journals!D$14:D$920,TrialBalance!P308,Journals!J$14:J$920)+SUMIF(Journals!E$14:E$920,TrialBalance!P308,Journals!J$14:J$920)</f>
        <v>0</v>
      </c>
      <c r="K308" s="409"/>
      <c r="L308" s="411">
        <f t="shared" si="69"/>
        <v>0</v>
      </c>
      <c r="M308" s="84"/>
      <c r="N308" s="57">
        <f t="shared" si="70"/>
        <v>0</v>
      </c>
      <c r="P308" s="197" t="str">
        <f t="shared" si="68"/>
        <v>7100/102</v>
      </c>
      <c r="Q308" s="79"/>
      <c r="R308" s="34"/>
      <c r="S308" s="80"/>
      <c r="T308" s="60"/>
      <c r="U308" s="34"/>
    </row>
    <row r="309" spans="1:21" x14ac:dyDescent="0.2">
      <c r="A309" s="394"/>
      <c r="B309" s="63" t="s">
        <v>546</v>
      </c>
      <c r="C309" s="405"/>
      <c r="D309" s="406"/>
      <c r="E309" s="407"/>
      <c r="F309" s="185">
        <f>TrialBalanceA!I309-TrialBalanceA!K309</f>
        <v>0</v>
      </c>
      <c r="G309" s="185">
        <f>TrialBalanceB!I309-TrialBalanceB!K309</f>
        <v>0</v>
      </c>
      <c r="H309" s="185">
        <f>TrialBalanceC!I309-TrialBalanceC!K309</f>
        <v>0</v>
      </c>
      <c r="I309" s="88">
        <f>N309</f>
        <v>0</v>
      </c>
      <c r="J309" s="348">
        <f>SUMIF(Journals!D$14:D$920,TrialBalance!P309,Journals!J$14:J$920)+SUMIF(Journals!E$14:E$920,TrialBalance!P309,Journals!J$14:J$920)</f>
        <v>0</v>
      </c>
      <c r="K309" s="409"/>
      <c r="L309" s="411">
        <f t="shared" si="69"/>
        <v>0</v>
      </c>
      <c r="M309" s="84"/>
      <c r="N309" s="57">
        <f t="shared" si="70"/>
        <v>0</v>
      </c>
      <c r="P309" s="197" t="str">
        <f t="shared" si="68"/>
        <v>7100/103</v>
      </c>
      <c r="Q309" s="79"/>
      <c r="R309" s="34"/>
      <c r="S309" s="80"/>
      <c r="T309" s="60"/>
      <c r="U309" s="34"/>
    </row>
    <row r="310" spans="1:21" x14ac:dyDescent="0.2">
      <c r="A310" s="394"/>
      <c r="B310" s="63" t="s">
        <v>547</v>
      </c>
      <c r="C310" s="405"/>
      <c r="D310" s="406"/>
      <c r="E310" s="407"/>
      <c r="F310" s="185">
        <f>TrialBalanceA!I310-TrialBalanceA!K310</f>
        <v>0</v>
      </c>
      <c r="G310" s="185">
        <f>TrialBalanceB!I310-TrialBalanceB!K310</f>
        <v>0</v>
      </c>
      <c r="H310" s="185">
        <f>TrialBalanceC!I310-TrialBalanceC!K310</f>
        <v>0</v>
      </c>
      <c r="I310" s="88">
        <f>N310</f>
        <v>0</v>
      </c>
      <c r="J310" s="348">
        <f>SUMIF(Journals!D$14:D$920,TrialBalance!P310,Journals!J$14:J$920)+SUMIF(Journals!E$14:E$920,TrialBalance!P310,Journals!J$14:J$920)</f>
        <v>0</v>
      </c>
      <c r="K310" s="409"/>
      <c r="L310" s="411">
        <f t="shared" si="69"/>
        <v>0</v>
      </c>
      <c r="M310" s="84"/>
      <c r="N310" s="57">
        <f t="shared" si="70"/>
        <v>0</v>
      </c>
      <c r="P310" s="197" t="str">
        <f t="shared" si="68"/>
        <v>7100/104</v>
      </c>
      <c r="Q310" s="79"/>
      <c r="R310" s="34"/>
      <c r="S310" s="80"/>
      <c r="T310" s="60"/>
      <c r="U310" s="34"/>
    </row>
    <row r="311" spans="1:21" x14ac:dyDescent="0.2">
      <c r="A311" s="394"/>
      <c r="B311" s="63" t="s">
        <v>548</v>
      </c>
      <c r="C311" s="405"/>
      <c r="D311" s="406"/>
      <c r="E311" s="407"/>
      <c r="F311" s="185">
        <f>TrialBalanceA!I311-TrialBalanceA!K311</f>
        <v>0</v>
      </c>
      <c r="G311" s="185">
        <f>TrialBalanceB!I311-TrialBalanceB!K311</f>
        <v>0</v>
      </c>
      <c r="H311" s="185">
        <f>TrialBalanceC!I311-TrialBalanceC!K311</f>
        <v>0</v>
      </c>
      <c r="I311" s="88">
        <f>N311</f>
        <v>0</v>
      </c>
      <c r="J311" s="348">
        <f>SUMIF(Journals!D$14:D$920,TrialBalance!P311,Journals!J$14:J$920)+SUMIF(Journals!E$14:E$920,TrialBalance!P311,Journals!J$14:J$920)</f>
        <v>0</v>
      </c>
      <c r="K311" s="409"/>
      <c r="L311" s="411">
        <f t="shared" si="69"/>
        <v>0</v>
      </c>
      <c r="M311" s="84"/>
      <c r="N311" s="57">
        <f t="shared" si="70"/>
        <v>0</v>
      </c>
      <c r="P311" s="197" t="str">
        <f t="shared" si="68"/>
        <v>7100/105</v>
      </c>
      <c r="Q311" s="79"/>
      <c r="R311" s="34"/>
      <c r="S311" s="80"/>
      <c r="T311" s="60"/>
      <c r="U311" s="34"/>
    </row>
    <row r="312" spans="1:21" x14ac:dyDescent="0.2">
      <c r="A312" s="394"/>
      <c r="B312" s="63" t="s">
        <v>549</v>
      </c>
      <c r="C312" s="398" t="s">
        <v>447</v>
      </c>
      <c r="D312" s="406"/>
      <c r="E312" s="407"/>
      <c r="F312" s="185"/>
      <c r="G312" s="185"/>
      <c r="H312" s="185"/>
      <c r="I312" s="88"/>
      <c r="J312" s="348">
        <f>SUMIF(Journals!D$14:D$920,TrialBalance!P312,Journals!J$14:J$920)+SUMIF(Journals!E$14:E$920,TrialBalance!P312,Journals!J$14:J$920)</f>
        <v>0</v>
      </c>
      <c r="K312" s="409"/>
      <c r="L312" s="411">
        <f t="shared" si="69"/>
        <v>0</v>
      </c>
      <c r="M312" s="84"/>
      <c r="N312" s="57">
        <f t="shared" si="70"/>
        <v>0</v>
      </c>
      <c r="P312" s="197" t="str">
        <f t="shared" si="68"/>
        <v>7100/200OTHER INVESTMENTS</v>
      </c>
      <c r="Q312" s="79"/>
      <c r="R312" s="34"/>
      <c r="S312" s="80"/>
      <c r="T312" s="60"/>
      <c r="U312" s="34"/>
    </row>
    <row r="313" spans="1:21" x14ac:dyDescent="0.2">
      <c r="A313" s="394"/>
      <c r="B313" s="63" t="s">
        <v>550</v>
      </c>
      <c r="C313" s="405"/>
      <c r="D313" s="406"/>
      <c r="E313" s="407"/>
      <c r="F313" s="185">
        <f>TrialBalanceA!I313-TrialBalanceA!K313</f>
        <v>0</v>
      </c>
      <c r="G313" s="185">
        <f>TrialBalanceB!I313-TrialBalanceB!K313</f>
        <v>0</v>
      </c>
      <c r="H313" s="185">
        <f>TrialBalanceC!I313-TrialBalanceC!K313</f>
        <v>0</v>
      </c>
      <c r="I313" s="88">
        <f>N313</f>
        <v>0</v>
      </c>
      <c r="J313" s="348">
        <f>SUMIF(Journals!D$14:D$920,TrialBalance!P313,Journals!J$14:J$920)+SUMIF(Journals!E$14:E$920,TrialBalance!P313,Journals!J$14:J$920)</f>
        <v>0</v>
      </c>
      <c r="K313" s="409"/>
      <c r="L313" s="411">
        <f t="shared" si="69"/>
        <v>0</v>
      </c>
      <c r="M313" s="84"/>
      <c r="N313" s="57">
        <f t="shared" si="70"/>
        <v>0</v>
      </c>
      <c r="P313" s="197" t="str">
        <f t="shared" si="68"/>
        <v>7100/201</v>
      </c>
      <c r="Q313" s="79"/>
      <c r="R313" s="34"/>
      <c r="S313" s="80"/>
      <c r="T313" s="60"/>
      <c r="U313" s="34"/>
    </row>
    <row r="314" spans="1:21" x14ac:dyDescent="0.2">
      <c r="A314" s="394"/>
      <c r="B314" s="63" t="s">
        <v>551</v>
      </c>
      <c r="C314" s="405"/>
      <c r="D314" s="406"/>
      <c r="E314" s="407"/>
      <c r="F314" s="185">
        <f>TrialBalanceA!I314-TrialBalanceA!K314</f>
        <v>0</v>
      </c>
      <c r="G314" s="185">
        <f>TrialBalanceB!I314-TrialBalanceB!K314</f>
        <v>0</v>
      </c>
      <c r="H314" s="185">
        <f>TrialBalanceC!I314-TrialBalanceC!K314</f>
        <v>0</v>
      </c>
      <c r="I314" s="88">
        <f>N314</f>
        <v>0</v>
      </c>
      <c r="J314" s="348">
        <f>SUMIF(Journals!D$14:D$920,TrialBalance!P314,Journals!J$14:J$920)+SUMIF(Journals!E$14:E$920,TrialBalance!P314,Journals!J$14:J$920)</f>
        <v>0</v>
      </c>
      <c r="K314" s="409"/>
      <c r="L314" s="411">
        <f t="shared" si="69"/>
        <v>0</v>
      </c>
      <c r="M314" s="84"/>
      <c r="N314" s="57">
        <f t="shared" si="70"/>
        <v>0</v>
      </c>
      <c r="P314" s="197" t="str">
        <f t="shared" si="68"/>
        <v>7100/202</v>
      </c>
      <c r="Q314" s="79"/>
      <c r="R314" s="34"/>
      <c r="S314" s="80"/>
      <c r="T314" s="60"/>
      <c r="U314" s="34"/>
    </row>
    <row r="315" spans="1:21" x14ac:dyDescent="0.2">
      <c r="A315" s="394"/>
      <c r="B315" s="63" t="s">
        <v>552</v>
      </c>
      <c r="C315" s="405"/>
      <c r="D315" s="406"/>
      <c r="E315" s="407"/>
      <c r="F315" s="185">
        <f>TrialBalanceA!I315-TrialBalanceA!K315</f>
        <v>0</v>
      </c>
      <c r="G315" s="185">
        <f>TrialBalanceB!I315-TrialBalanceB!K315</f>
        <v>0</v>
      </c>
      <c r="H315" s="185">
        <f>TrialBalanceC!I315-TrialBalanceC!K315</f>
        <v>0</v>
      </c>
      <c r="I315" s="88">
        <f>N315</f>
        <v>0</v>
      </c>
      <c r="J315" s="348">
        <f>SUMIF(Journals!D$14:D$920,TrialBalance!P315,Journals!J$14:J$920)+SUMIF(Journals!E$14:E$920,TrialBalance!P315,Journals!J$14:J$920)</f>
        <v>0</v>
      </c>
      <c r="K315" s="409"/>
      <c r="L315" s="411">
        <f t="shared" si="69"/>
        <v>0</v>
      </c>
      <c r="M315" s="84"/>
      <c r="N315" s="57">
        <f t="shared" si="70"/>
        <v>0</v>
      </c>
      <c r="P315" s="197" t="str">
        <f t="shared" si="68"/>
        <v>7100/203</v>
      </c>
      <c r="Q315" s="79"/>
      <c r="R315" s="34"/>
      <c r="S315" s="80"/>
      <c r="T315" s="60"/>
      <c r="U315" s="34"/>
    </row>
    <row r="316" spans="1:21" x14ac:dyDescent="0.2">
      <c r="A316" s="394"/>
      <c r="B316" s="63" t="s">
        <v>553</v>
      </c>
      <c r="C316" s="405"/>
      <c r="D316" s="406"/>
      <c r="E316" s="407"/>
      <c r="F316" s="185">
        <f>TrialBalanceA!I316-TrialBalanceA!K316</f>
        <v>0</v>
      </c>
      <c r="G316" s="185">
        <f>TrialBalanceB!I316-TrialBalanceB!K316</f>
        <v>0</v>
      </c>
      <c r="H316" s="185">
        <f>TrialBalanceC!I316-TrialBalanceC!K316</f>
        <v>0</v>
      </c>
      <c r="I316" s="88">
        <f>N316</f>
        <v>0</v>
      </c>
      <c r="J316" s="348">
        <f>SUMIF(Journals!D$14:D$920,TrialBalance!P316,Journals!J$14:J$920)+SUMIF(Journals!E$14:E$920,TrialBalance!P316,Journals!J$14:J$920)</f>
        <v>0</v>
      </c>
      <c r="K316" s="409"/>
      <c r="L316" s="411">
        <f t="shared" si="69"/>
        <v>0</v>
      </c>
      <c r="M316" s="84"/>
      <c r="N316" s="57">
        <f t="shared" si="70"/>
        <v>0</v>
      </c>
      <c r="P316" s="197" t="str">
        <f t="shared" si="68"/>
        <v>7100/204</v>
      </c>
      <c r="Q316" s="79"/>
      <c r="R316" s="34"/>
      <c r="S316" s="80"/>
      <c r="T316" s="60"/>
      <c r="U316" s="34"/>
    </row>
    <row r="317" spans="1:21" x14ac:dyDescent="0.2">
      <c r="A317" s="394"/>
      <c r="B317" s="63" t="s">
        <v>185</v>
      </c>
      <c r="C317" s="405"/>
      <c r="D317" s="406"/>
      <c r="E317" s="407"/>
      <c r="F317" s="185">
        <f>TrialBalanceA!I317-TrialBalanceA!K317</f>
        <v>0</v>
      </c>
      <c r="G317" s="185">
        <f>TrialBalanceB!I317-TrialBalanceB!K317</f>
        <v>0</v>
      </c>
      <c r="H317" s="185">
        <f>TrialBalanceC!I317-TrialBalanceC!K317</f>
        <v>0</v>
      </c>
      <c r="I317" s="88">
        <f>N317</f>
        <v>0</v>
      </c>
      <c r="J317" s="348">
        <f>SUMIF(Journals!D$14:D$920,TrialBalance!P317,Journals!J$14:J$920)+SUMIF(Journals!E$14:E$920,TrialBalance!P317,Journals!J$14:J$920)</f>
        <v>0</v>
      </c>
      <c r="K317" s="409"/>
      <c r="L317" s="411">
        <f t="shared" si="69"/>
        <v>0</v>
      </c>
      <c r="M317" s="84"/>
      <c r="N317" s="57">
        <f t="shared" si="70"/>
        <v>0</v>
      </c>
      <c r="P317" s="197" t="str">
        <f t="shared" si="68"/>
        <v>7100/205</v>
      </c>
      <c r="Q317" s="79"/>
      <c r="R317" s="34"/>
      <c r="S317" s="80"/>
      <c r="T317" s="60"/>
      <c r="U317" s="34"/>
    </row>
    <row r="318" spans="1:21" x14ac:dyDescent="0.2">
      <c r="A318" s="394"/>
      <c r="B318" s="63" t="s">
        <v>186</v>
      </c>
      <c r="C318" s="398" t="s">
        <v>944</v>
      </c>
      <c r="D318" s="406"/>
      <c r="E318" s="407"/>
      <c r="F318" s="185"/>
      <c r="G318" s="185"/>
      <c r="H318" s="185"/>
      <c r="I318" s="88"/>
      <c r="J318" s="348">
        <f>SUMIF(Journals!D$14:D$920,TrialBalance!P318,Journals!J$14:J$920)+SUMIF(Journals!E$14:E$920,TrialBalance!P318,Journals!J$14:J$920)</f>
        <v>0</v>
      </c>
      <c r="K318" s="409"/>
      <c r="L318" s="411">
        <f t="shared" si="69"/>
        <v>0</v>
      </c>
      <c r="M318" s="84"/>
      <c r="N318" s="57">
        <f t="shared" si="70"/>
        <v>0</v>
      </c>
      <c r="P318" s="197" t="str">
        <f t="shared" si="68"/>
        <v>7450/000CONNECTED ENTITIES LOANS</v>
      </c>
      <c r="Q318" s="79"/>
      <c r="R318" s="34"/>
      <c r="S318" s="80"/>
      <c r="T318" s="60"/>
      <c r="U318" s="34"/>
    </row>
    <row r="319" spans="1:21" x14ac:dyDescent="0.2">
      <c r="A319" s="394"/>
      <c r="B319" s="63" t="s">
        <v>186</v>
      </c>
      <c r="C319" s="398" t="s">
        <v>788</v>
      </c>
      <c r="D319" s="406"/>
      <c r="E319" s="407"/>
      <c r="F319" s="185"/>
      <c r="G319" s="185"/>
      <c r="H319" s="185"/>
      <c r="I319" s="88"/>
      <c r="J319" s="348">
        <f>SUMIF(Journals!D$14:D$920,TrialBalance!P319,Journals!J$14:J$920)+SUMIF(Journals!E$14:E$920,TrialBalance!P319,Journals!J$14:J$920)</f>
        <v>0</v>
      </c>
      <c r="K319" s="409"/>
      <c r="L319" s="411">
        <f t="shared" ref="L319" si="78">ROUND(D319-E319+F319+G319+H319+J319+I319,0)</f>
        <v>0</v>
      </c>
      <c r="M319" s="84"/>
      <c r="N319" s="57">
        <f t="shared" si="70"/>
        <v>0</v>
      </c>
      <c r="P319" s="197" t="str">
        <f t="shared" si="68"/>
        <v>7450/000Interest bearing</v>
      </c>
      <c r="Q319" s="79"/>
      <c r="R319" s="34"/>
      <c r="S319" s="80"/>
      <c r="T319" s="60"/>
      <c r="U319" s="34"/>
    </row>
    <row r="320" spans="1:21" x14ac:dyDescent="0.2">
      <c r="A320" s="394"/>
      <c r="B320" s="63" t="s">
        <v>187</v>
      </c>
      <c r="C320" s="405"/>
      <c r="D320" s="406"/>
      <c r="E320" s="407"/>
      <c r="F320" s="185">
        <f>TrialBalanceA!I320-TrialBalanceA!K320</f>
        <v>0</v>
      </c>
      <c r="G320" s="185">
        <f>TrialBalanceB!I320-TrialBalanceB!K320</f>
        <v>0</v>
      </c>
      <c r="H320" s="185">
        <f>TrialBalanceC!I320-TrialBalanceC!K320</f>
        <v>0</v>
      </c>
      <c r="I320" s="88">
        <f>N320</f>
        <v>0</v>
      </c>
      <c r="J320" s="348">
        <f>SUMIF(Journals!D$14:D$920,TrialBalance!P320,Journals!J$14:J$920)+SUMIF(Journals!E$14:E$920,TrialBalance!P320,Journals!J$14:J$920)</f>
        <v>0</v>
      </c>
      <c r="K320" s="409"/>
      <c r="L320" s="411">
        <f>ROUND(D320-E320+F320+G320+H320+J320+I320,0)</f>
        <v>0</v>
      </c>
      <c r="M320" s="84"/>
      <c r="N320" s="57">
        <f t="shared" si="70"/>
        <v>0</v>
      </c>
      <c r="P320" s="197" t="str">
        <f t="shared" si="68"/>
        <v>7450/001</v>
      </c>
      <c r="Q320" s="79"/>
      <c r="R320" s="34"/>
      <c r="S320" s="80"/>
      <c r="T320" s="60"/>
      <c r="U320" s="34"/>
    </row>
    <row r="321" spans="1:21" x14ac:dyDescent="0.2">
      <c r="A321" s="394"/>
      <c r="B321" s="63" t="s">
        <v>188</v>
      </c>
      <c r="C321" s="405"/>
      <c r="D321" s="406"/>
      <c r="E321" s="407"/>
      <c r="F321" s="185">
        <f>TrialBalanceA!I321-TrialBalanceA!K321</f>
        <v>0</v>
      </c>
      <c r="G321" s="185">
        <f>TrialBalanceB!I321-TrialBalanceB!K321</f>
        <v>0</v>
      </c>
      <c r="H321" s="185">
        <f>TrialBalanceC!I321-TrialBalanceC!K321</f>
        <v>0</v>
      </c>
      <c r="I321" s="88">
        <f t="shared" ref="I321:I322" si="79">N321</f>
        <v>0</v>
      </c>
      <c r="J321" s="348">
        <f>SUMIF(Journals!D$14:D$920,TrialBalance!P321,Journals!J$14:J$920)+SUMIF(Journals!E$14:E$920,TrialBalance!P321,Journals!J$14:J$920)</f>
        <v>0</v>
      </c>
      <c r="K321" s="409"/>
      <c r="L321" s="411">
        <f t="shared" ref="L321:L322" si="80">ROUND(D321-E321+F321+G321+H321+J321+I321,0)</f>
        <v>0</v>
      </c>
      <c r="M321" s="84"/>
      <c r="N321" s="57">
        <f t="shared" ref="N321:N322" si="81">ROUND(SUM(A321),0)</f>
        <v>0</v>
      </c>
      <c r="P321" s="197" t="str">
        <f t="shared" ref="P321:P322" si="82">CONCATENATE(B321,C321)</f>
        <v>7450/002</v>
      </c>
      <c r="Q321" s="79"/>
      <c r="R321" s="34"/>
      <c r="S321" s="80"/>
      <c r="T321" s="60"/>
      <c r="U321" s="34"/>
    </row>
    <row r="322" spans="1:21" x14ac:dyDescent="0.2">
      <c r="A322" s="394"/>
      <c r="B322" s="114" t="s">
        <v>189</v>
      </c>
      <c r="C322" s="405"/>
      <c r="D322" s="406"/>
      <c r="E322" s="407"/>
      <c r="F322" s="185">
        <f>TrialBalanceA!I322-TrialBalanceA!K322</f>
        <v>0</v>
      </c>
      <c r="G322" s="185">
        <f>TrialBalanceB!I322-TrialBalanceB!K322</f>
        <v>0</v>
      </c>
      <c r="H322" s="185">
        <f>TrialBalanceC!I322-TrialBalanceC!K322</f>
        <v>0</v>
      </c>
      <c r="I322" s="88">
        <f t="shared" si="79"/>
        <v>0</v>
      </c>
      <c r="J322" s="348">
        <f>SUMIF(Journals!D$14:D$920,TrialBalance!P322,Journals!J$14:J$920)+SUMIF(Journals!E$14:E$920,TrialBalance!P322,Journals!J$14:J$920)</f>
        <v>0</v>
      </c>
      <c r="K322" s="409"/>
      <c r="L322" s="411">
        <f t="shared" si="80"/>
        <v>0</v>
      </c>
      <c r="M322" s="84"/>
      <c r="N322" s="57">
        <f t="shared" si="81"/>
        <v>0</v>
      </c>
      <c r="P322" s="197" t="str">
        <f t="shared" si="82"/>
        <v>7450/003</v>
      </c>
      <c r="Q322" s="79"/>
      <c r="R322" s="34"/>
      <c r="S322" s="80"/>
      <c r="T322" s="60"/>
      <c r="U322" s="34"/>
    </row>
    <row r="323" spans="1:21" x14ac:dyDescent="0.2">
      <c r="A323" s="394"/>
      <c r="B323" s="114" t="s">
        <v>499</v>
      </c>
      <c r="C323" s="405"/>
      <c r="D323" s="406"/>
      <c r="E323" s="407"/>
      <c r="F323" s="185">
        <f>TrialBalanceA!I323-TrialBalanceA!K323</f>
        <v>0</v>
      </c>
      <c r="G323" s="185">
        <f>TrialBalanceB!I323-TrialBalanceB!K323</f>
        <v>0</v>
      </c>
      <c r="H323" s="185">
        <f>TrialBalanceC!I323-TrialBalanceC!K323</f>
        <v>0</v>
      </c>
      <c r="I323" s="88">
        <f t="shared" ref="I323:I328" si="83">N323</f>
        <v>0</v>
      </c>
      <c r="J323" s="348">
        <f>SUMIF(Journals!D$14:D$920,TrialBalance!P323,Journals!J$14:J$920)+SUMIF(Journals!E$14:E$920,TrialBalance!P323,Journals!J$14:J$920)</f>
        <v>0</v>
      </c>
      <c r="K323" s="409"/>
      <c r="L323" s="411">
        <f t="shared" ref="L323:L328" si="84">ROUND(D323-E323+F323+G323+H323+J323+I323,0)</f>
        <v>0</v>
      </c>
      <c r="M323" s="84"/>
      <c r="N323" s="57">
        <f t="shared" ref="N323:N328" si="85">ROUND(SUM(A323),0)</f>
        <v>0</v>
      </c>
      <c r="P323" s="197" t="str">
        <f t="shared" ref="P323:P328" si="86">CONCATENATE(B323,C323)</f>
        <v>7450/004</v>
      </c>
      <c r="Q323" s="79"/>
      <c r="R323" s="34"/>
      <c r="S323" s="80"/>
      <c r="T323" s="60"/>
      <c r="U323" s="34"/>
    </row>
    <row r="324" spans="1:21" x14ac:dyDescent="0.2">
      <c r="A324" s="394"/>
      <c r="B324" s="114" t="s">
        <v>352</v>
      </c>
      <c r="C324" s="405"/>
      <c r="D324" s="406"/>
      <c r="E324" s="407"/>
      <c r="F324" s="185">
        <f>TrialBalanceA!I324-TrialBalanceA!K324</f>
        <v>0</v>
      </c>
      <c r="G324" s="185">
        <f>TrialBalanceB!I324-TrialBalanceB!K324</f>
        <v>0</v>
      </c>
      <c r="H324" s="185">
        <f>TrialBalanceC!I324-TrialBalanceC!K324</f>
        <v>0</v>
      </c>
      <c r="I324" s="88">
        <f t="shared" si="83"/>
        <v>0</v>
      </c>
      <c r="J324" s="348">
        <f>SUMIF(Journals!D$14:D$920,TrialBalance!P324,Journals!J$14:J$920)+SUMIF(Journals!E$14:E$920,TrialBalance!P324,Journals!J$14:J$920)</f>
        <v>0</v>
      </c>
      <c r="K324" s="409"/>
      <c r="L324" s="411">
        <f t="shared" si="84"/>
        <v>0</v>
      </c>
      <c r="M324" s="84"/>
      <c r="N324" s="57">
        <f t="shared" si="85"/>
        <v>0</v>
      </c>
      <c r="P324" s="197" t="str">
        <f t="shared" si="86"/>
        <v>7450/005</v>
      </c>
      <c r="Q324" s="79"/>
      <c r="R324" s="34"/>
      <c r="S324" s="80"/>
      <c r="T324" s="60"/>
      <c r="U324" s="34"/>
    </row>
    <row r="325" spans="1:21" x14ac:dyDescent="0.2">
      <c r="A325" s="394"/>
      <c r="B325" s="114" t="s">
        <v>986</v>
      </c>
      <c r="C325" s="405"/>
      <c r="D325" s="406"/>
      <c r="E325" s="407"/>
      <c r="F325" s="185">
        <f>TrialBalanceA!I325-TrialBalanceA!K325</f>
        <v>0</v>
      </c>
      <c r="G325" s="185">
        <f>TrialBalanceB!I325-TrialBalanceB!K325</f>
        <v>0</v>
      </c>
      <c r="H325" s="185">
        <f>TrialBalanceC!I325-TrialBalanceC!K325</f>
        <v>0</v>
      </c>
      <c r="I325" s="88">
        <f t="shared" si="83"/>
        <v>0</v>
      </c>
      <c r="J325" s="348">
        <f>SUMIF(Journals!D$14:D$920,TrialBalance!P325,Journals!J$14:J$920)+SUMIF(Journals!E$14:E$920,TrialBalance!P325,Journals!J$14:J$920)</f>
        <v>0</v>
      </c>
      <c r="K325" s="409"/>
      <c r="L325" s="411">
        <f t="shared" si="84"/>
        <v>0</v>
      </c>
      <c r="M325" s="84"/>
      <c r="N325" s="57">
        <f t="shared" si="85"/>
        <v>0</v>
      </c>
      <c r="P325" s="197" t="str">
        <f t="shared" si="86"/>
        <v>7450/006</v>
      </c>
      <c r="Q325" s="79"/>
      <c r="R325" s="34"/>
      <c r="S325" s="80"/>
      <c r="T325" s="60"/>
      <c r="U325" s="34"/>
    </row>
    <row r="326" spans="1:21" x14ac:dyDescent="0.2">
      <c r="A326" s="394"/>
      <c r="B326" s="114" t="s">
        <v>1245</v>
      </c>
      <c r="C326" s="405"/>
      <c r="D326" s="406"/>
      <c r="E326" s="407"/>
      <c r="F326" s="185">
        <f>TrialBalanceA!I326-TrialBalanceA!K326</f>
        <v>0</v>
      </c>
      <c r="G326" s="185">
        <f>TrialBalanceB!I326-TrialBalanceB!K326</f>
        <v>0</v>
      </c>
      <c r="H326" s="185">
        <f>TrialBalanceC!I326-TrialBalanceC!K326</f>
        <v>0</v>
      </c>
      <c r="I326" s="88">
        <f t="shared" si="83"/>
        <v>0</v>
      </c>
      <c r="J326" s="348">
        <f>SUMIF(Journals!D$14:D$920,TrialBalance!P326,Journals!J$14:J$920)+SUMIF(Journals!E$14:E$920,TrialBalance!P326,Journals!J$14:J$920)</f>
        <v>0</v>
      </c>
      <c r="K326" s="409"/>
      <c r="L326" s="411">
        <f t="shared" si="84"/>
        <v>0</v>
      </c>
      <c r="M326" s="84"/>
      <c r="N326" s="57">
        <f t="shared" si="85"/>
        <v>0</v>
      </c>
      <c r="P326" s="197" t="str">
        <f t="shared" si="86"/>
        <v>7450/007</v>
      </c>
      <c r="Q326" s="79"/>
      <c r="R326" s="34"/>
      <c r="S326" s="80"/>
      <c r="T326" s="60"/>
      <c r="U326" s="34"/>
    </row>
    <row r="327" spans="1:21" x14ac:dyDescent="0.2">
      <c r="A327" s="394"/>
      <c r="B327" s="114" t="s">
        <v>1246</v>
      </c>
      <c r="C327" s="405"/>
      <c r="D327" s="406"/>
      <c r="E327" s="407"/>
      <c r="F327" s="185">
        <f>TrialBalanceA!I327-TrialBalanceA!K327</f>
        <v>0</v>
      </c>
      <c r="G327" s="185">
        <f>TrialBalanceB!I327-TrialBalanceB!K327</f>
        <v>0</v>
      </c>
      <c r="H327" s="185">
        <f>TrialBalanceC!I327-TrialBalanceC!K327</f>
        <v>0</v>
      </c>
      <c r="I327" s="88">
        <f t="shared" si="83"/>
        <v>0</v>
      </c>
      <c r="J327" s="348">
        <f>SUMIF(Journals!D$14:D$920,TrialBalance!P327,Journals!J$14:J$920)+SUMIF(Journals!E$14:E$920,TrialBalance!P327,Journals!J$14:J$920)</f>
        <v>0</v>
      </c>
      <c r="K327" s="409"/>
      <c r="L327" s="411">
        <f t="shared" si="84"/>
        <v>0</v>
      </c>
      <c r="M327" s="84"/>
      <c r="N327" s="57">
        <f t="shared" si="85"/>
        <v>0</v>
      </c>
      <c r="P327" s="197" t="str">
        <f t="shared" si="86"/>
        <v>7450/008</v>
      </c>
      <c r="Q327" s="79"/>
      <c r="R327" s="34"/>
      <c r="S327" s="80"/>
      <c r="T327" s="60"/>
      <c r="U327" s="34"/>
    </row>
    <row r="328" spans="1:21" x14ac:dyDescent="0.2">
      <c r="A328" s="394"/>
      <c r="B328" s="114" t="s">
        <v>1247</v>
      </c>
      <c r="C328" s="405"/>
      <c r="D328" s="406"/>
      <c r="E328" s="407"/>
      <c r="F328" s="185">
        <f>TrialBalanceA!I328-TrialBalanceA!K328</f>
        <v>0</v>
      </c>
      <c r="G328" s="185">
        <f>TrialBalanceB!I328-TrialBalanceB!K328</f>
        <v>0</v>
      </c>
      <c r="H328" s="185">
        <f>TrialBalanceC!I328-TrialBalanceC!K328</f>
        <v>0</v>
      </c>
      <c r="I328" s="88">
        <f t="shared" si="83"/>
        <v>0</v>
      </c>
      <c r="J328" s="348">
        <f>SUMIF(Journals!D$14:D$920,TrialBalance!P328,Journals!J$14:J$920)+SUMIF(Journals!E$14:E$920,TrialBalance!P328,Journals!J$14:J$920)</f>
        <v>0</v>
      </c>
      <c r="K328" s="409"/>
      <c r="L328" s="411">
        <f t="shared" si="84"/>
        <v>0</v>
      </c>
      <c r="M328" s="84"/>
      <c r="N328" s="57">
        <f t="shared" si="85"/>
        <v>0</v>
      </c>
      <c r="P328" s="197" t="str">
        <f t="shared" si="86"/>
        <v>7450/009</v>
      </c>
      <c r="Q328" s="79"/>
      <c r="R328" s="34"/>
      <c r="S328" s="80"/>
      <c r="T328" s="60"/>
      <c r="U328" s="34"/>
    </row>
    <row r="329" spans="1:21" x14ac:dyDescent="0.2">
      <c r="A329" s="394"/>
      <c r="B329" s="114" t="s">
        <v>1248</v>
      </c>
      <c r="C329" s="405"/>
      <c r="D329" s="406"/>
      <c r="E329" s="407"/>
      <c r="F329" s="185">
        <f>TrialBalanceA!I329-TrialBalanceA!K329</f>
        <v>0</v>
      </c>
      <c r="G329" s="185">
        <f>TrialBalanceB!I329-TrialBalanceB!K329</f>
        <v>0</v>
      </c>
      <c r="H329" s="185">
        <f>TrialBalanceC!I329-TrialBalanceC!K329</f>
        <v>0</v>
      </c>
      <c r="I329" s="88">
        <f>N329</f>
        <v>0</v>
      </c>
      <c r="J329" s="348">
        <f>SUMIF(Journals!D$14:D$920,TrialBalance!P329,Journals!J$14:J$920)+SUMIF(Journals!E$14:E$920,TrialBalance!P329,Journals!J$14:J$920)</f>
        <v>0</v>
      </c>
      <c r="K329" s="409"/>
      <c r="L329" s="411">
        <f>ROUND(D329-E329+F329+G329+H329+J329+I329,0)</f>
        <v>0</v>
      </c>
      <c r="M329" s="84"/>
      <c r="N329" s="57">
        <f t="shared" si="70"/>
        <v>0</v>
      </c>
      <c r="P329" s="197" t="str">
        <f t="shared" si="68"/>
        <v>7450/010</v>
      </c>
      <c r="Q329" s="79"/>
      <c r="R329" s="34"/>
      <c r="S329" s="80"/>
      <c r="T329" s="60"/>
      <c r="U329" s="34"/>
    </row>
    <row r="330" spans="1:21" x14ac:dyDescent="0.2">
      <c r="A330" s="394"/>
      <c r="B330" s="114" t="s">
        <v>1249</v>
      </c>
      <c r="C330" s="398" t="s">
        <v>787</v>
      </c>
      <c r="D330" s="406"/>
      <c r="E330" s="407"/>
      <c r="F330" s="185"/>
      <c r="G330" s="185"/>
      <c r="H330" s="185"/>
      <c r="I330" s="88"/>
      <c r="J330" s="348">
        <f>SUMIF(Journals!D$14:D$920,TrialBalance!P330,Journals!J$14:J$920)+SUMIF(Journals!E$14:E$920,TrialBalance!P330,Journals!J$14:J$920)</f>
        <v>0</v>
      </c>
      <c r="K330" s="409"/>
      <c r="L330" s="411">
        <f t="shared" ref="L330" si="87">ROUND(D330-E330+F330+G330+H330+J330+I330,0)</f>
        <v>0</v>
      </c>
      <c r="M330" s="84"/>
      <c r="N330" s="57">
        <f t="shared" si="70"/>
        <v>0</v>
      </c>
      <c r="P330" s="197" t="str">
        <f t="shared" si="68"/>
        <v>7455/000Interest free</v>
      </c>
      <c r="Q330" s="79"/>
      <c r="R330" s="34"/>
      <c r="S330" s="80"/>
      <c r="T330" s="60"/>
      <c r="U330" s="34"/>
    </row>
    <row r="331" spans="1:21" x14ac:dyDescent="0.2">
      <c r="A331" s="394"/>
      <c r="B331" s="114" t="s">
        <v>1250</v>
      </c>
      <c r="C331" s="405"/>
      <c r="D331" s="406"/>
      <c r="E331" s="407"/>
      <c r="F331" s="185">
        <f>TrialBalanceA!I331-TrialBalanceA!K331</f>
        <v>0</v>
      </c>
      <c r="G331" s="185">
        <f>TrialBalanceB!I331-TrialBalanceB!K331</f>
        <v>0</v>
      </c>
      <c r="H331" s="185">
        <f>TrialBalanceC!I331-TrialBalanceC!K331</f>
        <v>0</v>
      </c>
      <c r="I331" s="88">
        <f>N331</f>
        <v>0</v>
      </c>
      <c r="J331" s="348">
        <f>SUMIF(Journals!D$14:D$920,TrialBalance!P331,Journals!J$14:J$920)+SUMIF(Journals!E$14:E$920,TrialBalance!P331,Journals!J$14:J$920)</f>
        <v>0</v>
      </c>
      <c r="K331" s="409"/>
      <c r="L331" s="411">
        <f t="shared" si="69"/>
        <v>0</v>
      </c>
      <c r="M331" s="84"/>
      <c r="N331" s="57">
        <f t="shared" si="70"/>
        <v>0</v>
      </c>
      <c r="P331" s="197" t="str">
        <f t="shared" si="68"/>
        <v>7455/001</v>
      </c>
      <c r="Q331" s="79"/>
      <c r="R331" s="34"/>
      <c r="S331" s="80"/>
      <c r="T331" s="60"/>
      <c r="U331" s="34"/>
    </row>
    <row r="332" spans="1:21" x14ac:dyDescent="0.2">
      <c r="A332" s="394"/>
      <c r="B332" s="114" t="s">
        <v>1251</v>
      </c>
      <c r="C332" s="405"/>
      <c r="D332" s="406"/>
      <c r="E332" s="407"/>
      <c r="F332" s="185">
        <f>TrialBalanceA!I332-TrialBalanceA!K332</f>
        <v>0</v>
      </c>
      <c r="G332" s="185">
        <f>TrialBalanceB!I332-TrialBalanceB!K332</f>
        <v>0</v>
      </c>
      <c r="H332" s="185">
        <f>TrialBalanceC!I332-TrialBalanceC!K332</f>
        <v>0</v>
      </c>
      <c r="I332" s="88">
        <f>N332</f>
        <v>0</v>
      </c>
      <c r="J332" s="348">
        <f>SUMIF(Journals!D$14:D$920,TrialBalance!P332,Journals!J$14:J$920)+SUMIF(Journals!E$14:E$920,TrialBalance!P332,Journals!J$14:J$920)</f>
        <v>0</v>
      </c>
      <c r="K332" s="409"/>
      <c r="L332" s="411">
        <f t="shared" ref="L332" si="88">ROUND(D332-E332+F332+G332+H332+J332+I332,0)</f>
        <v>0</v>
      </c>
      <c r="M332" s="84"/>
      <c r="N332" s="57">
        <f t="shared" ref="N332" si="89">ROUND(SUM(A332),0)</f>
        <v>0</v>
      </c>
      <c r="P332" s="197" t="str">
        <f t="shared" ref="P332" si="90">CONCATENATE(B332,C332)</f>
        <v>7455/002</v>
      </c>
      <c r="Q332" s="79"/>
      <c r="R332" s="34"/>
      <c r="S332" s="80"/>
      <c r="T332" s="60"/>
      <c r="U332" s="34"/>
    </row>
    <row r="333" spans="1:21" x14ac:dyDescent="0.2">
      <c r="A333" s="394"/>
      <c r="B333" s="114" t="s">
        <v>1252</v>
      </c>
      <c r="C333" s="405"/>
      <c r="D333" s="406"/>
      <c r="E333" s="407"/>
      <c r="F333" s="185">
        <f>TrialBalanceA!I333-TrialBalanceA!K333</f>
        <v>0</v>
      </c>
      <c r="G333" s="185">
        <f>TrialBalanceB!I333-TrialBalanceB!K333</f>
        <v>0</v>
      </c>
      <c r="H333" s="185">
        <f>TrialBalanceC!I333-TrialBalanceC!K333</f>
        <v>0</v>
      </c>
      <c r="I333" s="88">
        <f>N333</f>
        <v>0</v>
      </c>
      <c r="J333" s="348">
        <f>SUMIF(Journals!D$14:D$920,TrialBalance!P333,Journals!J$14:J$920)+SUMIF(Journals!E$14:E$920,TrialBalance!P333,Journals!J$14:J$920)</f>
        <v>0</v>
      </c>
      <c r="K333" s="409"/>
      <c r="L333" s="411">
        <f>ROUND(D333-E333+F333+G333+H333+J333+I333,0)</f>
        <v>0</v>
      </c>
      <c r="M333" s="84"/>
      <c r="N333" s="57">
        <f t="shared" si="70"/>
        <v>0</v>
      </c>
      <c r="P333" s="197" t="str">
        <f t="shared" si="68"/>
        <v>7455/003</v>
      </c>
      <c r="Q333" s="79"/>
      <c r="R333" s="34"/>
      <c r="S333" s="80"/>
      <c r="T333" s="60"/>
      <c r="U333" s="34"/>
    </row>
    <row r="334" spans="1:21" x14ac:dyDescent="0.2">
      <c r="A334" s="394"/>
      <c r="B334" s="114" t="s">
        <v>1253</v>
      </c>
      <c r="C334" s="405"/>
      <c r="D334" s="406"/>
      <c r="E334" s="407"/>
      <c r="F334" s="185">
        <f>TrialBalanceA!I334-TrialBalanceA!K334</f>
        <v>0</v>
      </c>
      <c r="G334" s="185">
        <f>TrialBalanceB!I334-TrialBalanceB!K334</f>
        <v>0</v>
      </c>
      <c r="H334" s="185">
        <f>TrialBalanceC!I334-TrialBalanceC!K334</f>
        <v>0</v>
      </c>
      <c r="I334" s="88">
        <f t="shared" ref="I334:I339" si="91">N334</f>
        <v>0</v>
      </c>
      <c r="J334" s="348">
        <f>SUMIF(Journals!D$14:D$920,TrialBalance!P334,Journals!J$14:J$920)+SUMIF(Journals!E$14:E$920,TrialBalance!P334,Journals!J$14:J$920)</f>
        <v>0</v>
      </c>
      <c r="K334" s="409"/>
      <c r="L334" s="411">
        <f t="shared" ref="L334:L339" si="92">ROUND(D334-E334+F334+G334+H334+J334+I334,0)</f>
        <v>0</v>
      </c>
      <c r="M334" s="84"/>
      <c r="N334" s="57">
        <f t="shared" ref="N334:N339" si="93">ROUND(SUM(A334),0)</f>
        <v>0</v>
      </c>
      <c r="P334" s="197" t="str">
        <f t="shared" ref="P334:P339" si="94">CONCATENATE(B334,C334)</f>
        <v>7455/004</v>
      </c>
      <c r="Q334" s="79"/>
      <c r="R334" s="34"/>
      <c r="S334" s="80"/>
      <c r="T334" s="60"/>
      <c r="U334" s="34"/>
    </row>
    <row r="335" spans="1:21" x14ac:dyDescent="0.2">
      <c r="A335" s="394"/>
      <c r="B335" s="114" t="s">
        <v>1254</v>
      </c>
      <c r="C335" s="405"/>
      <c r="D335" s="406"/>
      <c r="E335" s="407"/>
      <c r="F335" s="185">
        <f>TrialBalanceA!I335-TrialBalanceA!K335</f>
        <v>0</v>
      </c>
      <c r="G335" s="185">
        <f>TrialBalanceB!I335-TrialBalanceB!K335</f>
        <v>0</v>
      </c>
      <c r="H335" s="185">
        <f>TrialBalanceC!I335-TrialBalanceC!K335</f>
        <v>0</v>
      </c>
      <c r="I335" s="88">
        <f t="shared" si="91"/>
        <v>0</v>
      </c>
      <c r="J335" s="348">
        <f>SUMIF(Journals!D$14:D$920,TrialBalance!P335,Journals!J$14:J$920)+SUMIF(Journals!E$14:E$920,TrialBalance!P335,Journals!J$14:J$920)</f>
        <v>0</v>
      </c>
      <c r="K335" s="409"/>
      <c r="L335" s="411">
        <f t="shared" si="92"/>
        <v>0</v>
      </c>
      <c r="M335" s="84"/>
      <c r="N335" s="57">
        <f t="shared" si="93"/>
        <v>0</v>
      </c>
      <c r="P335" s="197" t="str">
        <f t="shared" si="94"/>
        <v>7455/005</v>
      </c>
      <c r="Q335" s="79"/>
      <c r="R335" s="34"/>
      <c r="S335" s="80"/>
      <c r="T335" s="60"/>
      <c r="U335" s="34"/>
    </row>
    <row r="336" spans="1:21" x14ac:dyDescent="0.2">
      <c r="A336" s="394"/>
      <c r="B336" s="114" t="s">
        <v>1255</v>
      </c>
      <c r="C336" s="405"/>
      <c r="D336" s="406"/>
      <c r="E336" s="407"/>
      <c r="F336" s="185">
        <f>TrialBalanceA!I336-TrialBalanceA!K336</f>
        <v>0</v>
      </c>
      <c r="G336" s="185">
        <f>TrialBalanceB!I336-TrialBalanceB!K336</f>
        <v>0</v>
      </c>
      <c r="H336" s="185">
        <f>TrialBalanceC!I336-TrialBalanceC!K336</f>
        <v>0</v>
      </c>
      <c r="I336" s="88">
        <f t="shared" si="91"/>
        <v>0</v>
      </c>
      <c r="J336" s="348">
        <f>SUMIF(Journals!D$14:D$920,TrialBalance!P336,Journals!J$14:J$920)+SUMIF(Journals!E$14:E$920,TrialBalance!P336,Journals!J$14:J$920)</f>
        <v>0</v>
      </c>
      <c r="K336" s="409"/>
      <c r="L336" s="411">
        <f t="shared" si="92"/>
        <v>0</v>
      </c>
      <c r="M336" s="84"/>
      <c r="N336" s="57">
        <f t="shared" si="93"/>
        <v>0</v>
      </c>
      <c r="P336" s="197" t="str">
        <f t="shared" si="94"/>
        <v>7455/006</v>
      </c>
      <c r="Q336" s="79"/>
      <c r="R336" s="34"/>
      <c r="S336" s="80"/>
      <c r="T336" s="60"/>
      <c r="U336" s="34"/>
    </row>
    <row r="337" spans="1:21" x14ac:dyDescent="0.2">
      <c r="A337" s="394"/>
      <c r="B337" s="114" t="s">
        <v>1256</v>
      </c>
      <c r="C337" s="405"/>
      <c r="D337" s="406"/>
      <c r="E337" s="407"/>
      <c r="F337" s="185">
        <f>TrialBalanceA!I337-TrialBalanceA!K337</f>
        <v>0</v>
      </c>
      <c r="G337" s="185">
        <f>TrialBalanceB!I337-TrialBalanceB!K337</f>
        <v>0</v>
      </c>
      <c r="H337" s="185">
        <f>TrialBalanceC!I337-TrialBalanceC!K337</f>
        <v>0</v>
      </c>
      <c r="I337" s="88">
        <f t="shared" si="91"/>
        <v>0</v>
      </c>
      <c r="J337" s="348">
        <f>SUMIF(Journals!D$14:D$920,TrialBalance!P337,Journals!J$14:J$920)+SUMIF(Journals!E$14:E$920,TrialBalance!P337,Journals!J$14:J$920)</f>
        <v>0</v>
      </c>
      <c r="K337" s="409"/>
      <c r="L337" s="411">
        <f t="shared" si="92"/>
        <v>0</v>
      </c>
      <c r="M337" s="84"/>
      <c r="N337" s="57">
        <f t="shared" si="93"/>
        <v>0</v>
      </c>
      <c r="P337" s="197" t="str">
        <f t="shared" si="94"/>
        <v>7455/007</v>
      </c>
      <c r="Q337" s="79"/>
      <c r="R337" s="34"/>
      <c r="S337" s="80"/>
      <c r="T337" s="60"/>
      <c r="U337" s="34"/>
    </row>
    <row r="338" spans="1:21" x14ac:dyDescent="0.2">
      <c r="A338" s="394"/>
      <c r="B338" s="114" t="s">
        <v>1257</v>
      </c>
      <c r="C338" s="405"/>
      <c r="D338" s="406"/>
      <c r="E338" s="407"/>
      <c r="F338" s="185">
        <f>TrialBalanceA!I338-TrialBalanceA!K338</f>
        <v>0</v>
      </c>
      <c r="G338" s="185">
        <f>TrialBalanceB!I338-TrialBalanceB!K338</f>
        <v>0</v>
      </c>
      <c r="H338" s="185">
        <f>TrialBalanceC!I338-TrialBalanceC!K338</f>
        <v>0</v>
      </c>
      <c r="I338" s="88">
        <f t="shared" si="91"/>
        <v>0</v>
      </c>
      <c r="J338" s="348">
        <f>SUMIF(Journals!D$14:D$920,TrialBalance!P338,Journals!J$14:J$920)+SUMIF(Journals!E$14:E$920,TrialBalance!P338,Journals!J$14:J$920)</f>
        <v>0</v>
      </c>
      <c r="K338" s="409"/>
      <c r="L338" s="411">
        <f t="shared" si="92"/>
        <v>0</v>
      </c>
      <c r="M338" s="84"/>
      <c r="N338" s="57">
        <f t="shared" si="93"/>
        <v>0</v>
      </c>
      <c r="P338" s="197" t="str">
        <f t="shared" si="94"/>
        <v>7455/008</v>
      </c>
      <c r="Q338" s="79"/>
      <c r="R338" s="34"/>
      <c r="S338" s="80"/>
      <c r="T338" s="60"/>
      <c r="U338" s="34"/>
    </row>
    <row r="339" spans="1:21" x14ac:dyDescent="0.2">
      <c r="A339" s="394"/>
      <c r="B339" s="114" t="s">
        <v>1258</v>
      </c>
      <c r="C339" s="405"/>
      <c r="D339" s="406"/>
      <c r="E339" s="407"/>
      <c r="F339" s="185">
        <f>TrialBalanceA!I339-TrialBalanceA!K339</f>
        <v>0</v>
      </c>
      <c r="G339" s="185">
        <f>TrialBalanceB!I339-TrialBalanceB!K339</f>
        <v>0</v>
      </c>
      <c r="H339" s="185">
        <f>TrialBalanceC!I339-TrialBalanceC!K339</f>
        <v>0</v>
      </c>
      <c r="I339" s="88">
        <f t="shared" si="91"/>
        <v>0</v>
      </c>
      <c r="J339" s="348">
        <f>SUMIF(Journals!D$14:D$920,TrialBalance!P339,Journals!J$14:J$920)+SUMIF(Journals!E$14:E$920,TrialBalance!P339,Journals!J$14:J$920)</f>
        <v>0</v>
      </c>
      <c r="K339" s="409"/>
      <c r="L339" s="411">
        <f t="shared" si="92"/>
        <v>0</v>
      </c>
      <c r="M339" s="84"/>
      <c r="N339" s="57">
        <f t="shared" si="93"/>
        <v>0</v>
      </c>
      <c r="P339" s="197" t="str">
        <f t="shared" si="94"/>
        <v>7455/009</v>
      </c>
      <c r="Q339" s="79"/>
      <c r="R339" s="34"/>
      <c r="S339" s="80"/>
      <c r="T339" s="60"/>
      <c r="U339" s="34"/>
    </row>
    <row r="340" spans="1:21" x14ac:dyDescent="0.2">
      <c r="A340" s="394"/>
      <c r="B340" s="114" t="s">
        <v>1259</v>
      </c>
      <c r="C340" s="405"/>
      <c r="D340" s="406"/>
      <c r="E340" s="407"/>
      <c r="F340" s="185">
        <f>TrialBalanceA!I340-TrialBalanceA!K340</f>
        <v>0</v>
      </c>
      <c r="G340" s="185">
        <f>TrialBalanceB!I340-TrialBalanceB!K340</f>
        <v>0</v>
      </c>
      <c r="H340" s="185">
        <f>TrialBalanceC!I340-TrialBalanceC!K340</f>
        <v>0</v>
      </c>
      <c r="I340" s="88">
        <f>N340</f>
        <v>0</v>
      </c>
      <c r="J340" s="348">
        <f>SUMIF(Journals!D$14:D$920,TrialBalance!P340,Journals!J$14:J$920)+SUMIF(Journals!E$14:E$920,TrialBalance!P340,Journals!J$14:J$920)</f>
        <v>0</v>
      </c>
      <c r="K340" s="409"/>
      <c r="L340" s="412">
        <f>ROUND(D340-E340+F340+G340+H340+J340+I340,0)</f>
        <v>0</v>
      </c>
      <c r="M340" s="84"/>
      <c r="N340" s="57">
        <f t="shared" si="70"/>
        <v>0</v>
      </c>
      <c r="P340" s="197" t="str">
        <f t="shared" ref="P340:P372" si="95">CONCATENATE(B340,C340)</f>
        <v>7455/010</v>
      </c>
      <c r="Q340" s="79"/>
      <c r="R340" s="34"/>
      <c r="S340" s="80"/>
      <c r="T340" s="60"/>
      <c r="U340" s="34"/>
    </row>
    <row r="341" spans="1:21" x14ac:dyDescent="0.2">
      <c r="A341" s="394"/>
      <c r="B341" s="63" t="s">
        <v>353</v>
      </c>
      <c r="C341" s="396" t="s">
        <v>929</v>
      </c>
      <c r="D341" s="407"/>
      <c r="E341" s="407"/>
      <c r="F341" s="185"/>
      <c r="G341" s="185"/>
      <c r="H341" s="185"/>
      <c r="I341" s="88"/>
      <c r="J341" s="348">
        <f>SUMIF(Journals!D$14:D$920,TrialBalance!P341,Journals!J$14:J$920)+SUMIF(Journals!E$14:E$920,TrialBalance!P341,Journals!J$14:J$920)</f>
        <v>0</v>
      </c>
      <c r="K341" s="410" t="s">
        <v>688</v>
      </c>
      <c r="L341" s="411">
        <f t="shared" si="69"/>
        <v>0</v>
      </c>
      <c r="M341" s="84"/>
      <c r="N341" s="57">
        <f t="shared" si="70"/>
        <v>0</v>
      </c>
      <c r="P341" s="197" t="str">
        <f t="shared" si="95"/>
        <v>7460/000OTHER NON - CURRENT RECEIVABLES</v>
      </c>
      <c r="Q341" s="79"/>
      <c r="R341" s="34"/>
      <c r="S341" s="80"/>
      <c r="T341" s="60"/>
      <c r="U341" s="34"/>
    </row>
    <row r="342" spans="1:21" x14ac:dyDescent="0.2">
      <c r="A342" s="394"/>
      <c r="B342" s="63" t="s">
        <v>353</v>
      </c>
      <c r="C342" s="396" t="s">
        <v>788</v>
      </c>
      <c r="D342" s="407"/>
      <c r="E342" s="407"/>
      <c r="F342" s="185"/>
      <c r="G342" s="185"/>
      <c r="H342" s="185"/>
      <c r="I342" s="88"/>
      <c r="J342" s="348">
        <f>SUMIF(Journals!D$14:D$920,TrialBalance!P342,Journals!J$14:J$920)+SUMIF(Journals!E$14:E$920,TrialBalance!P342,Journals!J$14:J$920)</f>
        <v>0</v>
      </c>
      <c r="K342" s="410"/>
      <c r="L342" s="411">
        <f t="shared" ref="L342" si="96">ROUND(D342-E342+F342+G342+H342+J342+I342,0)</f>
        <v>0</v>
      </c>
      <c r="M342" s="84"/>
      <c r="N342" s="57">
        <f t="shared" si="70"/>
        <v>0</v>
      </c>
      <c r="P342" s="197" t="str">
        <f t="shared" si="95"/>
        <v>7460/000Interest bearing</v>
      </c>
      <c r="Q342" s="79"/>
      <c r="R342" s="34"/>
      <c r="S342" s="80"/>
      <c r="T342" s="60"/>
      <c r="U342" s="34"/>
    </row>
    <row r="343" spans="1:21" x14ac:dyDescent="0.2">
      <c r="A343" s="394"/>
      <c r="B343" s="63" t="s">
        <v>355</v>
      </c>
      <c r="C343" s="405"/>
      <c r="D343" s="407"/>
      <c r="E343" s="407"/>
      <c r="F343" s="185">
        <f>TrialBalanceA!I343-TrialBalanceA!K343</f>
        <v>0</v>
      </c>
      <c r="G343" s="185">
        <f>TrialBalanceB!I343-TrialBalanceB!K343</f>
        <v>0</v>
      </c>
      <c r="H343" s="185">
        <f>TrialBalanceC!I343-TrialBalanceC!K343</f>
        <v>0</v>
      </c>
      <c r="I343" s="88">
        <f t="shared" ref="I343:I352" si="97">N343</f>
        <v>0</v>
      </c>
      <c r="J343" s="348">
        <f>SUMIF(Journals!D$14:D$920,TrialBalance!P343,Journals!J$14:J$920)+SUMIF(Journals!E$14:E$920,TrialBalance!P343,Journals!J$14:J$920)</f>
        <v>0</v>
      </c>
      <c r="K343" s="409"/>
      <c r="L343" s="411">
        <f t="shared" si="69"/>
        <v>0</v>
      </c>
      <c r="M343" s="84"/>
      <c r="N343" s="57">
        <f t="shared" si="70"/>
        <v>0</v>
      </c>
      <c r="P343" s="197" t="str">
        <f t="shared" si="95"/>
        <v>7460/001</v>
      </c>
      <c r="Q343" s="81"/>
      <c r="R343" s="34"/>
      <c r="S343" s="80"/>
      <c r="T343" s="60"/>
      <c r="U343" s="34"/>
    </row>
    <row r="344" spans="1:21" x14ac:dyDescent="0.2">
      <c r="A344" s="394"/>
      <c r="B344" s="63" t="s">
        <v>356</v>
      </c>
      <c r="C344" s="405"/>
      <c r="D344" s="406"/>
      <c r="E344" s="407"/>
      <c r="F344" s="185">
        <f>TrialBalanceA!I344-TrialBalanceA!K344</f>
        <v>0</v>
      </c>
      <c r="G344" s="185">
        <f>TrialBalanceB!I344-TrialBalanceB!K344</f>
        <v>0</v>
      </c>
      <c r="H344" s="185">
        <f>TrialBalanceC!I344-TrialBalanceC!K344</f>
        <v>0</v>
      </c>
      <c r="I344" s="88">
        <f t="shared" si="97"/>
        <v>0</v>
      </c>
      <c r="J344" s="348">
        <f>SUMIF(Journals!D$14:D$920,TrialBalance!P344,Journals!J$14:J$920)+SUMIF(Journals!E$14:E$920,TrialBalance!P344,Journals!J$14:J$920)</f>
        <v>0</v>
      </c>
      <c r="K344" s="409"/>
      <c r="L344" s="411">
        <f t="shared" si="69"/>
        <v>0</v>
      </c>
      <c r="M344" s="84"/>
      <c r="N344" s="57">
        <f t="shared" si="70"/>
        <v>0</v>
      </c>
      <c r="P344" s="197" t="str">
        <f t="shared" si="95"/>
        <v>7460/002</v>
      </c>
      <c r="Q344" s="79"/>
      <c r="R344" s="34"/>
      <c r="S344" s="80"/>
      <c r="T344" s="60"/>
      <c r="U344" s="34"/>
    </row>
    <row r="345" spans="1:21" x14ac:dyDescent="0.2">
      <c r="A345" s="394"/>
      <c r="B345" s="114" t="s">
        <v>357</v>
      </c>
      <c r="C345" s="405"/>
      <c r="D345" s="406"/>
      <c r="E345" s="407"/>
      <c r="F345" s="185">
        <f>TrialBalanceA!I345-TrialBalanceA!K345</f>
        <v>0</v>
      </c>
      <c r="G345" s="185">
        <f>TrialBalanceB!I345-TrialBalanceB!K345</f>
        <v>0</v>
      </c>
      <c r="H345" s="185">
        <f>TrialBalanceC!I345-TrialBalanceC!K345</f>
        <v>0</v>
      </c>
      <c r="I345" s="88">
        <f t="shared" ref="I345" si="98">N345</f>
        <v>0</v>
      </c>
      <c r="J345" s="348">
        <f>SUMIF(Journals!D$14:D$920,TrialBalance!P345,Journals!J$14:J$920)+SUMIF(Journals!E$14:E$920,TrialBalance!P345,Journals!J$14:J$920)</f>
        <v>0</v>
      </c>
      <c r="K345" s="409"/>
      <c r="L345" s="411">
        <f t="shared" ref="L345" si="99">ROUND(D345-E345+F345+G345+H345+J345+I345,0)</f>
        <v>0</v>
      </c>
      <c r="M345" s="84"/>
      <c r="N345" s="57">
        <f t="shared" ref="N345" si="100">ROUND(SUM(A345),0)</f>
        <v>0</v>
      </c>
      <c r="P345" s="197" t="str">
        <f t="shared" ref="P345" si="101">CONCATENATE(B345,C345)</f>
        <v>7460/003</v>
      </c>
      <c r="Q345" s="79"/>
      <c r="R345" s="34"/>
      <c r="S345" s="80"/>
      <c r="T345" s="60"/>
      <c r="U345" s="34"/>
    </row>
    <row r="346" spans="1:21" x14ac:dyDescent="0.2">
      <c r="A346" s="394"/>
      <c r="B346" s="114" t="s">
        <v>747</v>
      </c>
      <c r="C346" s="405"/>
      <c r="D346" s="406"/>
      <c r="E346" s="407"/>
      <c r="F346" s="185">
        <f>TrialBalanceA!I346-TrialBalanceA!K346</f>
        <v>0</v>
      </c>
      <c r="G346" s="185">
        <f>TrialBalanceB!I346-TrialBalanceB!K346</f>
        <v>0</v>
      </c>
      <c r="H346" s="185">
        <f>TrialBalanceC!I346-TrialBalanceC!K346</f>
        <v>0</v>
      </c>
      <c r="I346" s="88">
        <f t="shared" si="97"/>
        <v>0</v>
      </c>
      <c r="J346" s="348">
        <f>SUMIF(Journals!D$14:D$920,TrialBalance!P346,Journals!J$14:J$920)+SUMIF(Journals!E$14:E$920,TrialBalance!P346,Journals!J$14:J$920)</f>
        <v>0</v>
      </c>
      <c r="K346" s="409"/>
      <c r="L346" s="411">
        <f t="shared" si="69"/>
        <v>0</v>
      </c>
      <c r="M346" s="84"/>
      <c r="N346" s="57">
        <f t="shared" si="70"/>
        <v>0</v>
      </c>
      <c r="P346" s="197" t="str">
        <f t="shared" si="95"/>
        <v>7460/004</v>
      </c>
      <c r="Q346" s="79"/>
      <c r="R346" s="34"/>
      <c r="S346" s="80"/>
      <c r="T346" s="60"/>
      <c r="U346" s="34"/>
    </row>
    <row r="347" spans="1:21" x14ac:dyDescent="0.2">
      <c r="A347" s="394"/>
      <c r="B347" s="63" t="s">
        <v>353</v>
      </c>
      <c r="C347" s="398" t="s">
        <v>787</v>
      </c>
      <c r="D347" s="406"/>
      <c r="E347" s="407"/>
      <c r="F347" s="185"/>
      <c r="G347" s="185"/>
      <c r="H347" s="185"/>
      <c r="I347" s="88"/>
      <c r="J347" s="348">
        <f>SUMIF(Journals!D$14:D$920,TrialBalance!P347,Journals!J$14:J$920)+SUMIF(Journals!E$14:E$920,TrialBalance!P347,Journals!J$14:J$920)</f>
        <v>0</v>
      </c>
      <c r="K347" s="409"/>
      <c r="L347" s="411">
        <f t="shared" ref="L347" si="102">ROUND(D347-E347+F347+G347+H347+J347+I347,0)</f>
        <v>0</v>
      </c>
      <c r="M347" s="84"/>
      <c r="N347" s="57">
        <f t="shared" si="70"/>
        <v>0</v>
      </c>
      <c r="P347" s="197" t="str">
        <f t="shared" si="95"/>
        <v>7460/000Interest free</v>
      </c>
      <c r="Q347" s="79"/>
      <c r="R347" s="34"/>
      <c r="S347" s="80"/>
      <c r="T347" s="60"/>
      <c r="U347" s="34"/>
    </row>
    <row r="348" spans="1:21" x14ac:dyDescent="0.2">
      <c r="A348" s="394"/>
      <c r="B348" s="114" t="s">
        <v>747</v>
      </c>
      <c r="C348" s="405"/>
      <c r="D348" s="406"/>
      <c r="E348" s="407"/>
      <c r="F348" s="185">
        <f>TrialBalanceA!I348-TrialBalanceA!K348</f>
        <v>0</v>
      </c>
      <c r="G348" s="185">
        <f>TrialBalanceB!I348-TrialBalanceB!K348</f>
        <v>0</v>
      </c>
      <c r="H348" s="185">
        <f>TrialBalanceC!I348-TrialBalanceC!K348</f>
        <v>0</v>
      </c>
      <c r="I348" s="88">
        <f t="shared" si="97"/>
        <v>0</v>
      </c>
      <c r="J348" s="348">
        <f>SUMIF(Journals!D$14:D$920,TrialBalance!P348,Journals!J$14:J$920)+SUMIF(Journals!E$14:E$920,TrialBalance!P348,Journals!J$14:J$920)</f>
        <v>0</v>
      </c>
      <c r="K348" s="409"/>
      <c r="L348" s="411">
        <f t="shared" si="69"/>
        <v>0</v>
      </c>
      <c r="M348" s="84"/>
      <c r="N348" s="57">
        <f t="shared" si="70"/>
        <v>0</v>
      </c>
      <c r="P348" s="197" t="str">
        <f t="shared" si="95"/>
        <v>7460/004</v>
      </c>
      <c r="Q348" s="79"/>
      <c r="R348" s="34"/>
      <c r="S348" s="80"/>
      <c r="T348" s="60"/>
      <c r="U348" s="34"/>
    </row>
    <row r="349" spans="1:21" x14ac:dyDescent="0.2">
      <c r="A349" s="394"/>
      <c r="B349" s="114" t="s">
        <v>748</v>
      </c>
      <c r="C349" s="405"/>
      <c r="D349" s="406"/>
      <c r="E349" s="407"/>
      <c r="F349" s="185">
        <f>TrialBalanceA!I349-TrialBalanceA!K349</f>
        <v>0</v>
      </c>
      <c r="G349" s="185">
        <f>TrialBalanceB!I349-TrialBalanceB!K349</f>
        <v>0</v>
      </c>
      <c r="H349" s="185">
        <f>TrialBalanceC!I349-TrialBalanceC!K349</f>
        <v>0</v>
      </c>
      <c r="I349" s="88">
        <f t="shared" si="97"/>
        <v>0</v>
      </c>
      <c r="J349" s="348">
        <f>SUMIF(Journals!D$14:D$920,TrialBalance!P349,Journals!J$14:J$920)+SUMIF(Journals!E$14:E$920,TrialBalance!P349,Journals!J$14:J$920)</f>
        <v>0</v>
      </c>
      <c r="K349" s="409"/>
      <c r="L349" s="411">
        <f t="shared" si="69"/>
        <v>0</v>
      </c>
      <c r="M349" s="84"/>
      <c r="N349" s="57">
        <f t="shared" si="70"/>
        <v>0</v>
      </c>
      <c r="P349" s="197" t="str">
        <f t="shared" si="95"/>
        <v>7460/005</v>
      </c>
      <c r="Q349" s="79"/>
      <c r="R349" s="34"/>
      <c r="S349" s="80"/>
      <c r="T349" s="60"/>
      <c r="U349" s="34"/>
    </row>
    <row r="350" spans="1:21" x14ac:dyDescent="0.2">
      <c r="A350" s="394"/>
      <c r="B350" s="114" t="s">
        <v>358</v>
      </c>
      <c r="C350" s="405"/>
      <c r="D350" s="406"/>
      <c r="E350" s="407"/>
      <c r="F350" s="185">
        <f>TrialBalanceA!I350-TrialBalanceA!K350</f>
        <v>0</v>
      </c>
      <c r="G350" s="185">
        <f>TrialBalanceB!I350-TrialBalanceB!K350</f>
        <v>0</v>
      </c>
      <c r="H350" s="185">
        <f>TrialBalanceC!I350-TrialBalanceC!K350</f>
        <v>0</v>
      </c>
      <c r="I350" s="88">
        <f t="shared" si="97"/>
        <v>0</v>
      </c>
      <c r="J350" s="348">
        <f>SUMIF(Journals!D$14:D$920,TrialBalance!P350,Journals!J$14:J$920)+SUMIF(Journals!E$14:E$920,TrialBalance!P350,Journals!J$14:J$920)</f>
        <v>0</v>
      </c>
      <c r="K350" s="409"/>
      <c r="L350" s="411">
        <f t="shared" si="69"/>
        <v>0</v>
      </c>
      <c r="M350" s="84"/>
      <c r="N350" s="57">
        <f t="shared" si="70"/>
        <v>0</v>
      </c>
      <c r="P350" s="197" t="str">
        <f t="shared" si="95"/>
        <v>7460/006</v>
      </c>
      <c r="Q350" s="79"/>
      <c r="R350" s="34"/>
      <c r="S350" s="80"/>
      <c r="T350" s="60"/>
      <c r="U350" s="34"/>
    </row>
    <row r="351" spans="1:21" x14ac:dyDescent="0.2">
      <c r="A351" s="394"/>
      <c r="B351" s="114" t="s">
        <v>359</v>
      </c>
      <c r="C351" s="405"/>
      <c r="D351" s="406"/>
      <c r="E351" s="407"/>
      <c r="F351" s="185">
        <f>TrialBalanceA!I351-TrialBalanceA!K351</f>
        <v>0</v>
      </c>
      <c r="G351" s="185">
        <f>TrialBalanceB!I351-TrialBalanceB!K351</f>
        <v>0</v>
      </c>
      <c r="H351" s="185">
        <f>TrialBalanceC!I351-TrialBalanceC!K351</f>
        <v>0</v>
      </c>
      <c r="I351" s="88">
        <f t="shared" si="97"/>
        <v>0</v>
      </c>
      <c r="J351" s="348">
        <f>SUMIF(Journals!D$14:D$920,TrialBalance!P351,Journals!J$14:J$920)+SUMIF(Journals!E$14:E$920,TrialBalance!P351,Journals!J$14:J$920)</f>
        <v>0</v>
      </c>
      <c r="K351" s="409"/>
      <c r="L351" s="411">
        <f t="shared" si="69"/>
        <v>0</v>
      </c>
      <c r="M351" s="84"/>
      <c r="N351" s="57">
        <f t="shared" si="70"/>
        <v>0</v>
      </c>
      <c r="P351" s="197" t="str">
        <f t="shared" si="95"/>
        <v>7460/007</v>
      </c>
      <c r="Q351" s="79"/>
      <c r="R351" s="34"/>
      <c r="S351" s="80"/>
      <c r="T351" s="60"/>
      <c r="U351" s="34"/>
    </row>
    <row r="352" spans="1:21" x14ac:dyDescent="0.2">
      <c r="A352" s="394"/>
      <c r="B352" s="114" t="s">
        <v>591</v>
      </c>
      <c r="C352" s="405"/>
      <c r="D352" s="406"/>
      <c r="E352" s="407"/>
      <c r="F352" s="185">
        <f>TrialBalanceA!I352-TrialBalanceA!K352</f>
        <v>0</v>
      </c>
      <c r="G352" s="185">
        <f>TrialBalanceB!I352-TrialBalanceB!K352</f>
        <v>0</v>
      </c>
      <c r="H352" s="185">
        <f>TrialBalanceC!I352-TrialBalanceC!K352</f>
        <v>0</v>
      </c>
      <c r="I352" s="88">
        <f t="shared" si="97"/>
        <v>0</v>
      </c>
      <c r="J352" s="348">
        <f>SUMIF(Journals!D$14:D$920,TrialBalance!P352,Journals!J$14:J$920)+SUMIF(Journals!E$14:E$920,TrialBalance!P352,Journals!J$14:J$920)</f>
        <v>0</v>
      </c>
      <c r="K352" s="409"/>
      <c r="L352" s="411">
        <f t="shared" si="69"/>
        <v>0</v>
      </c>
      <c r="M352" s="84"/>
      <c r="N352" s="57">
        <f t="shared" si="70"/>
        <v>0</v>
      </c>
      <c r="P352" s="197" t="str">
        <f t="shared" si="95"/>
        <v>7460/008</v>
      </c>
      <c r="Q352" s="79"/>
      <c r="R352" s="34"/>
      <c r="S352" s="80"/>
      <c r="T352" s="60"/>
      <c r="U352" s="34"/>
    </row>
    <row r="353" spans="1:21" x14ac:dyDescent="0.2">
      <c r="A353" s="394"/>
      <c r="B353" s="63" t="s">
        <v>492</v>
      </c>
      <c r="C353" s="397" t="s">
        <v>58</v>
      </c>
      <c r="D353" s="406"/>
      <c r="E353" s="407"/>
      <c r="F353" s="185"/>
      <c r="G353" s="185"/>
      <c r="H353" s="185"/>
      <c r="I353" s="88"/>
      <c r="J353" s="348">
        <f>SUMIF(Journals!D$14:D$920,TrialBalance!P353,Journals!J$14:J$920)+SUMIF(Journals!E$14:E$920,TrialBalance!P353,Journals!J$14:J$920)</f>
        <v>0</v>
      </c>
      <c r="K353" s="410" t="s">
        <v>688</v>
      </c>
      <c r="L353" s="411">
        <f t="shared" si="69"/>
        <v>0</v>
      </c>
      <c r="M353" s="84"/>
      <c r="N353" s="57">
        <f t="shared" si="70"/>
        <v>0</v>
      </c>
      <c r="P353" s="197" t="str">
        <f t="shared" si="95"/>
        <v>7500/000INVENTORY</v>
      </c>
      <c r="Q353" s="79"/>
      <c r="R353" s="34"/>
      <c r="S353" s="80"/>
      <c r="T353" s="60"/>
      <c r="U353" s="34"/>
    </row>
    <row r="354" spans="1:21" x14ac:dyDescent="0.2">
      <c r="A354" s="394"/>
      <c r="B354" s="63" t="s">
        <v>493</v>
      </c>
      <c r="C354" s="395" t="s">
        <v>494</v>
      </c>
      <c r="D354" s="406"/>
      <c r="E354" s="407"/>
      <c r="F354" s="185">
        <f>TrialBalanceA!I354-TrialBalanceA!K354</f>
        <v>0</v>
      </c>
      <c r="G354" s="185">
        <f>TrialBalanceB!I354-TrialBalanceB!K354</f>
        <v>0</v>
      </c>
      <c r="H354" s="185">
        <f>TrialBalanceC!I354-TrialBalanceC!K354</f>
        <v>0</v>
      </c>
      <c r="I354" s="88">
        <f>N354</f>
        <v>0</v>
      </c>
      <c r="J354" s="348">
        <f>SUMIF(Journals!D$14:D$920,TrialBalance!P354,Journals!J$14:J$920)+SUMIF(Journals!E$14:E$920,TrialBalance!P354,Journals!J$14:J$920)</f>
        <v>0</v>
      </c>
      <c r="K354" s="409"/>
      <c r="L354" s="411">
        <f t="shared" si="69"/>
        <v>0</v>
      </c>
      <c r="M354" s="84"/>
      <c r="N354" s="57">
        <f t="shared" si="70"/>
        <v>0</v>
      </c>
      <c r="P354" s="197" t="str">
        <f t="shared" si="95"/>
        <v>7500/001Raw materials</v>
      </c>
      <c r="Q354" s="79"/>
      <c r="R354" s="34"/>
      <c r="S354" s="80"/>
      <c r="T354" s="60"/>
      <c r="U354" s="34"/>
    </row>
    <row r="355" spans="1:21" x14ac:dyDescent="0.2">
      <c r="A355" s="394"/>
      <c r="B355" s="63" t="s">
        <v>23</v>
      </c>
      <c r="C355" s="395" t="s">
        <v>24</v>
      </c>
      <c r="D355" s="406"/>
      <c r="E355" s="407"/>
      <c r="F355" s="185">
        <f>TrialBalanceA!I355-TrialBalanceA!K355</f>
        <v>0</v>
      </c>
      <c r="G355" s="185">
        <f>TrialBalanceB!I355-TrialBalanceB!K355</f>
        <v>0</v>
      </c>
      <c r="H355" s="185">
        <f>TrialBalanceC!I355-TrialBalanceC!K355</f>
        <v>0</v>
      </c>
      <c r="I355" s="88">
        <f>N355</f>
        <v>0</v>
      </c>
      <c r="J355" s="348">
        <f>SUMIF(Journals!D$14:D$920,TrialBalance!P355,Journals!J$14:J$920)+SUMIF(Journals!E$14:E$920,TrialBalance!P355,Journals!J$14:J$920)</f>
        <v>0</v>
      </c>
      <c r="K355" s="409"/>
      <c r="L355" s="411">
        <f t="shared" si="69"/>
        <v>0</v>
      </c>
      <c r="M355" s="84"/>
      <c r="N355" s="57">
        <f t="shared" si="70"/>
        <v>0</v>
      </c>
      <c r="P355" s="197" t="str">
        <f t="shared" si="95"/>
        <v>7500/002Work in progress</v>
      </c>
      <c r="Q355" s="79"/>
      <c r="R355" s="34"/>
      <c r="S355" s="80"/>
      <c r="T355" s="60"/>
      <c r="U355" s="34"/>
    </row>
    <row r="356" spans="1:21" x14ac:dyDescent="0.2">
      <c r="A356" s="394"/>
      <c r="B356" s="63" t="s">
        <v>25</v>
      </c>
      <c r="C356" s="395" t="s">
        <v>26</v>
      </c>
      <c r="D356" s="406"/>
      <c r="E356" s="407"/>
      <c r="F356" s="185">
        <f>TrialBalanceA!I356-TrialBalanceA!K356</f>
        <v>0</v>
      </c>
      <c r="G356" s="185">
        <f>TrialBalanceB!I356-TrialBalanceB!K356</f>
        <v>0</v>
      </c>
      <c r="H356" s="185">
        <f>TrialBalanceC!I356-TrialBalanceC!K356</f>
        <v>0</v>
      </c>
      <c r="I356" s="88">
        <f>N356</f>
        <v>0</v>
      </c>
      <c r="J356" s="348">
        <f>SUMIF(Journals!D$14:D$920,TrialBalance!P356,Journals!J$14:J$920)+SUMIF(Journals!E$14:E$920,TrialBalance!P356,Journals!J$14:J$920)</f>
        <v>0</v>
      </c>
      <c r="K356" s="409"/>
      <c r="L356" s="411">
        <f t="shared" si="69"/>
        <v>0</v>
      </c>
      <c r="M356" s="84"/>
      <c r="N356" s="57">
        <f t="shared" si="70"/>
        <v>0</v>
      </c>
      <c r="P356" s="197" t="str">
        <f t="shared" si="95"/>
        <v>7500/003Finished goods</v>
      </c>
      <c r="Q356" s="79"/>
      <c r="R356" s="34"/>
      <c r="S356" s="80"/>
      <c r="T356" s="60"/>
      <c r="U356" s="34"/>
    </row>
    <row r="357" spans="1:21" x14ac:dyDescent="0.2">
      <c r="A357" s="394"/>
      <c r="B357" s="63" t="s">
        <v>29</v>
      </c>
      <c r="C357" s="395" t="s">
        <v>30</v>
      </c>
      <c r="D357" s="406"/>
      <c r="E357" s="407"/>
      <c r="F357" s="185">
        <f>TrialBalanceA!I357-TrialBalanceA!K357</f>
        <v>0</v>
      </c>
      <c r="G357" s="185">
        <f>TrialBalanceB!I357-TrialBalanceB!K357</f>
        <v>0</v>
      </c>
      <c r="H357" s="185">
        <f>TrialBalanceC!I357-TrialBalanceC!K357</f>
        <v>0</v>
      </c>
      <c r="I357" s="88">
        <f>N357</f>
        <v>0</v>
      </c>
      <c r="J357" s="348">
        <f>SUMIF(Journals!D$14:D$920,TrialBalance!P357,Journals!J$14:J$920)+SUMIF(Journals!E$14:E$920,TrialBalance!P357,Journals!J$14:J$920)</f>
        <v>0</v>
      </c>
      <c r="K357" s="410"/>
      <c r="L357" s="411">
        <f t="shared" si="69"/>
        <v>0</v>
      </c>
      <c r="M357" s="84"/>
      <c r="N357" s="57">
        <f t="shared" si="70"/>
        <v>0</v>
      </c>
      <c r="P357" s="197" t="str">
        <f t="shared" si="95"/>
        <v>7500/004Trading stock</v>
      </c>
      <c r="Q357" s="79"/>
      <c r="R357" s="34"/>
      <c r="S357" s="60"/>
      <c r="T357" s="60"/>
      <c r="U357" s="34"/>
    </row>
    <row r="358" spans="1:21" x14ac:dyDescent="0.2">
      <c r="A358" s="394"/>
      <c r="B358" s="63" t="s">
        <v>32</v>
      </c>
      <c r="C358" s="397" t="s">
        <v>33</v>
      </c>
      <c r="D358" s="406"/>
      <c r="E358" s="407"/>
      <c r="F358" s="185"/>
      <c r="G358" s="185"/>
      <c r="H358" s="185"/>
      <c r="I358" s="88"/>
      <c r="J358" s="348">
        <f>SUMIF(Journals!D$14:D$920,TrialBalance!P358,Journals!J$14:J$920)+SUMIF(Journals!E$14:E$920,TrialBalance!P358,Journals!J$14:J$920)</f>
        <v>0</v>
      </c>
      <c r="K358" s="410" t="s">
        <v>688</v>
      </c>
      <c r="L358" s="411">
        <f t="shared" si="69"/>
        <v>0</v>
      </c>
      <c r="M358" s="84"/>
      <c r="N358" s="57">
        <f t="shared" si="70"/>
        <v>0</v>
      </c>
      <c r="P358" s="197" t="str">
        <f t="shared" si="95"/>
        <v>8000/000DEBTORS</v>
      </c>
      <c r="Q358" s="79"/>
      <c r="R358" s="34"/>
      <c r="S358" s="80"/>
      <c r="T358" s="60"/>
      <c r="U358" s="34"/>
    </row>
    <row r="359" spans="1:21" x14ac:dyDescent="0.2">
      <c r="A359" s="394"/>
      <c r="B359" s="63" t="s">
        <v>34</v>
      </c>
      <c r="C359" s="395" t="s">
        <v>35</v>
      </c>
      <c r="D359" s="406"/>
      <c r="E359" s="407"/>
      <c r="F359" s="185">
        <f>TrialBalanceA!I359-TrialBalanceA!K359</f>
        <v>0</v>
      </c>
      <c r="G359" s="185">
        <f>TrialBalanceB!I359-TrialBalanceB!K359</f>
        <v>0</v>
      </c>
      <c r="H359" s="185">
        <f>TrialBalanceC!I359-TrialBalanceC!K359</f>
        <v>0</v>
      </c>
      <c r="I359" s="88">
        <f>N359</f>
        <v>0</v>
      </c>
      <c r="J359" s="348">
        <f>SUMIF(Journals!D$14:D$920,TrialBalance!P359,Journals!J$14:J$920)+SUMIF(Journals!E$14:E$920,TrialBalance!P359,Journals!J$14:J$920)</f>
        <v>0</v>
      </c>
      <c r="K359" s="409"/>
      <c r="L359" s="411">
        <f t="shared" si="69"/>
        <v>0</v>
      </c>
      <c r="M359" s="84"/>
      <c r="N359" s="57">
        <f t="shared" si="70"/>
        <v>0</v>
      </c>
      <c r="P359" s="197" t="str">
        <f t="shared" si="95"/>
        <v>8010/000Trade debtors</v>
      </c>
      <c r="Q359" s="81"/>
      <c r="R359" s="34"/>
      <c r="S359" s="80"/>
      <c r="T359" s="60"/>
      <c r="U359" s="34"/>
    </row>
    <row r="360" spans="1:21" x14ac:dyDescent="0.2">
      <c r="A360" s="394"/>
      <c r="B360" s="114" t="s">
        <v>36</v>
      </c>
      <c r="C360" s="398" t="s">
        <v>689</v>
      </c>
      <c r="D360" s="406"/>
      <c r="E360" s="407"/>
      <c r="F360" s="185">
        <f>TrialBalanceA!I360-TrialBalanceA!K360</f>
        <v>0</v>
      </c>
      <c r="G360" s="185">
        <f>TrialBalanceB!I360-TrialBalanceB!K360</f>
        <v>0</v>
      </c>
      <c r="H360" s="185">
        <f>TrialBalanceC!I360-TrialBalanceC!K360</f>
        <v>0</v>
      </c>
      <c r="I360" s="88">
        <f t="shared" ref="I360" si="103">N360</f>
        <v>0</v>
      </c>
      <c r="J360" s="348">
        <f>SUMIF(Journals!D$14:D$920,TrialBalance!P360,Journals!J$14:J$920)+SUMIF(Journals!E$14:E$920,TrialBalance!P360,Journals!J$14:J$920)</f>
        <v>0</v>
      </c>
      <c r="K360" s="409"/>
      <c r="L360" s="411">
        <f t="shared" si="69"/>
        <v>0</v>
      </c>
      <c r="M360" s="84"/>
      <c r="N360" s="57">
        <f t="shared" si="70"/>
        <v>0</v>
      </c>
      <c r="P360" s="197" t="str">
        <f t="shared" si="95"/>
        <v>8020/000Less: Provision for doubtful debts</v>
      </c>
      <c r="Q360" s="79"/>
      <c r="R360" s="34"/>
      <c r="S360" s="80"/>
      <c r="T360" s="60"/>
      <c r="U360" s="34"/>
    </row>
    <row r="361" spans="1:21" x14ac:dyDescent="0.2">
      <c r="A361" s="394"/>
      <c r="B361" s="114" t="s">
        <v>691</v>
      </c>
      <c r="C361" s="395" t="s">
        <v>394</v>
      </c>
      <c r="D361" s="406"/>
      <c r="E361" s="407"/>
      <c r="F361" s="185">
        <f>TrialBalanceA!I361-TrialBalanceA!K361</f>
        <v>0</v>
      </c>
      <c r="G361" s="185">
        <f>TrialBalanceB!I361-TrialBalanceB!K361</f>
        <v>0</v>
      </c>
      <c r="H361" s="185">
        <f>TrialBalanceC!I361-TrialBalanceC!K361</f>
        <v>0</v>
      </c>
      <c r="I361" s="88">
        <f>N361</f>
        <v>0</v>
      </c>
      <c r="J361" s="348">
        <f>SUMIF(Journals!D$14:D$920,TrialBalance!P361,Journals!J$14:J$920)+SUMIF(Journals!E$14:E$920,TrialBalance!P361,Journals!J$14:J$920)</f>
        <v>0</v>
      </c>
      <c r="K361" s="409"/>
      <c r="L361" s="411">
        <f t="shared" si="69"/>
        <v>0</v>
      </c>
      <c r="M361" s="84"/>
      <c r="N361" s="57">
        <f t="shared" si="70"/>
        <v>0</v>
      </c>
      <c r="P361" s="197" t="str">
        <f t="shared" si="95"/>
        <v>8030/000Service deposits</v>
      </c>
      <c r="Q361" s="79"/>
      <c r="R361" s="34"/>
      <c r="S361" s="80"/>
      <c r="T361" s="60"/>
      <c r="U361" s="34"/>
    </row>
    <row r="362" spans="1:21" x14ac:dyDescent="0.2">
      <c r="A362" s="394"/>
      <c r="B362" s="63" t="s">
        <v>554</v>
      </c>
      <c r="C362" s="398" t="s">
        <v>1034</v>
      </c>
      <c r="D362" s="406"/>
      <c r="E362" s="406"/>
      <c r="F362" s="185">
        <f>TrialBalanceA!I362-TrialBalanceA!K362</f>
        <v>0</v>
      </c>
      <c r="G362" s="185">
        <f>TrialBalanceB!I362-TrialBalanceB!K362</f>
        <v>0</v>
      </c>
      <c r="H362" s="185">
        <f>TrialBalanceC!I362-TrialBalanceC!K362</f>
        <v>0</v>
      </c>
      <c r="I362" s="88">
        <f>N362</f>
        <v>0</v>
      </c>
      <c r="J362" s="348">
        <f>SUMIF(Journals!D$14:D$920,TrialBalance!P362,Journals!J$14:J$920)+SUMIF(Journals!E$14:E$920,TrialBalance!P362,Journals!J$14:J$920)</f>
        <v>0</v>
      </c>
      <c r="K362" s="409"/>
      <c r="L362" s="411">
        <f t="shared" si="69"/>
        <v>0</v>
      </c>
      <c r="M362" s="84"/>
      <c r="N362" s="57">
        <f t="shared" si="70"/>
        <v>0</v>
      </c>
      <c r="P362" s="197" t="str">
        <f t="shared" si="95"/>
        <v>8200/000Sundry customers</v>
      </c>
      <c r="Q362" s="79"/>
      <c r="R362" s="34"/>
      <c r="S362" s="80"/>
      <c r="T362" s="60"/>
      <c r="U362" s="34"/>
    </row>
    <row r="363" spans="1:21" x14ac:dyDescent="0.2">
      <c r="A363" s="394"/>
      <c r="B363" s="63" t="s">
        <v>555</v>
      </c>
      <c r="C363" s="395" t="s">
        <v>450</v>
      </c>
      <c r="D363" s="406"/>
      <c r="E363" s="407"/>
      <c r="F363" s="185">
        <f>TrialBalanceA!I363-TrialBalanceA!K363</f>
        <v>0</v>
      </c>
      <c r="G363" s="185">
        <f>TrialBalanceB!I363-TrialBalanceB!K363</f>
        <v>0</v>
      </c>
      <c r="H363" s="185">
        <f>TrialBalanceC!I363-TrialBalanceC!K363</f>
        <v>0</v>
      </c>
      <c r="I363" s="88">
        <f>N363</f>
        <v>0</v>
      </c>
      <c r="J363" s="348">
        <f>SUMIF(Journals!D$14:D$920,TrialBalance!P363,Journals!J$14:J$920)+SUMIF(Journals!E$14:E$920,TrialBalance!P363,Journals!J$14:J$920)</f>
        <v>0</v>
      </c>
      <c r="K363" s="409"/>
      <c r="L363" s="411">
        <f t="shared" si="69"/>
        <v>0</v>
      </c>
      <c r="M363" s="84"/>
      <c r="N363" s="57">
        <f t="shared" si="70"/>
        <v>0</v>
      </c>
      <c r="P363" s="197" t="str">
        <f t="shared" si="95"/>
        <v>8200/010Prepayments</v>
      </c>
      <c r="Q363" s="79"/>
      <c r="R363" s="34"/>
      <c r="S363" s="80"/>
      <c r="T363" s="60"/>
      <c r="U363" s="34"/>
    </row>
    <row r="364" spans="1:21" x14ac:dyDescent="0.2">
      <c r="A364" s="394"/>
      <c r="B364" s="63" t="s">
        <v>293</v>
      </c>
      <c r="C364" s="396" t="s">
        <v>657</v>
      </c>
      <c r="D364" s="407"/>
      <c r="E364" s="407"/>
      <c r="F364" s="185">
        <f>TrialBalanceA!I364-TrialBalanceA!K364</f>
        <v>0</v>
      </c>
      <c r="G364" s="185">
        <f>TrialBalanceB!I364-TrialBalanceB!K364</f>
        <v>0</v>
      </c>
      <c r="H364" s="185">
        <f>TrialBalanceC!I364-TrialBalanceC!K364</f>
        <v>0</v>
      </c>
      <c r="I364" s="88">
        <f>N364</f>
        <v>0</v>
      </c>
      <c r="J364" s="348">
        <f>SUMIF(Journals!D$14:D$920,TrialBalance!P364,Journals!J$14:J$920)+SUMIF(Journals!E$14:E$920,TrialBalance!P364,Journals!J$14:J$920)</f>
        <v>0</v>
      </c>
      <c r="K364" s="409"/>
      <c r="L364" s="411">
        <f t="shared" si="69"/>
        <v>0</v>
      </c>
      <c r="M364" s="84"/>
      <c r="N364" s="57">
        <f t="shared" si="70"/>
        <v>0</v>
      </c>
      <c r="P364" s="197" t="str">
        <f t="shared" si="95"/>
        <v>8200/020Staff loans</v>
      </c>
      <c r="Q364" s="79"/>
      <c r="R364" s="34"/>
      <c r="S364" s="80"/>
      <c r="T364" s="60"/>
      <c r="U364" s="34"/>
    </row>
    <row r="365" spans="1:21" x14ac:dyDescent="0.2">
      <c r="A365" s="394"/>
      <c r="B365" s="63" t="s">
        <v>294</v>
      </c>
      <c r="C365" s="400" t="s">
        <v>154</v>
      </c>
      <c r="D365" s="407"/>
      <c r="E365" s="407"/>
      <c r="F365" s="185"/>
      <c r="G365" s="185"/>
      <c r="H365" s="185"/>
      <c r="I365" s="88"/>
      <c r="J365" s="348">
        <f>SUMIF(Journals!D$14:D$920,TrialBalance!P365,Journals!J$14:J$920)+SUMIF(Journals!E$14:E$920,TrialBalance!P365,Journals!J$14:J$920)</f>
        <v>0</v>
      </c>
      <c r="K365" s="410" t="s">
        <v>688</v>
      </c>
      <c r="L365" s="411">
        <f t="shared" si="69"/>
        <v>0</v>
      </c>
      <c r="M365" s="84"/>
      <c r="N365" s="57">
        <f t="shared" si="70"/>
        <v>0</v>
      </c>
      <c r="P365" s="197" t="str">
        <f t="shared" si="95"/>
        <v>8400/000BANK ACCOUNTS</v>
      </c>
      <c r="Q365" s="79"/>
      <c r="R365" s="34"/>
      <c r="S365" s="80"/>
      <c r="T365" s="60"/>
      <c r="U365" s="34"/>
    </row>
    <row r="366" spans="1:21" x14ac:dyDescent="0.2">
      <c r="A366" s="394"/>
      <c r="B366" s="63" t="s">
        <v>295</v>
      </c>
      <c r="C366" s="399"/>
      <c r="D366" s="408"/>
      <c r="E366" s="408"/>
      <c r="F366" s="185">
        <f>TrialBalanceA!I366-TrialBalanceA!K366</f>
        <v>0</v>
      </c>
      <c r="G366" s="185">
        <f>TrialBalanceB!I366-TrialBalanceB!K366</f>
        <v>0</v>
      </c>
      <c r="H366" s="185">
        <f>TrialBalanceC!I366-TrialBalanceC!K366</f>
        <v>0</v>
      </c>
      <c r="I366" s="88">
        <f t="shared" ref="I366:I372" si="104">N366</f>
        <v>0</v>
      </c>
      <c r="J366" s="348">
        <f>SUMIF(Journals!D$14:D$920,TrialBalance!P366,Journals!J$14:J$920)+SUMIF(Journals!E$14:E$920,TrialBalance!P366,Journals!J$14:J$920)</f>
        <v>0</v>
      </c>
      <c r="K366" s="409"/>
      <c r="L366" s="411">
        <f>ROUND(D366-E366+F366+G366+H366+J366+I366,0)</f>
        <v>0</v>
      </c>
      <c r="M366" s="84"/>
      <c r="N366" s="57">
        <f t="shared" si="70"/>
        <v>0</v>
      </c>
      <c r="P366" s="197" t="str">
        <f t="shared" si="95"/>
        <v>8410/000</v>
      </c>
      <c r="Q366" s="81"/>
      <c r="R366" s="34"/>
      <c r="S366" s="80"/>
      <c r="T366" s="60"/>
      <c r="U366" s="34"/>
    </row>
    <row r="367" spans="1:21" x14ac:dyDescent="0.2">
      <c r="A367" s="394"/>
      <c r="B367" s="63" t="s">
        <v>296</v>
      </c>
      <c r="C367" s="399"/>
      <c r="D367" s="408"/>
      <c r="E367" s="406"/>
      <c r="F367" s="185">
        <f>TrialBalanceA!I367-TrialBalanceA!K367</f>
        <v>0</v>
      </c>
      <c r="G367" s="185">
        <f>TrialBalanceB!I367-TrialBalanceB!K367</f>
        <v>0</v>
      </c>
      <c r="H367" s="185">
        <f>TrialBalanceC!I367-TrialBalanceC!K367</f>
        <v>0</v>
      </c>
      <c r="I367" s="88">
        <f t="shared" si="104"/>
        <v>0</v>
      </c>
      <c r="J367" s="348">
        <f>SUMIF(Journals!D$14:D$920,TrialBalance!P367,Journals!J$14:J$920)+SUMIF(Journals!E$14:E$920,TrialBalance!P367,Journals!J$14:J$920)</f>
        <v>0</v>
      </c>
      <c r="K367" s="409"/>
      <c r="L367" s="411">
        <f t="shared" si="69"/>
        <v>0</v>
      </c>
      <c r="M367" s="84"/>
      <c r="N367" s="57">
        <f t="shared" si="70"/>
        <v>0</v>
      </c>
      <c r="P367" s="197" t="str">
        <f t="shared" si="95"/>
        <v>8420/000</v>
      </c>
      <c r="Q367" s="79"/>
      <c r="R367" s="34"/>
      <c r="S367" s="80"/>
      <c r="T367" s="60"/>
      <c r="U367" s="34"/>
    </row>
    <row r="368" spans="1:21" x14ac:dyDescent="0.2">
      <c r="A368" s="394"/>
      <c r="B368" s="63" t="s">
        <v>297</v>
      </c>
      <c r="C368" s="399"/>
      <c r="D368" s="408"/>
      <c r="E368" s="406"/>
      <c r="F368" s="185">
        <f>TrialBalanceA!I368-TrialBalanceA!K368</f>
        <v>0</v>
      </c>
      <c r="G368" s="185">
        <f>TrialBalanceB!I368-TrialBalanceB!K368</f>
        <v>0</v>
      </c>
      <c r="H368" s="185">
        <f>TrialBalanceC!I368-TrialBalanceC!K368</f>
        <v>0</v>
      </c>
      <c r="I368" s="88">
        <f t="shared" si="104"/>
        <v>0</v>
      </c>
      <c r="J368" s="348">
        <f>SUMIF(Journals!D$14:D$920,TrialBalance!P368,Journals!J$14:J$920)+SUMIF(Journals!E$14:E$920,TrialBalance!P368,Journals!J$14:J$920)</f>
        <v>0</v>
      </c>
      <c r="K368" s="409"/>
      <c r="L368" s="411">
        <f t="shared" si="69"/>
        <v>0</v>
      </c>
      <c r="M368" s="84"/>
      <c r="N368" s="57">
        <f t="shared" si="70"/>
        <v>0</v>
      </c>
      <c r="P368" s="197" t="str">
        <f t="shared" si="95"/>
        <v>8430/000</v>
      </c>
      <c r="Q368" s="79"/>
      <c r="R368" s="34"/>
      <c r="S368" s="80"/>
      <c r="T368" s="60"/>
      <c r="U368" s="34"/>
    </row>
    <row r="369" spans="1:21" x14ac:dyDescent="0.2">
      <c r="A369" s="394"/>
      <c r="B369" s="63" t="s">
        <v>298</v>
      </c>
      <c r="C369" s="399"/>
      <c r="D369" s="408"/>
      <c r="E369" s="407"/>
      <c r="F369" s="185">
        <f>TrialBalanceA!I369-TrialBalanceA!K369</f>
        <v>0</v>
      </c>
      <c r="G369" s="185">
        <f>TrialBalanceB!I369-TrialBalanceB!K369</f>
        <v>0</v>
      </c>
      <c r="H369" s="185">
        <f>TrialBalanceC!I369-TrialBalanceC!K369</f>
        <v>0</v>
      </c>
      <c r="I369" s="88">
        <f t="shared" si="104"/>
        <v>0</v>
      </c>
      <c r="J369" s="348">
        <f>SUMIF(Journals!D$14:D$920,TrialBalance!P369,Journals!J$14:J$920)+SUMIF(Journals!E$14:E$920,TrialBalance!P369,Journals!J$14:J$920)</f>
        <v>0</v>
      </c>
      <c r="K369" s="409"/>
      <c r="L369" s="411">
        <f t="shared" si="69"/>
        <v>0</v>
      </c>
      <c r="M369" s="84"/>
      <c r="N369" s="57">
        <f t="shared" si="70"/>
        <v>0</v>
      </c>
      <c r="P369" s="197" t="str">
        <f t="shared" si="95"/>
        <v>8440/000</v>
      </c>
      <c r="Q369" s="79"/>
      <c r="R369" s="34"/>
      <c r="S369" s="80"/>
      <c r="T369" s="60"/>
      <c r="U369" s="34"/>
    </row>
    <row r="370" spans="1:21" x14ac:dyDescent="0.2">
      <c r="A370" s="394"/>
      <c r="B370" s="63" t="s">
        <v>299</v>
      </c>
      <c r="C370" s="399"/>
      <c r="D370" s="408"/>
      <c r="E370" s="407"/>
      <c r="F370" s="185">
        <f>TrialBalanceA!I370-TrialBalanceA!K370</f>
        <v>0</v>
      </c>
      <c r="G370" s="185">
        <f>TrialBalanceB!I370-TrialBalanceB!K370</f>
        <v>0</v>
      </c>
      <c r="H370" s="185">
        <f>TrialBalanceC!I370-TrialBalanceC!K370</f>
        <v>0</v>
      </c>
      <c r="I370" s="88">
        <f t="shared" si="104"/>
        <v>0</v>
      </c>
      <c r="J370" s="348">
        <f>SUMIF(Journals!D$14:D$920,TrialBalance!P370,Journals!J$14:J$920)+SUMIF(Journals!E$14:E$920,TrialBalance!P370,Journals!J$14:J$920)</f>
        <v>0</v>
      </c>
      <c r="K370" s="409"/>
      <c r="L370" s="411">
        <f t="shared" si="69"/>
        <v>0</v>
      </c>
      <c r="M370" s="84"/>
      <c r="N370" s="57">
        <f t="shared" si="70"/>
        <v>0</v>
      </c>
      <c r="P370" s="197" t="str">
        <f t="shared" si="95"/>
        <v>8450/000</v>
      </c>
      <c r="Q370" s="79"/>
      <c r="R370" s="34"/>
      <c r="S370" s="80"/>
      <c r="T370" s="60"/>
      <c r="U370" s="34"/>
    </row>
    <row r="371" spans="1:21" x14ac:dyDescent="0.2">
      <c r="A371" s="394"/>
      <c r="B371" s="63" t="s">
        <v>155</v>
      </c>
      <c r="C371" s="399"/>
      <c r="D371" s="408"/>
      <c r="E371" s="407"/>
      <c r="F371" s="185">
        <f>TrialBalanceA!I371-TrialBalanceA!K371</f>
        <v>0</v>
      </c>
      <c r="G371" s="185">
        <f>TrialBalanceB!I371-TrialBalanceB!K371</f>
        <v>0</v>
      </c>
      <c r="H371" s="185">
        <f>TrialBalanceC!I371-TrialBalanceC!K371</f>
        <v>0</v>
      </c>
      <c r="I371" s="88">
        <f t="shared" si="104"/>
        <v>0</v>
      </c>
      <c r="J371" s="348">
        <f>SUMIF(Journals!D$14:D$920,TrialBalance!P371,Journals!J$14:J$920)+SUMIF(Journals!E$14:E$920,TrialBalance!P371,Journals!J$14:J$920)</f>
        <v>0</v>
      </c>
      <c r="K371" s="409"/>
      <c r="L371" s="411">
        <f t="shared" si="69"/>
        <v>0</v>
      </c>
      <c r="M371" s="84"/>
      <c r="N371" s="57">
        <f t="shared" si="70"/>
        <v>0</v>
      </c>
      <c r="P371" s="197" t="str">
        <f t="shared" si="95"/>
        <v>8460/000</v>
      </c>
      <c r="Q371" s="79"/>
      <c r="R371" s="34"/>
      <c r="S371" s="80"/>
      <c r="T371" s="60"/>
      <c r="U371" s="34"/>
    </row>
    <row r="372" spans="1:21" x14ac:dyDescent="0.2">
      <c r="A372" s="394"/>
      <c r="B372" s="63" t="s">
        <v>501</v>
      </c>
      <c r="C372" s="402" t="s">
        <v>502</v>
      </c>
      <c r="D372" s="406"/>
      <c r="E372" s="406"/>
      <c r="F372" s="185">
        <f>TrialBalanceA!I372-TrialBalanceA!K372</f>
        <v>0</v>
      </c>
      <c r="G372" s="185">
        <f>TrialBalanceB!I372-TrialBalanceB!K372</f>
        <v>0</v>
      </c>
      <c r="H372" s="185">
        <f>TrialBalanceC!I372-TrialBalanceC!K372</f>
        <v>0</v>
      </c>
      <c r="I372" s="88">
        <f t="shared" si="104"/>
        <v>0</v>
      </c>
      <c r="J372" s="348">
        <f>SUMIF(Journals!D$14:D$920,TrialBalance!P372,Journals!J$14:J$920)+SUMIF(Journals!E$14:E$920,TrialBalance!P372,Journals!J$14:J$920)</f>
        <v>0</v>
      </c>
      <c r="K372" s="409"/>
      <c r="L372" s="411">
        <f t="shared" ref="L372:L400" si="105">ROUND(D372-E372+F372+G372+H372+J372+I372,0)</f>
        <v>0</v>
      </c>
      <c r="M372" s="84"/>
      <c r="N372" s="57">
        <f t="shared" si="70"/>
        <v>0</v>
      </c>
      <c r="P372" s="197" t="str">
        <f t="shared" si="95"/>
        <v>8500/000Cash on hand</v>
      </c>
      <c r="Q372" s="79"/>
      <c r="R372" s="34"/>
      <c r="S372" s="80"/>
      <c r="T372" s="60"/>
      <c r="U372" s="34"/>
    </row>
    <row r="373" spans="1:21" x14ac:dyDescent="0.2">
      <c r="A373" s="394"/>
      <c r="B373" s="63" t="s">
        <v>503</v>
      </c>
      <c r="C373" s="400" t="s">
        <v>347</v>
      </c>
      <c r="D373" s="407"/>
      <c r="E373" s="407"/>
      <c r="F373" s="185"/>
      <c r="G373" s="185"/>
      <c r="H373" s="185"/>
      <c r="I373" s="88"/>
      <c r="J373" s="348">
        <f>SUMIF(Journals!D$14:D$920,TrialBalance!P373,Journals!J$14:J$920)+SUMIF(Journals!E$14:E$920,TrialBalance!P373,Journals!J$14:J$920)</f>
        <v>0</v>
      </c>
      <c r="K373" s="409"/>
      <c r="L373" s="411">
        <f t="shared" si="105"/>
        <v>0</v>
      </c>
      <c r="M373" s="84"/>
      <c r="N373" s="57">
        <f t="shared" si="70"/>
        <v>0</v>
      </c>
      <c r="P373" s="197" t="str">
        <f t="shared" ref="P373:P400" si="106">CONCATENATE(B373,C373)</f>
        <v>8900/000SHORT TERM LOANS</v>
      </c>
      <c r="Q373" s="79"/>
      <c r="R373" s="34"/>
      <c r="S373" s="80"/>
      <c r="T373" s="60"/>
      <c r="U373" s="34"/>
    </row>
    <row r="374" spans="1:21" x14ac:dyDescent="0.2">
      <c r="A374" s="394"/>
      <c r="B374" s="63" t="s">
        <v>504</v>
      </c>
      <c r="C374" s="399"/>
      <c r="D374" s="406"/>
      <c r="E374" s="407"/>
      <c r="F374" s="185">
        <f>TrialBalanceA!I374-TrialBalanceA!K374</f>
        <v>0</v>
      </c>
      <c r="G374" s="185">
        <f>TrialBalanceB!I374-TrialBalanceB!K374</f>
        <v>0</v>
      </c>
      <c r="H374" s="185">
        <f>TrialBalanceC!I374-TrialBalanceC!K374</f>
        <v>0</v>
      </c>
      <c r="I374" s="88">
        <f>N374</f>
        <v>0</v>
      </c>
      <c r="J374" s="348">
        <f>SUMIF(Journals!D$14:D$920,TrialBalance!P374,Journals!J$14:J$920)+SUMIF(Journals!E$14:E$920,TrialBalance!P374,Journals!J$14:J$920)</f>
        <v>0</v>
      </c>
      <c r="K374" s="409"/>
      <c r="L374" s="411">
        <f t="shared" si="105"/>
        <v>0</v>
      </c>
      <c r="M374" s="84"/>
      <c r="N374" s="57">
        <f t="shared" si="70"/>
        <v>0</v>
      </c>
      <c r="P374" s="197" t="str">
        <f t="shared" si="106"/>
        <v>8900/001</v>
      </c>
      <c r="Q374" s="81"/>
      <c r="R374" s="34"/>
      <c r="S374" s="80"/>
      <c r="T374" s="60"/>
      <c r="U374" s="34"/>
    </row>
    <row r="375" spans="1:21" x14ac:dyDescent="0.2">
      <c r="A375" s="394"/>
      <c r="B375" s="63" t="s">
        <v>505</v>
      </c>
      <c r="C375" s="399"/>
      <c r="D375" s="406"/>
      <c r="E375" s="407"/>
      <c r="F375" s="185">
        <f>TrialBalanceA!I375-TrialBalanceA!K375</f>
        <v>0</v>
      </c>
      <c r="G375" s="185">
        <f>TrialBalanceB!I375-TrialBalanceB!K375</f>
        <v>0</v>
      </c>
      <c r="H375" s="185">
        <f>TrialBalanceC!I375-TrialBalanceC!K375</f>
        <v>0</v>
      </c>
      <c r="I375" s="88">
        <f>N375</f>
        <v>0</v>
      </c>
      <c r="J375" s="348">
        <f>SUMIF(Journals!D$14:D$920,TrialBalance!P375,Journals!J$14:J$920)+SUMIF(Journals!E$14:E$920,TrialBalance!P375,Journals!J$14:J$920)</f>
        <v>0</v>
      </c>
      <c r="K375" s="409"/>
      <c r="L375" s="411">
        <f t="shared" si="105"/>
        <v>0</v>
      </c>
      <c r="M375" s="84"/>
      <c r="N375" s="57">
        <f t="shared" si="70"/>
        <v>0</v>
      </c>
      <c r="P375" s="197" t="str">
        <f t="shared" si="106"/>
        <v>8900/002</v>
      </c>
      <c r="Q375" s="81"/>
      <c r="R375" s="34"/>
      <c r="S375" s="80"/>
      <c r="T375" s="60"/>
      <c r="U375" s="34"/>
    </row>
    <row r="376" spans="1:21" x14ac:dyDescent="0.2">
      <c r="A376" s="394"/>
      <c r="B376" s="63" t="s">
        <v>506</v>
      </c>
      <c r="C376" s="399"/>
      <c r="D376" s="406"/>
      <c r="E376" s="407"/>
      <c r="F376" s="185">
        <f>TrialBalanceA!I376-TrialBalanceA!K376</f>
        <v>0</v>
      </c>
      <c r="G376" s="185">
        <f>TrialBalanceB!I376-TrialBalanceB!K376</f>
        <v>0</v>
      </c>
      <c r="H376" s="185">
        <f>TrialBalanceC!I376-TrialBalanceC!K376</f>
        <v>0</v>
      </c>
      <c r="I376" s="88">
        <f>N376</f>
        <v>0</v>
      </c>
      <c r="J376" s="348">
        <f>SUMIF(Journals!D$14:D$920,TrialBalance!P376,Journals!J$14:J$920)+SUMIF(Journals!E$14:E$920,TrialBalance!P376,Journals!J$14:J$920)</f>
        <v>0</v>
      </c>
      <c r="K376" s="409"/>
      <c r="L376" s="411">
        <f t="shared" si="105"/>
        <v>0</v>
      </c>
      <c r="M376" s="84"/>
      <c r="N376" s="57">
        <f t="shared" si="70"/>
        <v>0</v>
      </c>
      <c r="P376" s="197" t="str">
        <f t="shared" si="106"/>
        <v>8900/003</v>
      </c>
      <c r="Q376" s="81"/>
      <c r="R376" s="34"/>
      <c r="S376" s="80"/>
      <c r="T376" s="60"/>
      <c r="U376" s="34"/>
    </row>
    <row r="377" spans="1:21" x14ac:dyDescent="0.2">
      <c r="A377" s="394"/>
      <c r="B377" s="63" t="s">
        <v>507</v>
      </c>
      <c r="C377" s="397" t="s">
        <v>311</v>
      </c>
      <c r="D377" s="406"/>
      <c r="E377" s="407"/>
      <c r="F377" s="185"/>
      <c r="G377" s="185"/>
      <c r="H377" s="185"/>
      <c r="I377" s="88">
        <f>N377</f>
        <v>0</v>
      </c>
      <c r="J377" s="348">
        <f>SUMIF(Journals!D$14:D$920,TrialBalance!P377,Journals!J$14:J$920)+SUMIF(Journals!E$14:E$920,TrialBalance!P377,Journals!J$14:J$920)</f>
        <v>0</v>
      </c>
      <c r="K377" s="409"/>
      <c r="L377" s="411">
        <f t="shared" si="105"/>
        <v>0</v>
      </c>
      <c r="M377" s="84"/>
      <c r="N377" s="57">
        <f t="shared" si="70"/>
        <v>0</v>
      </c>
      <c r="P377" s="197" t="str">
        <f t="shared" si="106"/>
        <v>8900/004Short term portion of long term loans</v>
      </c>
      <c r="Q377" s="79"/>
      <c r="R377" s="34"/>
      <c r="S377" s="80"/>
      <c r="T377" s="60"/>
      <c r="U377" s="34"/>
    </row>
    <row r="378" spans="1:21" x14ac:dyDescent="0.2">
      <c r="A378" s="394"/>
      <c r="B378" s="63" t="s">
        <v>508</v>
      </c>
      <c r="C378" s="397" t="s">
        <v>509</v>
      </c>
      <c r="D378" s="406"/>
      <c r="E378" s="407"/>
      <c r="F378" s="185"/>
      <c r="G378" s="185"/>
      <c r="H378" s="185"/>
      <c r="I378" s="88"/>
      <c r="J378" s="348">
        <f>SUMIF(Journals!D$14:D$920,TrialBalance!P378,Journals!J$14:J$920)+SUMIF(Journals!E$14:E$920,TrialBalance!P378,Journals!J$14:J$920)</f>
        <v>0</v>
      </c>
      <c r="K378" s="410" t="s">
        <v>688</v>
      </c>
      <c r="L378" s="411">
        <f t="shared" si="105"/>
        <v>0</v>
      </c>
      <c r="M378" s="84"/>
      <c r="N378" s="57">
        <f t="shared" si="70"/>
        <v>0</v>
      </c>
      <c r="P378" s="197" t="str">
        <f t="shared" si="106"/>
        <v>9000/000CREDITORS</v>
      </c>
      <c r="Q378" s="79"/>
      <c r="R378" s="34"/>
      <c r="S378" s="80"/>
      <c r="T378" s="60"/>
      <c r="U378" s="34"/>
    </row>
    <row r="379" spans="1:21" x14ac:dyDescent="0.2">
      <c r="A379" s="394"/>
      <c r="B379" s="63" t="s">
        <v>510</v>
      </c>
      <c r="C379" s="395" t="s">
        <v>511</v>
      </c>
      <c r="D379" s="406"/>
      <c r="E379" s="407"/>
      <c r="F379" s="185">
        <f>TrialBalanceA!I379-TrialBalanceA!K379</f>
        <v>0</v>
      </c>
      <c r="G379" s="185">
        <f>TrialBalanceB!I379-TrialBalanceB!K379</f>
        <v>0</v>
      </c>
      <c r="H379" s="185">
        <f>TrialBalanceC!I379-TrialBalanceC!K379</f>
        <v>0</v>
      </c>
      <c r="I379" s="88">
        <f>N379</f>
        <v>0</v>
      </c>
      <c r="J379" s="348">
        <f>SUMIF(Journals!D$14:D$920,TrialBalance!P379,Journals!J$14:J$920)+SUMIF(Journals!E$14:E$920,TrialBalance!P379,Journals!J$14:J$920)</f>
        <v>0</v>
      </c>
      <c r="K379" s="409"/>
      <c r="L379" s="411">
        <f t="shared" si="105"/>
        <v>0</v>
      </c>
      <c r="M379" s="84"/>
      <c r="N379" s="57">
        <f t="shared" ref="N379:N401" si="107">ROUND(SUM(A379),0)</f>
        <v>0</v>
      </c>
      <c r="P379" s="197" t="str">
        <f t="shared" si="106"/>
        <v>9010/000Trade creditors</v>
      </c>
      <c r="Q379" s="81"/>
      <c r="R379" s="34"/>
      <c r="S379" s="80"/>
      <c r="T379" s="60"/>
      <c r="U379" s="34"/>
    </row>
    <row r="380" spans="1:21" x14ac:dyDescent="0.2">
      <c r="A380" s="394"/>
      <c r="B380" s="63" t="s">
        <v>512</v>
      </c>
      <c r="C380" s="398" t="s">
        <v>676</v>
      </c>
      <c r="D380" s="406"/>
      <c r="E380" s="407"/>
      <c r="F380" s="185">
        <f>TrialBalanceA!I380-TrialBalanceA!K380</f>
        <v>0</v>
      </c>
      <c r="G380" s="185">
        <f>TrialBalanceB!I380-TrialBalanceB!K380</f>
        <v>0</v>
      </c>
      <c r="H380" s="185">
        <f>TrialBalanceC!I380-TrialBalanceC!K380</f>
        <v>0</v>
      </c>
      <c r="I380" s="88">
        <f>N380</f>
        <v>0</v>
      </c>
      <c r="J380" s="348">
        <f>SUMIF(Journals!D$14:D$920,TrialBalance!P380,Journals!J$14:J$920)+SUMIF(Journals!E$14:E$920,TrialBalance!P380,Journals!J$14:J$920)</f>
        <v>0</v>
      </c>
      <c r="K380" s="409"/>
      <c r="L380" s="411">
        <f t="shared" si="105"/>
        <v>0</v>
      </c>
      <c r="M380" s="84"/>
      <c r="N380" s="57">
        <f t="shared" si="107"/>
        <v>0</v>
      </c>
      <c r="P380" s="197" t="str">
        <f t="shared" si="106"/>
        <v>9200/000Sundry suppliers</v>
      </c>
      <c r="Q380" s="79"/>
      <c r="R380" s="34"/>
      <c r="S380" s="80"/>
      <c r="T380" s="60"/>
      <c r="U380" s="34"/>
    </row>
    <row r="381" spans="1:21" x14ac:dyDescent="0.2">
      <c r="A381" s="394"/>
      <c r="B381" s="63" t="s">
        <v>513</v>
      </c>
      <c r="C381" s="398" t="s">
        <v>984</v>
      </c>
      <c r="D381" s="406"/>
      <c r="E381" s="407"/>
      <c r="F381" s="185">
        <f>TrialBalanceA!I381-TrialBalanceA!K381</f>
        <v>0</v>
      </c>
      <c r="G381" s="185">
        <f>TrialBalanceB!I381-TrialBalanceB!K381</f>
        <v>0</v>
      </c>
      <c r="H381" s="185">
        <f>TrialBalanceC!I381-TrialBalanceC!K381</f>
        <v>0</v>
      </c>
      <c r="I381" s="88">
        <f>N381</f>
        <v>0</v>
      </c>
      <c r="J381" s="348">
        <f>SUMIF(Journals!D$14:D$920,TrialBalance!P381,Journals!J$14:J$920)+SUMIF(Journals!E$14:E$920,TrialBalance!P381,Journals!J$14:J$920)</f>
        <v>0</v>
      </c>
      <c r="K381" s="409"/>
      <c r="L381" s="411">
        <f t="shared" si="105"/>
        <v>0</v>
      </c>
      <c r="M381" s="84"/>
      <c r="N381" s="57">
        <f t="shared" si="107"/>
        <v>0</v>
      </c>
      <c r="P381" s="197" t="str">
        <f t="shared" si="106"/>
        <v>9200/010Audit and accounting fee accrual</v>
      </c>
      <c r="Q381" s="79"/>
      <c r="R381" s="34"/>
      <c r="S381" s="80"/>
      <c r="T381" s="60"/>
      <c r="U381" s="34"/>
    </row>
    <row r="382" spans="1:21" x14ac:dyDescent="0.2">
      <c r="A382" s="394"/>
      <c r="B382" s="63" t="s">
        <v>514</v>
      </c>
      <c r="C382" s="398" t="s">
        <v>677</v>
      </c>
      <c r="D382" s="406"/>
      <c r="E382" s="407"/>
      <c r="F382" s="185">
        <f>TrialBalanceA!I382-TrialBalanceA!K382</f>
        <v>0</v>
      </c>
      <c r="G382" s="185">
        <f>TrialBalanceB!I382-TrialBalanceB!K382</f>
        <v>0</v>
      </c>
      <c r="H382" s="185">
        <f>TrialBalanceC!I382-TrialBalanceC!K382</f>
        <v>0</v>
      </c>
      <c r="I382" s="88">
        <f>N382</f>
        <v>0</v>
      </c>
      <c r="J382" s="348">
        <f>SUMIF(Journals!D$14:D$920,TrialBalance!P382,Journals!J$14:J$920)+SUMIF(Journals!E$14:E$920,TrialBalance!P382,Journals!J$14:J$920)</f>
        <v>0</v>
      </c>
      <c r="K382" s="409"/>
      <c r="L382" s="411">
        <f t="shared" si="105"/>
        <v>0</v>
      </c>
      <c r="M382" s="84"/>
      <c r="N382" s="57">
        <f t="shared" si="107"/>
        <v>0</v>
      </c>
      <c r="P382" s="197" t="str">
        <f t="shared" si="106"/>
        <v>9200/020Other accruals</v>
      </c>
      <c r="Q382" s="79"/>
      <c r="R382" s="34"/>
      <c r="S382" s="80"/>
      <c r="T382" s="60"/>
      <c r="U382" s="34"/>
    </row>
    <row r="383" spans="1:21" x14ac:dyDescent="0.2">
      <c r="A383" s="394"/>
      <c r="B383" s="63" t="s">
        <v>515</v>
      </c>
      <c r="C383" s="398" t="s">
        <v>963</v>
      </c>
      <c r="D383" s="406"/>
      <c r="E383" s="407"/>
      <c r="F383" s="185">
        <f>TrialBalanceA!I383-TrialBalanceA!K383</f>
        <v>0</v>
      </c>
      <c r="G383" s="185">
        <f>TrialBalanceB!I383-TrialBalanceB!K383</f>
        <v>0</v>
      </c>
      <c r="H383" s="185">
        <f>TrialBalanceC!I383-TrialBalanceC!K383</f>
        <v>0</v>
      </c>
      <c r="I383" s="88">
        <f>N383</f>
        <v>0</v>
      </c>
      <c r="J383" s="348">
        <f>SUMIF(Journals!D$14:D$920,TrialBalance!P383,Journals!J$14:J$920)+SUMIF(Journals!E$14:E$920,TrialBalance!P383,Journals!J$14:J$920)</f>
        <v>0</v>
      </c>
      <c r="K383" s="409"/>
      <c r="L383" s="411">
        <f t="shared" si="105"/>
        <v>0</v>
      </c>
      <c r="M383" s="84"/>
      <c r="N383" s="57">
        <f t="shared" si="107"/>
        <v>0</v>
      </c>
      <c r="P383" s="197" t="str">
        <f t="shared" si="106"/>
        <v>9250/000Salary and wages control</v>
      </c>
      <c r="Q383" s="81"/>
      <c r="R383" s="34"/>
      <c r="S383" s="80"/>
      <c r="T383" s="60"/>
      <c r="U383" s="34"/>
    </row>
    <row r="384" spans="1:21" x14ac:dyDescent="0.2">
      <c r="A384" s="394"/>
      <c r="B384" s="63" t="s">
        <v>403</v>
      </c>
      <c r="C384" s="397" t="s">
        <v>141</v>
      </c>
      <c r="D384" s="406"/>
      <c r="E384" s="407"/>
      <c r="F384" s="185"/>
      <c r="G384" s="185"/>
      <c r="H384" s="185"/>
      <c r="I384" s="88"/>
      <c r="J384" s="348">
        <f>SUMIF(Journals!D$14:D$920,TrialBalance!P384,Journals!J$14:J$920)+SUMIF(Journals!E$14:E$920,TrialBalance!P384,Journals!J$14:J$920)</f>
        <v>0</v>
      </c>
      <c r="K384" s="409"/>
      <c r="L384" s="411">
        <f t="shared" si="105"/>
        <v>0</v>
      </c>
      <c r="M384" s="84"/>
      <c r="N384" s="57">
        <f t="shared" si="107"/>
        <v>0</v>
      </c>
      <c r="P384" s="197" t="str">
        <f t="shared" si="106"/>
        <v>9300/000TAXATION</v>
      </c>
      <c r="Q384" s="79"/>
      <c r="R384" s="34"/>
      <c r="S384" s="80"/>
      <c r="T384" s="60"/>
      <c r="U384" s="34"/>
    </row>
    <row r="385" spans="1:21" x14ac:dyDescent="0.2">
      <c r="A385" s="394"/>
      <c r="B385" s="63" t="s">
        <v>526</v>
      </c>
      <c r="C385" s="395" t="s">
        <v>103</v>
      </c>
      <c r="D385" s="406"/>
      <c r="E385" s="407"/>
      <c r="F385" s="185"/>
      <c r="G385" s="185"/>
      <c r="H385" s="185"/>
      <c r="I385" s="88">
        <f>SUM(N385:N391)</f>
        <v>0</v>
      </c>
      <c r="J385" s="348">
        <f>SUMIF(Journals!D$14:D$920,TrialBalance!P385,Journals!J$14:J$920)+SUMIF(Journals!E$14:E$920,TrialBalance!P385,Journals!J$14:J$920)</f>
        <v>0</v>
      </c>
      <c r="K385" s="409"/>
      <c r="L385" s="411">
        <f t="shared" si="105"/>
        <v>0</v>
      </c>
      <c r="M385" s="84"/>
      <c r="N385" s="57">
        <f t="shared" si="107"/>
        <v>0</v>
      </c>
      <c r="P385" s="197" t="str">
        <f t="shared" si="106"/>
        <v>9300/010Balance b/fwd</v>
      </c>
      <c r="Q385" s="79"/>
      <c r="R385" s="34"/>
      <c r="S385" s="80"/>
      <c r="T385" s="80"/>
      <c r="U385" s="34"/>
    </row>
    <row r="386" spans="1:21" x14ac:dyDescent="0.2">
      <c r="A386" s="394"/>
      <c r="B386" s="63" t="s">
        <v>527</v>
      </c>
      <c r="C386" s="402" t="s">
        <v>152</v>
      </c>
      <c r="D386" s="407"/>
      <c r="E386" s="407"/>
      <c r="F386" s="185">
        <f>TrialBalanceA!I386</f>
        <v>0</v>
      </c>
      <c r="G386" s="185">
        <f>TrialBalanceB!I386</f>
        <v>0</v>
      </c>
      <c r="H386" s="185">
        <f>TrialBalanceC!I386</f>
        <v>0</v>
      </c>
      <c r="I386" s="88"/>
      <c r="J386" s="348">
        <f>SUMIF(Journals!D$14:D$920,TrialBalance!P386,Journals!J$14:J$920)+SUMIF(Journals!E$14:E$920,TrialBalance!P386,Journals!J$14:J$920)</f>
        <v>0</v>
      </c>
      <c r="K386" s="409"/>
      <c r="L386" s="411">
        <f t="shared" si="105"/>
        <v>0</v>
      </c>
      <c r="M386" s="84"/>
      <c r="N386" s="57">
        <f t="shared" si="107"/>
        <v>0</v>
      </c>
      <c r="P386" s="197" t="str">
        <f t="shared" si="106"/>
        <v>9300/020Tax provision this year</v>
      </c>
      <c r="Q386" s="79"/>
      <c r="R386" s="34"/>
      <c r="S386" s="80"/>
      <c r="T386" s="60"/>
      <c r="U386" s="34"/>
    </row>
    <row r="387" spans="1:21" x14ac:dyDescent="0.2">
      <c r="A387" s="394"/>
      <c r="B387" s="63" t="s">
        <v>528</v>
      </c>
      <c r="C387" s="398" t="s">
        <v>1165</v>
      </c>
      <c r="D387" s="406"/>
      <c r="E387" s="407"/>
      <c r="F387" s="185">
        <f>TrialBalanceA!I387</f>
        <v>0</v>
      </c>
      <c r="G387" s="185">
        <f>TrialBalanceB!I387</f>
        <v>0</v>
      </c>
      <c r="H387" s="185">
        <f>TrialBalanceC!I387</f>
        <v>0</v>
      </c>
      <c r="I387" s="88"/>
      <c r="J387" s="348">
        <f>SUMIF(Journals!D$14:D$920,TrialBalance!P387,Journals!J$14:J$920)+SUMIF(Journals!E$14:E$920,TrialBalance!P387,Journals!J$14:J$920)</f>
        <v>0</v>
      </c>
      <c r="K387" s="409"/>
      <c r="L387" s="411">
        <f t="shared" si="105"/>
        <v>0</v>
      </c>
      <c r="M387" s="84"/>
      <c r="N387" s="57">
        <f t="shared" si="107"/>
        <v>0</v>
      </c>
      <c r="P387" s="197" t="str">
        <f t="shared" si="106"/>
        <v>9300/030Over-/(Under) provision previous year</v>
      </c>
      <c r="Q387" s="79"/>
      <c r="R387" s="34"/>
      <c r="S387" s="80"/>
      <c r="T387" s="60"/>
      <c r="U387" s="34"/>
    </row>
    <row r="388" spans="1:21" x14ac:dyDescent="0.2">
      <c r="A388" s="394"/>
      <c r="B388" s="63" t="s">
        <v>529</v>
      </c>
      <c r="C388" s="398" t="s">
        <v>1166</v>
      </c>
      <c r="D388" s="406"/>
      <c r="E388" s="406"/>
      <c r="F388" s="185">
        <f>TrialBalanceA!I388</f>
        <v>0</v>
      </c>
      <c r="G388" s="185">
        <f>TrialBalanceB!I388</f>
        <v>0</v>
      </c>
      <c r="H388" s="185">
        <f>TrialBalanceC!I388</f>
        <v>0</v>
      </c>
      <c r="I388" s="88"/>
      <c r="J388" s="348">
        <f>SUMIF(Journals!D$14:D$920,TrialBalance!P388,Journals!J$14:J$920)+SUMIF(Journals!E$14:E$920,TrialBalance!P388,Journals!J$14:J$920)</f>
        <v>0</v>
      </c>
      <c r="K388" s="409"/>
      <c r="L388" s="411">
        <f t="shared" si="105"/>
        <v>0</v>
      </c>
      <c r="M388" s="84"/>
      <c r="N388" s="57">
        <f t="shared" si="107"/>
        <v>0</v>
      </c>
      <c r="P388" s="197" t="str">
        <f t="shared" si="106"/>
        <v>9300/040Tax paid/(refund) for previous year provisions</v>
      </c>
      <c r="Q388" s="79"/>
      <c r="R388" s="34"/>
      <c r="S388" s="80"/>
      <c r="T388" s="60"/>
      <c r="U388" s="34"/>
    </row>
    <row r="389" spans="1:21" x14ac:dyDescent="0.2">
      <c r="A389" s="394"/>
      <c r="B389" s="63" t="s">
        <v>530</v>
      </c>
      <c r="C389" s="398" t="s">
        <v>1035</v>
      </c>
      <c r="D389" s="406"/>
      <c r="E389" s="407"/>
      <c r="F389" s="185">
        <f>TrialBalanceA!I389</f>
        <v>0</v>
      </c>
      <c r="G389" s="185">
        <f>TrialBalanceB!I389</f>
        <v>0</v>
      </c>
      <c r="H389" s="185">
        <f>TrialBalanceC!I389</f>
        <v>0</v>
      </c>
      <c r="I389" s="88"/>
      <c r="J389" s="348">
        <f>SUMIF(Journals!D$14:D$920,TrialBalance!P389,Journals!J$14:J$920)+SUMIF(Journals!E$14:E$920,TrialBalance!P389,Journals!J$14:J$920)</f>
        <v>0</v>
      </c>
      <c r="K389" s="409"/>
      <c r="L389" s="411">
        <f t="shared" si="105"/>
        <v>0</v>
      </c>
      <c r="M389" s="84"/>
      <c r="N389" s="57">
        <f t="shared" si="107"/>
        <v>0</v>
      </c>
      <c r="P389" s="197" t="str">
        <f t="shared" si="106"/>
        <v>9300/0501st Provisional paid</v>
      </c>
      <c r="Q389" s="79"/>
      <c r="R389" s="34"/>
      <c r="S389" s="80"/>
      <c r="T389" s="60"/>
      <c r="U389" s="34"/>
    </row>
    <row r="390" spans="1:21" x14ac:dyDescent="0.2">
      <c r="A390" s="394"/>
      <c r="B390" s="63" t="s">
        <v>531</v>
      </c>
      <c r="C390" s="398" t="s">
        <v>1036</v>
      </c>
      <c r="D390" s="406"/>
      <c r="E390" s="407"/>
      <c r="F390" s="185">
        <f>TrialBalanceA!I390</f>
        <v>0</v>
      </c>
      <c r="G390" s="185">
        <f>TrialBalanceB!I390</f>
        <v>0</v>
      </c>
      <c r="H390" s="185">
        <f>TrialBalanceC!I390</f>
        <v>0</v>
      </c>
      <c r="I390" s="88"/>
      <c r="J390" s="348">
        <f>SUMIF(Journals!D$14:D$920,TrialBalance!P390,Journals!J$14:J$920)+SUMIF(Journals!E$14:E$920,TrialBalance!P390,Journals!J$14:J$920)</f>
        <v>0</v>
      </c>
      <c r="K390" s="409"/>
      <c r="L390" s="411">
        <f t="shared" si="105"/>
        <v>0</v>
      </c>
      <c r="M390" s="84"/>
      <c r="N390" s="57">
        <f t="shared" si="107"/>
        <v>0</v>
      </c>
      <c r="P390" s="197" t="str">
        <f t="shared" si="106"/>
        <v>9300/0602nd Provisional paid</v>
      </c>
      <c r="Q390" s="79"/>
      <c r="R390" s="34"/>
      <c r="S390" s="80"/>
      <c r="T390" s="60"/>
      <c r="U390" s="34"/>
    </row>
    <row r="391" spans="1:21" x14ac:dyDescent="0.2">
      <c r="A391" s="394"/>
      <c r="B391" s="63" t="s">
        <v>532</v>
      </c>
      <c r="C391" s="395" t="s">
        <v>153</v>
      </c>
      <c r="D391" s="406"/>
      <c r="E391" s="407"/>
      <c r="F391" s="185">
        <f>TrialBalanceA!I391</f>
        <v>0</v>
      </c>
      <c r="G391" s="185">
        <f>TrialBalanceB!I391</f>
        <v>0</v>
      </c>
      <c r="H391" s="185">
        <f>TrialBalanceC!I391</f>
        <v>0</v>
      </c>
      <c r="I391" s="88"/>
      <c r="J391" s="348">
        <f>SUMIF(Journals!D$14:D$920,TrialBalance!P391,Journals!J$14:J$920)+SUMIF(Journals!E$14:E$920,TrialBalance!P391,Journals!J$14:J$920)</f>
        <v>0</v>
      </c>
      <c r="K391" s="409"/>
      <c r="L391" s="411">
        <f t="shared" si="105"/>
        <v>0</v>
      </c>
      <c r="M391" s="84"/>
      <c r="N391" s="57">
        <f t="shared" si="107"/>
        <v>0</v>
      </c>
      <c r="P391" s="197" t="str">
        <f t="shared" si="106"/>
        <v>9300/0703rd Provisional paid</v>
      </c>
      <c r="Q391" s="79"/>
      <c r="R391" s="34"/>
      <c r="S391" s="80"/>
      <c r="T391" s="60"/>
      <c r="U391" s="34"/>
    </row>
    <row r="392" spans="1:21" x14ac:dyDescent="0.2">
      <c r="A392" s="394"/>
      <c r="B392" s="63" t="s">
        <v>533</v>
      </c>
      <c r="C392" s="398" t="s">
        <v>1167</v>
      </c>
      <c r="D392" s="406"/>
      <c r="E392" s="407"/>
      <c r="F392" s="185"/>
      <c r="G392" s="185"/>
      <c r="H392" s="185"/>
      <c r="I392" s="88">
        <f>N392</f>
        <v>0</v>
      </c>
      <c r="J392" s="348">
        <f>SUMIF(Journals!D$14:D$920,TrialBalance!P392,Journals!J$14:J$920)+SUMIF(Journals!E$14:E$920,TrialBalance!P392,Journals!J$14:J$920)</f>
        <v>0</v>
      </c>
      <c r="K392" s="409"/>
      <c r="L392" s="411">
        <f t="shared" si="105"/>
        <v>0</v>
      </c>
      <c r="M392" s="84"/>
      <c r="N392" s="57">
        <f t="shared" si="107"/>
        <v>0</v>
      </c>
      <c r="P392" s="197" t="str">
        <f t="shared" si="106"/>
        <v>9300/090Dividends' tax provision</v>
      </c>
      <c r="Q392" s="79"/>
      <c r="R392" s="34"/>
      <c r="S392" s="80"/>
      <c r="T392" s="60"/>
      <c r="U392" s="34"/>
    </row>
    <row r="393" spans="1:21" x14ac:dyDescent="0.2">
      <c r="A393" s="394"/>
      <c r="B393" s="63" t="s">
        <v>404</v>
      </c>
      <c r="C393" s="398" t="s">
        <v>659</v>
      </c>
      <c r="D393" s="406"/>
      <c r="E393" s="407"/>
      <c r="F393" s="185"/>
      <c r="G393" s="185"/>
      <c r="H393" s="185"/>
      <c r="I393" s="88">
        <f>N393</f>
        <v>0</v>
      </c>
      <c r="J393" s="348">
        <f>SUMIF(Journals!D$14:D$920,TrialBalance!P393,Journals!J$14:J$920)+SUMIF(Journals!E$14:E$920,TrialBalance!P393,Journals!J$14:J$920)</f>
        <v>0</v>
      </c>
      <c r="K393" s="409"/>
      <c r="L393" s="411">
        <f t="shared" si="105"/>
        <v>0</v>
      </c>
      <c r="M393" s="84"/>
      <c r="N393" s="57">
        <f t="shared" si="107"/>
        <v>0</v>
      </c>
      <c r="P393" s="197" t="str">
        <f t="shared" si="106"/>
        <v>9350/000Dividends payable</v>
      </c>
      <c r="Q393" s="79"/>
      <c r="R393" s="34"/>
      <c r="S393" s="80"/>
      <c r="T393" s="60"/>
      <c r="U393" s="34"/>
    </row>
    <row r="394" spans="1:21" x14ac:dyDescent="0.2">
      <c r="A394" s="394"/>
      <c r="B394" s="63" t="s">
        <v>405</v>
      </c>
      <c r="C394" s="398" t="s">
        <v>660</v>
      </c>
      <c r="D394" s="406"/>
      <c r="E394" s="407"/>
      <c r="F394" s="185">
        <f>TrialBalanceA!I394-TrialBalanceA!K394</f>
        <v>0</v>
      </c>
      <c r="G394" s="185">
        <f>TrialBalanceB!I394-TrialBalanceB!K394</f>
        <v>0</v>
      </c>
      <c r="H394" s="185">
        <f>TrialBalanceC!I394-TrialBalanceC!K394</f>
        <v>0</v>
      </c>
      <c r="I394" s="88">
        <f>N394</f>
        <v>0</v>
      </c>
      <c r="J394" s="348">
        <f>SUMIF(Journals!D$14:D$920,TrialBalance!P394,Journals!J$14:J$920)+SUMIF(Journals!E$14:E$920,TrialBalance!P394,Journals!J$14:J$920)</f>
        <v>0</v>
      </c>
      <c r="K394" s="409"/>
      <c r="L394" s="411">
        <f t="shared" si="105"/>
        <v>0</v>
      </c>
      <c r="M394" s="84"/>
      <c r="N394" s="57">
        <f t="shared" si="107"/>
        <v>0</v>
      </c>
      <c r="P394" s="197" t="str">
        <f t="shared" si="106"/>
        <v>9400/000Provision for future expenses</v>
      </c>
      <c r="Q394" s="79"/>
      <c r="R394" s="34"/>
      <c r="S394" s="80"/>
      <c r="T394" s="60"/>
      <c r="U394" s="34"/>
    </row>
    <row r="395" spans="1:21" x14ac:dyDescent="0.2">
      <c r="A395" s="394"/>
      <c r="B395" s="63" t="s">
        <v>406</v>
      </c>
      <c r="C395" s="398" t="s">
        <v>661</v>
      </c>
      <c r="D395" s="406"/>
      <c r="E395" s="407"/>
      <c r="F395" s="185">
        <f>TrialBalanceA!I395-TrialBalanceA!K395</f>
        <v>0</v>
      </c>
      <c r="G395" s="185">
        <f>TrialBalanceB!I395-TrialBalanceB!K395</f>
        <v>0</v>
      </c>
      <c r="H395" s="185">
        <f>TrialBalanceC!I395-TrialBalanceC!K395</f>
        <v>0</v>
      </c>
      <c r="I395" s="88">
        <f>N395</f>
        <v>0</v>
      </c>
      <c r="J395" s="348">
        <f>SUMIF(Journals!D$14:D$920,TrialBalance!P395,Journals!J$14:J$920)+SUMIF(Journals!E$14:E$920,TrialBalance!P395,Journals!J$14:J$920)</f>
        <v>0</v>
      </c>
      <c r="K395" s="409"/>
      <c r="L395" s="411">
        <f t="shared" si="105"/>
        <v>0</v>
      </c>
      <c r="M395" s="84"/>
      <c r="N395" s="57">
        <f t="shared" si="107"/>
        <v>0</v>
      </c>
      <c r="P395" s="197" t="str">
        <f t="shared" si="106"/>
        <v>9400/010Provision for insurance</v>
      </c>
      <c r="Q395" s="79"/>
      <c r="R395" s="34"/>
      <c r="S395" s="80"/>
      <c r="T395" s="60"/>
      <c r="U395" s="34"/>
    </row>
    <row r="396" spans="1:21" x14ac:dyDescent="0.2">
      <c r="A396" s="394"/>
      <c r="B396" s="63" t="s">
        <v>407</v>
      </c>
      <c r="C396" s="398" t="s">
        <v>662</v>
      </c>
      <c r="D396" s="406"/>
      <c r="E396" s="407"/>
      <c r="F396" s="185">
        <f>TrialBalanceA!I396-TrialBalanceA!K396</f>
        <v>0</v>
      </c>
      <c r="G396" s="185">
        <f>TrialBalanceB!I396-TrialBalanceB!K396</f>
        <v>0</v>
      </c>
      <c r="H396" s="185">
        <f>TrialBalanceC!I396-TrialBalanceC!K396</f>
        <v>0</v>
      </c>
      <c r="I396" s="88">
        <f>N396</f>
        <v>0</v>
      </c>
      <c r="J396" s="348">
        <f>SUMIF(Journals!D$14:D$920,TrialBalance!P396,Journals!J$14:J$920)+SUMIF(Journals!E$14:E$920,TrialBalance!P396,Journals!J$14:J$920)</f>
        <v>0</v>
      </c>
      <c r="K396" s="409"/>
      <c r="L396" s="411">
        <f t="shared" si="105"/>
        <v>0</v>
      </c>
      <c r="M396" s="84"/>
      <c r="N396" s="57">
        <f t="shared" si="107"/>
        <v>0</v>
      </c>
      <c r="P396" s="197" t="str">
        <f t="shared" si="106"/>
        <v>9400/020Provision for salary bonus</v>
      </c>
      <c r="Q396" s="79"/>
      <c r="R396" s="34"/>
      <c r="S396" s="80"/>
      <c r="T396" s="60"/>
      <c r="U396" s="34"/>
    </row>
    <row r="397" spans="1:21" x14ac:dyDescent="0.2">
      <c r="A397" s="394"/>
      <c r="B397" s="63" t="s">
        <v>408</v>
      </c>
      <c r="C397" s="397" t="s">
        <v>409</v>
      </c>
      <c r="D397" s="406"/>
      <c r="E397" s="407"/>
      <c r="F397" s="185"/>
      <c r="G397" s="185"/>
      <c r="H397" s="185"/>
      <c r="I397" s="88"/>
      <c r="J397" s="348">
        <f>SUMIF(Journals!D$14:D$920,TrialBalance!P397,Journals!J$14:J$920)+SUMIF(Journals!E$14:E$920,TrialBalance!P397,Journals!J$14:J$920)</f>
        <v>0</v>
      </c>
      <c r="K397" s="409"/>
      <c r="L397" s="411">
        <f t="shared" si="105"/>
        <v>0</v>
      </c>
      <c r="M397" s="84"/>
      <c r="N397" s="57">
        <f t="shared" si="107"/>
        <v>0</v>
      </c>
      <c r="P397" s="197" t="str">
        <f t="shared" si="106"/>
        <v>9500/000VALUE ADDED TAX</v>
      </c>
      <c r="Q397" s="79"/>
      <c r="R397" s="34"/>
      <c r="S397" s="80"/>
      <c r="T397" s="60"/>
      <c r="U397" s="34"/>
    </row>
    <row r="398" spans="1:21" x14ac:dyDescent="0.2">
      <c r="A398" s="394"/>
      <c r="B398" s="63" t="s">
        <v>410</v>
      </c>
      <c r="C398" s="395" t="s">
        <v>411</v>
      </c>
      <c r="D398" s="406"/>
      <c r="E398" s="406"/>
      <c r="F398" s="185">
        <f>TrialBalanceA!I398-TrialBalanceA!K398</f>
        <v>0</v>
      </c>
      <c r="G398" s="185">
        <f>TrialBalanceB!I398-TrialBalanceB!K398</f>
        <v>0</v>
      </c>
      <c r="H398" s="185">
        <f>TrialBalanceC!I398-TrialBalanceC!K398</f>
        <v>0</v>
      </c>
      <c r="I398" s="88">
        <f>N398</f>
        <v>0</v>
      </c>
      <c r="J398" s="348">
        <f>SUMIF(Journals!D$14:D$920,TrialBalance!P398,Journals!J$14:J$920)+SUMIF(Journals!E$14:E$920,TrialBalance!P398,Journals!J$14:J$920)</f>
        <v>0</v>
      </c>
      <c r="K398" s="410" t="s">
        <v>688</v>
      </c>
      <c r="L398" s="411">
        <f t="shared" si="105"/>
        <v>0</v>
      </c>
      <c r="M398" s="84"/>
      <c r="N398" s="57">
        <f t="shared" si="107"/>
        <v>0</v>
      </c>
      <c r="P398" s="197" t="str">
        <f t="shared" si="106"/>
        <v>9501/000VAT account</v>
      </c>
      <c r="Q398" s="81"/>
      <c r="R398" s="34"/>
      <c r="S398" s="80"/>
      <c r="T398" s="60"/>
      <c r="U398" s="34"/>
    </row>
    <row r="399" spans="1:21" x14ac:dyDescent="0.2">
      <c r="A399" s="394"/>
      <c r="B399" s="63" t="s">
        <v>412</v>
      </c>
      <c r="C399" s="398" t="s">
        <v>726</v>
      </c>
      <c r="D399" s="406"/>
      <c r="E399" s="407"/>
      <c r="F399" s="185"/>
      <c r="G399" s="185"/>
      <c r="H399" s="185"/>
      <c r="I399" s="88"/>
      <c r="J399" s="348">
        <f>SUMIF(Journals!D$14:D$920,TrialBalance!P399,Journals!J$14:J$920)+SUMIF(Journals!E$14:E$920,TrialBalance!P399,Journals!J$14:J$920)</f>
        <v>0</v>
      </c>
      <c r="K399" s="409"/>
      <c r="L399" s="411">
        <f t="shared" si="105"/>
        <v>0</v>
      </c>
      <c r="M399" s="84"/>
      <c r="N399" s="57">
        <f t="shared" si="107"/>
        <v>0</v>
      </c>
      <c r="P399" s="197" t="str">
        <f t="shared" si="106"/>
        <v>9510/000--------------------------------------------------</v>
      </c>
      <c r="Q399" s="79"/>
      <c r="R399" s="34"/>
      <c r="S399" s="80"/>
      <c r="T399" s="60"/>
      <c r="U399" s="34"/>
    </row>
    <row r="400" spans="1:21" x14ac:dyDescent="0.2">
      <c r="A400" s="394"/>
      <c r="B400" s="63" t="s">
        <v>413</v>
      </c>
      <c r="C400" s="397" t="s">
        <v>1037</v>
      </c>
      <c r="D400" s="406"/>
      <c r="E400" s="406"/>
      <c r="F400" s="185">
        <f>TrialBalanceA!I400-TrialBalanceA!K400</f>
        <v>0</v>
      </c>
      <c r="G400" s="185">
        <f>TrialBalanceB!I400-TrialBalanceB!K400</f>
        <v>0</v>
      </c>
      <c r="H400" s="185">
        <f>TrialBalanceC!I400-TrialBalanceC!K400</f>
        <v>0</v>
      </c>
      <c r="I400" s="88"/>
      <c r="J400" s="348">
        <f>SUMIF(Journals!D$14:D$920,TrialBalance!P400,Journals!J$14:J$920)+SUMIF(Journals!E$14:E$920,TrialBalance!P400,Journals!J$14:J$920)</f>
        <v>0</v>
      </c>
      <c r="K400" s="409"/>
      <c r="L400" s="411">
        <f t="shared" si="105"/>
        <v>0</v>
      </c>
      <c r="M400" s="84"/>
      <c r="N400" s="57">
        <f t="shared" si="107"/>
        <v>0</v>
      </c>
      <c r="P400" s="197" t="str">
        <f t="shared" si="106"/>
        <v>9990/000Suspense account</v>
      </c>
      <c r="Q400" s="81"/>
      <c r="R400" s="34"/>
      <c r="S400" s="80"/>
      <c r="T400" s="60"/>
      <c r="U400" s="34"/>
    </row>
    <row r="401" spans="1:21" x14ac:dyDescent="0.2">
      <c r="A401" s="394"/>
      <c r="B401" s="63" t="s">
        <v>284</v>
      </c>
      <c r="C401" s="64" t="s">
        <v>284</v>
      </c>
      <c r="D401" s="92"/>
      <c r="E401" s="92"/>
      <c r="F401" s="187"/>
      <c r="G401" s="187"/>
      <c r="H401" s="187"/>
      <c r="I401" s="90"/>
      <c r="J401" s="56"/>
      <c r="K401" s="409"/>
      <c r="L401" s="411"/>
      <c r="M401" s="84"/>
      <c r="N401" s="57">
        <f t="shared" si="107"/>
        <v>0</v>
      </c>
      <c r="P401" s="197">
        <v>0</v>
      </c>
      <c r="Q401" s="79"/>
      <c r="S401" s="55"/>
      <c r="T401" s="55"/>
      <c r="U401" s="34"/>
    </row>
    <row r="402" spans="1:21" x14ac:dyDescent="0.2">
      <c r="A402" s="394"/>
      <c r="B402" s="63" t="s">
        <v>284</v>
      </c>
      <c r="C402" s="64" t="s">
        <v>284</v>
      </c>
      <c r="F402" s="188"/>
      <c r="G402" s="188"/>
      <c r="H402" s="188"/>
      <c r="I402" s="91"/>
      <c r="J402" s="56"/>
      <c r="K402" s="409"/>
      <c r="L402" s="411"/>
      <c r="M402" s="84"/>
      <c r="N402" s="57"/>
      <c r="P402" s="197">
        <v>0</v>
      </c>
      <c r="Q402" s="79"/>
      <c r="S402" s="82"/>
      <c r="T402" s="82"/>
      <c r="U402" s="34"/>
    </row>
    <row r="403" spans="1:21" ht="13.5" thickBot="1" x14ac:dyDescent="0.25">
      <c r="A403" s="50">
        <f>SUM(A5:A401)</f>
        <v>0</v>
      </c>
      <c r="B403" s="63" t="s">
        <v>284</v>
      </c>
      <c r="C403" s="64" t="s">
        <v>284</v>
      </c>
      <c r="D403" s="167">
        <f>SUM(D5:D402)</f>
        <v>0</v>
      </c>
      <c r="E403" s="167">
        <f>SUM(E5:E402)</f>
        <v>0</v>
      </c>
      <c r="F403" s="50">
        <f>SUM(F5:F402)</f>
        <v>0</v>
      </c>
      <c r="G403" s="50">
        <f>SUM(G5:G402)</f>
        <v>0</v>
      </c>
      <c r="H403" s="50">
        <f>SUM(H5:H402)</f>
        <v>0</v>
      </c>
      <c r="I403" s="50">
        <f>SUM(I5:I401)</f>
        <v>0</v>
      </c>
      <c r="J403" s="50">
        <f>ROUND(SUM(J5:J402),2)</f>
        <v>0</v>
      </c>
      <c r="K403" s="168"/>
      <c r="L403" s="167">
        <f>SUM(L5:L402)</f>
        <v>0</v>
      </c>
      <c r="M403" s="167"/>
      <c r="N403" s="50">
        <f>SUM(N5:N402)</f>
        <v>0</v>
      </c>
      <c r="P403" s="197">
        <v>0</v>
      </c>
      <c r="Q403" s="83"/>
      <c r="R403" s="83"/>
      <c r="S403" s="83"/>
      <c r="T403" s="83"/>
      <c r="U403" s="83"/>
    </row>
    <row r="404" spans="1:21" ht="13.5" thickTop="1" x14ac:dyDescent="0.2">
      <c r="A404" s="47"/>
      <c r="B404" s="51"/>
      <c r="C404" s="54"/>
      <c r="F404" s="48"/>
      <c r="G404" s="48"/>
      <c r="H404" s="48"/>
      <c r="I404" s="48"/>
      <c r="J404" s="48"/>
      <c r="K404" s="48"/>
      <c r="L404" s="212"/>
      <c r="M404" s="68"/>
      <c r="N404" s="47"/>
      <c r="S404" s="48"/>
      <c r="T404" s="48"/>
    </row>
    <row r="405" spans="1:21" x14ac:dyDescent="0.2">
      <c r="A405" s="47"/>
      <c r="B405" s="51"/>
      <c r="C405" s="54"/>
      <c r="F405" s="48"/>
      <c r="G405" s="48"/>
      <c r="H405" s="48"/>
      <c r="I405" s="48"/>
      <c r="J405" s="48"/>
      <c r="K405" s="48"/>
      <c r="N405" s="47"/>
      <c r="Q405" s="47"/>
      <c r="R405" s="47"/>
      <c r="S405" s="48"/>
      <c r="T405" s="48"/>
    </row>
    <row r="406" spans="1:21" x14ac:dyDescent="0.2">
      <c r="A406" s="47"/>
      <c r="B406" s="51"/>
      <c r="C406" s="54"/>
      <c r="F406" s="48"/>
      <c r="G406" s="48"/>
      <c r="H406" s="48"/>
      <c r="I406" s="48"/>
      <c r="J406" s="48"/>
      <c r="K406" s="48"/>
      <c r="N406" s="47"/>
      <c r="Q406" s="47"/>
      <c r="S406" s="48"/>
      <c r="T406" s="48"/>
    </row>
    <row r="407" spans="1:21" x14ac:dyDescent="0.2">
      <c r="A407" s="47"/>
      <c r="B407" s="51"/>
      <c r="C407" s="54"/>
      <c r="F407" s="48"/>
      <c r="G407" s="48"/>
      <c r="H407" s="48"/>
      <c r="I407" s="48"/>
      <c r="J407" s="48"/>
      <c r="K407" s="48"/>
      <c r="N407" s="47"/>
      <c r="S407" s="48"/>
      <c r="T407" s="48"/>
    </row>
    <row r="408" spans="1:21" x14ac:dyDescent="0.2">
      <c r="A408" s="47"/>
      <c r="B408" s="51"/>
      <c r="C408" s="54"/>
      <c r="F408" s="48"/>
      <c r="G408" s="48"/>
      <c r="H408" s="48"/>
      <c r="I408" s="48"/>
      <c r="J408" s="48"/>
      <c r="K408" s="48"/>
      <c r="N408" s="47"/>
      <c r="S408" s="48"/>
      <c r="T408" s="48"/>
    </row>
    <row r="409" spans="1:21" x14ac:dyDescent="0.2">
      <c r="A409" s="47"/>
      <c r="B409" s="51"/>
      <c r="C409" s="54"/>
      <c r="F409" s="48"/>
      <c r="G409" s="48"/>
      <c r="H409" s="48"/>
      <c r="I409" s="48"/>
      <c r="J409" s="48"/>
      <c r="K409" s="48"/>
      <c r="N409" s="51"/>
      <c r="S409" s="48"/>
      <c r="T409" s="48"/>
    </row>
    <row r="410" spans="1:21" x14ac:dyDescent="0.2">
      <c r="A410" s="47"/>
      <c r="B410" s="51"/>
      <c r="C410" s="54"/>
      <c r="F410" s="48"/>
      <c r="G410" s="48"/>
      <c r="H410" s="48"/>
      <c r="I410" s="48"/>
      <c r="J410" s="48"/>
      <c r="K410" s="48"/>
      <c r="N410" s="51"/>
      <c r="S410" s="48"/>
      <c r="T410" s="48"/>
    </row>
    <row r="411" spans="1:21" x14ac:dyDescent="0.2">
      <c r="A411" s="47"/>
      <c r="B411" s="51"/>
      <c r="C411" s="54"/>
      <c r="F411" s="48"/>
      <c r="G411" s="48"/>
      <c r="H411" s="48"/>
      <c r="I411" s="48"/>
      <c r="J411" s="48"/>
      <c r="K411" s="48"/>
      <c r="N411" s="51"/>
      <c r="S411" s="48"/>
      <c r="T411" s="48"/>
    </row>
    <row r="412" spans="1:21" x14ac:dyDescent="0.2">
      <c r="A412" s="47"/>
      <c r="B412" s="51"/>
      <c r="C412" s="54"/>
      <c r="F412" s="48"/>
      <c r="G412" s="48"/>
      <c r="H412" s="48"/>
      <c r="I412" s="48"/>
      <c r="J412" s="48"/>
      <c r="K412" s="48"/>
      <c r="N412" s="51"/>
      <c r="S412" s="48"/>
      <c r="T412" s="48"/>
    </row>
    <row r="413" spans="1:21" x14ac:dyDescent="0.2">
      <c r="A413" s="47"/>
      <c r="B413" s="51"/>
      <c r="C413" s="54"/>
      <c r="F413" s="48"/>
      <c r="G413" s="48"/>
      <c r="H413" s="48"/>
      <c r="I413" s="48"/>
      <c r="J413" s="48"/>
      <c r="K413" s="48"/>
      <c r="N413" s="51"/>
      <c r="S413" s="48"/>
      <c r="T413" s="48"/>
    </row>
    <row r="414" spans="1:21" x14ac:dyDescent="0.2">
      <c r="A414" s="47"/>
      <c r="B414" s="51"/>
      <c r="C414" s="54"/>
      <c r="F414" s="48"/>
      <c r="G414" s="48"/>
      <c r="H414" s="48"/>
      <c r="I414" s="48"/>
      <c r="J414" s="48"/>
      <c r="K414" s="48"/>
      <c r="N414" s="51"/>
      <c r="S414" s="48"/>
      <c r="T414" s="48"/>
    </row>
    <row r="415" spans="1:21" x14ac:dyDescent="0.2">
      <c r="A415" s="47"/>
      <c r="B415" s="51"/>
      <c r="C415" s="54"/>
      <c r="F415" s="48"/>
      <c r="G415" s="48"/>
      <c r="H415" s="48"/>
      <c r="I415" s="48"/>
      <c r="J415" s="48"/>
      <c r="K415" s="48"/>
      <c r="N415" s="51"/>
      <c r="S415" s="48"/>
      <c r="T415" s="48"/>
    </row>
    <row r="416" spans="1:21" x14ac:dyDescent="0.2">
      <c r="A416" s="47"/>
      <c r="B416" s="51"/>
      <c r="C416" s="54"/>
      <c r="F416" s="48"/>
      <c r="G416" s="48"/>
      <c r="H416" s="48"/>
      <c r="I416" s="48"/>
      <c r="J416" s="48"/>
      <c r="K416" s="48"/>
      <c r="N416" s="51"/>
      <c r="S416" s="48"/>
      <c r="T416" s="48"/>
    </row>
    <row r="417" spans="1:20" x14ac:dyDescent="0.2">
      <c r="A417" s="47"/>
      <c r="B417" s="51"/>
      <c r="C417" s="54"/>
      <c r="F417" s="48"/>
      <c r="G417" s="48"/>
      <c r="H417" s="48"/>
      <c r="I417" s="48"/>
      <c r="J417" s="48"/>
      <c r="K417" s="48"/>
      <c r="N417" s="51"/>
      <c r="S417" s="48"/>
      <c r="T417" s="48"/>
    </row>
    <row r="418" spans="1:20" x14ac:dyDescent="0.2">
      <c r="A418" s="47"/>
      <c r="B418" s="51"/>
      <c r="C418" s="54"/>
      <c r="F418" s="48"/>
      <c r="G418" s="48"/>
      <c r="H418" s="48"/>
      <c r="I418" s="48"/>
      <c r="J418" s="48"/>
      <c r="K418" s="48"/>
      <c r="N418" s="51"/>
      <c r="S418" s="48" t="s">
        <v>120</v>
      </c>
      <c r="T418" s="48" t="s">
        <v>120</v>
      </c>
    </row>
    <row r="419" spans="1:20" x14ac:dyDescent="0.2">
      <c r="A419" s="47"/>
      <c r="B419" s="51"/>
      <c r="C419" s="54"/>
      <c r="F419" s="48"/>
      <c r="G419" s="48"/>
      <c r="H419" s="48"/>
      <c r="I419" s="48"/>
      <c r="J419" s="48"/>
      <c r="K419" s="48"/>
      <c r="N419" s="51"/>
      <c r="S419" s="48" t="s">
        <v>120</v>
      </c>
      <c r="T419" s="48" t="s">
        <v>120</v>
      </c>
    </row>
    <row r="420" spans="1:20" x14ac:dyDescent="0.2">
      <c r="A420" s="47"/>
      <c r="B420" s="51"/>
      <c r="C420" s="54"/>
      <c r="F420" s="48"/>
      <c r="G420" s="48"/>
      <c r="H420" s="48"/>
      <c r="I420" s="48"/>
      <c r="J420" s="48"/>
      <c r="K420" s="48"/>
      <c r="N420" s="51"/>
      <c r="S420" s="48" t="s">
        <v>120</v>
      </c>
      <c r="T420" s="48" t="s">
        <v>120</v>
      </c>
    </row>
    <row r="421" spans="1:20" x14ac:dyDescent="0.2">
      <c r="A421" s="47"/>
      <c r="B421" s="51"/>
      <c r="C421" s="54"/>
      <c r="F421" s="48"/>
      <c r="G421" s="48"/>
      <c r="H421" s="48"/>
      <c r="I421" s="48"/>
      <c r="J421" s="48"/>
      <c r="K421" s="48"/>
      <c r="N421" s="51"/>
      <c r="S421" s="48" t="s">
        <v>120</v>
      </c>
      <c r="T421" s="48" t="s">
        <v>120</v>
      </c>
    </row>
    <row r="422" spans="1:20" x14ac:dyDescent="0.2">
      <c r="A422" s="47"/>
      <c r="B422" s="51"/>
      <c r="C422" s="54"/>
      <c r="F422" s="48"/>
      <c r="G422" s="48"/>
      <c r="H422" s="48"/>
      <c r="I422" s="48"/>
      <c r="J422" s="48"/>
      <c r="K422" s="48"/>
      <c r="N422" s="51"/>
      <c r="S422" s="48" t="s">
        <v>120</v>
      </c>
      <c r="T422" s="48" t="s">
        <v>120</v>
      </c>
    </row>
    <row r="423" spans="1:20" x14ac:dyDescent="0.2">
      <c r="A423" s="47"/>
      <c r="B423" s="51"/>
      <c r="C423" s="54"/>
      <c r="F423" s="48"/>
      <c r="G423" s="48"/>
      <c r="H423" s="48"/>
      <c r="I423" s="48"/>
      <c r="J423" s="48"/>
      <c r="K423" s="48"/>
      <c r="N423" s="51"/>
      <c r="S423" s="48"/>
      <c r="T423" s="48"/>
    </row>
    <row r="424" spans="1:20" x14ac:dyDescent="0.2">
      <c r="A424" s="47"/>
      <c r="B424" s="51"/>
      <c r="C424" s="54"/>
      <c r="F424" s="48"/>
      <c r="G424" s="48"/>
      <c r="H424" s="48"/>
      <c r="I424" s="48"/>
      <c r="J424" s="48"/>
      <c r="K424" s="48"/>
      <c r="N424" s="51"/>
      <c r="S424" s="48"/>
      <c r="T424" s="48"/>
    </row>
    <row r="425" spans="1:20" x14ac:dyDescent="0.2">
      <c r="A425" s="47"/>
      <c r="B425" s="51"/>
      <c r="C425" s="54"/>
      <c r="F425" s="48"/>
      <c r="G425" s="48"/>
      <c r="H425" s="48"/>
      <c r="I425" s="48"/>
      <c r="J425" s="48"/>
      <c r="K425" s="48"/>
      <c r="N425" s="51"/>
      <c r="S425" s="48"/>
      <c r="T425" s="48"/>
    </row>
    <row r="426" spans="1:20" x14ac:dyDescent="0.2">
      <c r="A426" s="47"/>
      <c r="B426" s="51"/>
      <c r="C426" s="54"/>
      <c r="F426" s="48"/>
      <c r="G426" s="48"/>
      <c r="H426" s="48"/>
      <c r="I426" s="48"/>
      <c r="J426" s="48"/>
      <c r="K426" s="48"/>
      <c r="N426" s="51"/>
      <c r="S426" s="48"/>
      <c r="T426" s="48"/>
    </row>
    <row r="427" spans="1:20" x14ac:dyDescent="0.2">
      <c r="A427" s="47"/>
      <c r="B427" s="51"/>
      <c r="C427" s="54"/>
      <c r="F427" s="48"/>
      <c r="G427" s="48"/>
      <c r="H427" s="48"/>
      <c r="I427" s="48"/>
      <c r="J427" s="48"/>
      <c r="K427" s="48"/>
      <c r="N427" s="51"/>
      <c r="S427" s="48"/>
      <c r="T427" s="48"/>
    </row>
    <row r="428" spans="1:20" x14ac:dyDescent="0.2">
      <c r="A428" s="47"/>
      <c r="B428" s="51"/>
      <c r="C428" s="54"/>
      <c r="F428" s="48"/>
      <c r="G428" s="48"/>
      <c r="H428" s="48"/>
      <c r="I428" s="48"/>
      <c r="J428" s="48"/>
      <c r="K428" s="48"/>
      <c r="N428" s="51"/>
      <c r="S428" s="48"/>
      <c r="T428" s="48"/>
    </row>
    <row r="429" spans="1:20" x14ac:dyDescent="0.2">
      <c r="A429" s="47"/>
      <c r="B429" s="51"/>
      <c r="C429" s="54"/>
      <c r="F429" s="48"/>
      <c r="G429" s="48"/>
      <c r="H429" s="48"/>
      <c r="I429" s="48"/>
      <c r="J429" s="48"/>
      <c r="K429" s="48"/>
      <c r="N429" s="51"/>
      <c r="S429" s="48"/>
      <c r="T429" s="48"/>
    </row>
    <row r="430" spans="1:20" x14ac:dyDescent="0.2">
      <c r="A430" s="47"/>
      <c r="B430" s="51"/>
      <c r="C430" s="54"/>
      <c r="F430" s="48"/>
      <c r="G430" s="48"/>
      <c r="H430" s="48"/>
      <c r="I430" s="48"/>
      <c r="J430" s="48"/>
      <c r="K430" s="48"/>
      <c r="N430" s="51"/>
      <c r="S430" s="48"/>
      <c r="T430" s="48"/>
    </row>
    <row r="431" spans="1:20" x14ac:dyDescent="0.2">
      <c r="A431" s="47"/>
      <c r="B431" s="51"/>
      <c r="C431" s="54"/>
      <c r="F431" s="48"/>
      <c r="G431" s="48"/>
      <c r="H431" s="48"/>
      <c r="I431" s="48"/>
      <c r="J431" s="48"/>
      <c r="K431" s="48"/>
      <c r="N431" s="51"/>
      <c r="S431" s="48"/>
      <c r="T431" s="48"/>
    </row>
    <row r="432" spans="1:20" x14ac:dyDescent="0.2">
      <c r="A432" s="47"/>
      <c r="B432" s="51"/>
      <c r="C432" s="54"/>
      <c r="F432" s="48"/>
      <c r="G432" s="48"/>
      <c r="H432" s="48"/>
      <c r="I432" s="48"/>
      <c r="J432" s="48"/>
      <c r="K432" s="48"/>
      <c r="N432" s="51"/>
      <c r="S432" s="48"/>
      <c r="T432" s="48"/>
    </row>
    <row r="433" spans="1:20" x14ac:dyDescent="0.2">
      <c r="A433" s="47"/>
      <c r="B433" s="51"/>
      <c r="C433" s="54"/>
      <c r="F433" s="48"/>
      <c r="G433" s="48"/>
      <c r="H433" s="48"/>
      <c r="I433" s="48"/>
      <c r="J433" s="48"/>
      <c r="K433" s="48"/>
      <c r="N433" s="51"/>
      <c r="S433" s="48"/>
      <c r="T433" s="48"/>
    </row>
    <row r="434" spans="1:20" x14ac:dyDescent="0.2">
      <c r="A434" s="47"/>
      <c r="B434" s="51"/>
      <c r="C434" s="54"/>
      <c r="F434" s="48"/>
      <c r="G434" s="48"/>
      <c r="H434" s="48"/>
      <c r="I434" s="48"/>
      <c r="J434" s="48"/>
      <c r="K434" s="48"/>
      <c r="N434" s="51"/>
      <c r="S434" s="48"/>
      <c r="T434" s="48"/>
    </row>
    <row r="435" spans="1:20" x14ac:dyDescent="0.2">
      <c r="A435" s="47"/>
      <c r="B435" s="51"/>
      <c r="C435" s="54"/>
      <c r="F435" s="48"/>
      <c r="G435" s="48"/>
      <c r="H435" s="48"/>
      <c r="I435" s="48"/>
      <c r="J435" s="48"/>
      <c r="K435" s="48"/>
      <c r="N435" s="51"/>
      <c r="S435" s="48"/>
      <c r="T435" s="48"/>
    </row>
    <row r="436" spans="1:20" x14ac:dyDescent="0.2">
      <c r="A436" s="47"/>
      <c r="B436" s="51"/>
      <c r="C436" s="54"/>
      <c r="F436" s="48"/>
      <c r="G436" s="48"/>
      <c r="H436" s="48"/>
      <c r="I436" s="48"/>
      <c r="J436" s="48"/>
      <c r="K436" s="48"/>
      <c r="N436" s="51"/>
      <c r="S436" s="48"/>
      <c r="T436" s="48"/>
    </row>
    <row r="437" spans="1:20" x14ac:dyDescent="0.2">
      <c r="A437" s="47"/>
      <c r="B437" s="51"/>
      <c r="C437" s="54"/>
      <c r="J437" s="48"/>
      <c r="K437" s="48"/>
      <c r="N437" s="51"/>
      <c r="S437" s="48"/>
      <c r="T437" s="48"/>
    </row>
    <row r="438" spans="1:20" x14ac:dyDescent="0.2">
      <c r="S438" s="16"/>
      <c r="T438" s="16"/>
    </row>
  </sheetData>
  <sheetProtection algorithmName="SHA-512" hashValue="ZPw5r3gftG08IdCXBP+E5G+x9D4cXd7Z4odGnve00abHuTfYFgpEbIWDWuM9tj6ZdynOkDeH0dYoJdDZGIL5ZQ==" saltValue="4v73rbGjuFiNAOoYNiklQw=="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4" location="ILoans!A1" display="WP" xr:uid="{DD87B0AE-34D9-4D00-AB47-B83757DB3EF3}"/>
    <hyperlink ref="K201" location="IFree!A1" display="WP" xr:uid="{EBC7A37C-A0A1-4933-9F09-264DF5AE3E05}"/>
    <hyperlink ref="K219" location="DTax!A1" display="WP" xr:uid="{6F3EFCA6-E697-48C3-AA8B-24CB9EC5356F}"/>
    <hyperlink ref="K358" location="Debtors!A1" display="WP" xr:uid="{9F5C3B23-ADE7-47AB-954D-44A0A51647C9}"/>
    <hyperlink ref="K365" location="Bank!A1" display="WP" xr:uid="{25E5B14C-73E5-46CC-9AE7-665F91E823BA}"/>
    <hyperlink ref="K353" location="Stock!A1" display="WP" xr:uid="{E207814A-5583-41E1-A4B9-6710A6A6D009}"/>
    <hyperlink ref="K378" location="Creditors!A1" display="WP" xr:uid="{0153CB00-D817-4D55-81DD-38CAA6BE29AA}"/>
    <hyperlink ref="K398"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8" location="FARegister!A1" display="WP" xr:uid="{5BCD2976-2EFF-4A4C-8142-77F58A56FDFE}"/>
    <hyperlink ref="K341" location="'NC Receivables'!A1" display="WP" xr:uid="{FB622B72-1B11-4EAA-9D36-583540A80C84}"/>
    <hyperlink ref="K40" location="Expenses!A1" display="WP" xr:uid="{CB3BDD2B-899A-493D-826A-A5914CECC940}"/>
    <hyperlink ref="K50" location="Expenses!A22" display="WP" xr:uid="{FECFF1A1-097F-42CD-855C-69383FE7C65C}"/>
    <hyperlink ref="Q3" location="Analytical!A1" display="Analytical!A1" xr:uid="{02C9D9D3-F36D-4372-9049-28C768BF1AF6}"/>
    <hyperlink ref="B5" location="bank2!A1" display="1000/001" xr:uid="{4BF3B5E5-8BA2-4C65-BF74-0BA6D84ED1F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44"/>
      <c r="I1" s="44"/>
    </row>
    <row r="2" spans="1:13" x14ac:dyDescent="0.25">
      <c r="C2" s="3" t="str">
        <f>Criteria!E9</f>
        <v>ABC COMPANY (PROPRIETARY) LIMITED</v>
      </c>
    </row>
    <row r="3" spans="1:13" x14ac:dyDescent="0.25">
      <c r="H3" s="86" t="s">
        <v>101</v>
      </c>
      <c r="I3" s="86"/>
    </row>
    <row r="4" spans="1:13" x14ac:dyDescent="0.25">
      <c r="C4" s="3" t="s">
        <v>100</v>
      </c>
      <c r="D4" s="44" t="str">
        <f>Criteria!E20</f>
        <v>29 FEBRUARY 2024</v>
      </c>
    </row>
    <row r="5" spans="1:13" x14ac:dyDescent="0.25">
      <c r="H5" s="86" t="s">
        <v>102</v>
      </c>
      <c r="I5" s="86"/>
    </row>
    <row r="6" spans="1:13" x14ac:dyDescent="0.25">
      <c r="C6" s="3" t="s">
        <v>204</v>
      </c>
      <c r="H6" s="44"/>
      <c r="I6" s="44"/>
    </row>
    <row r="7" spans="1:13" x14ac:dyDescent="0.25">
      <c r="C7" s="7"/>
      <c r="D7" s="7"/>
      <c r="E7" s="7"/>
      <c r="F7" s="87"/>
      <c r="G7" s="87"/>
      <c r="H7" s="87"/>
      <c r="I7" s="87"/>
    </row>
    <row r="8" spans="1:13" x14ac:dyDescent="0.25">
      <c r="D8" s="9" t="str">
        <f>IF(F8=0," ","OUT OF BALANCE")</f>
        <v xml:space="preserve"> </v>
      </c>
      <c r="E8" s="9"/>
      <c r="F8" s="4">
        <f>ROUND(F484-G484+H484-I484,2)</f>
        <v>0</v>
      </c>
    </row>
    <row r="9" spans="1:13" x14ac:dyDescent="0.25">
      <c r="D9" s="9" t="s">
        <v>354</v>
      </c>
      <c r="E9" s="9"/>
      <c r="F9" s="4">
        <f>F486</f>
        <v>0</v>
      </c>
    </row>
    <row r="10" spans="1:13" x14ac:dyDescent="0.25">
      <c r="D10" s="9"/>
      <c r="E10" s="9"/>
    </row>
    <row r="11" spans="1:13" x14ac:dyDescent="0.25">
      <c r="A11" s="43" t="s">
        <v>328</v>
      </c>
      <c r="F11" s="708"/>
      <c r="G11" s="708"/>
      <c r="H11" s="708"/>
      <c r="I11" s="708"/>
    </row>
    <row r="12" spans="1:13" x14ac:dyDescent="0.25">
      <c r="A12" s="43" t="s">
        <v>772</v>
      </c>
      <c r="F12" s="708" t="s">
        <v>417</v>
      </c>
      <c r="G12" s="708"/>
      <c r="H12" s="708" t="s">
        <v>116</v>
      </c>
      <c r="I12" s="708"/>
    </row>
    <row r="13" spans="1:13" x14ac:dyDescent="0.25">
      <c r="A13" s="43" t="s">
        <v>329</v>
      </c>
      <c r="B13" s="35" t="s">
        <v>882</v>
      </c>
      <c r="C13" s="35" t="s">
        <v>282</v>
      </c>
      <c r="D13" s="35" t="s">
        <v>301</v>
      </c>
      <c r="E13" s="35" t="s">
        <v>490</v>
      </c>
      <c r="F13" s="25" t="s">
        <v>285</v>
      </c>
      <c r="G13" s="25" t="s">
        <v>286</v>
      </c>
      <c r="H13" s="25" t="s">
        <v>285</v>
      </c>
      <c r="I13" s="25" t="s">
        <v>286</v>
      </c>
    </row>
    <row r="14" spans="1:13" x14ac:dyDescent="0.25">
      <c r="A14" s="43"/>
    </row>
    <row r="15" spans="1:13" x14ac:dyDescent="0.25">
      <c r="A15" s="43" t="str">
        <f t="shared" ref="A15:A78" si="0">IF(COUNTIF(K15:M15,"ERROR")&gt;0,"ERROR"," ")</f>
        <v xml:space="preserve"> </v>
      </c>
      <c r="B15" s="5">
        <v>1</v>
      </c>
      <c r="C15" s="2" t="s">
        <v>1641</v>
      </c>
      <c r="D15" s="42" t="s">
        <v>1642</v>
      </c>
      <c r="E15" s="42"/>
      <c r="F15" s="4">
        <f>FS!O2808</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43" t="str">
        <f t="shared" si="0"/>
        <v xml:space="preserve"> </v>
      </c>
      <c r="B16" s="28"/>
      <c r="D16" s="42"/>
      <c r="E16" s="42" t="s">
        <v>1643</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43" t="str">
        <f t="shared" si="0"/>
        <v xml:space="preserve"> </v>
      </c>
      <c r="D17" s="42"/>
      <c r="E17" s="42"/>
      <c r="J17" s="17">
        <f t="shared" si="1"/>
        <v>0</v>
      </c>
      <c r="K17" s="2" t="str">
        <f t="shared" si="2"/>
        <v xml:space="preserve"> </v>
      </c>
      <c r="L17" s="2" t="str">
        <f t="shared" si="3"/>
        <v xml:space="preserve"> </v>
      </c>
      <c r="M17" s="2" t="str">
        <f t="shared" si="4"/>
        <v xml:space="preserve"> </v>
      </c>
    </row>
    <row r="18" spans="1:13" x14ac:dyDescent="0.25">
      <c r="A18" s="43" t="str">
        <f t="shared" si="0"/>
        <v xml:space="preserve"> </v>
      </c>
      <c r="B18" s="5">
        <v>2</v>
      </c>
      <c r="C18" s="2" t="s">
        <v>1644</v>
      </c>
      <c r="D18" s="42" t="s">
        <v>1645</v>
      </c>
      <c r="E18" s="42"/>
      <c r="F18" s="4">
        <f>DTax!K36</f>
        <v>0</v>
      </c>
      <c r="J18" s="17">
        <f t="shared" si="1"/>
        <v>0</v>
      </c>
      <c r="K18" s="2" t="str">
        <f t="shared" si="2"/>
        <v xml:space="preserve"> </v>
      </c>
      <c r="L18" s="2" t="str">
        <f t="shared" si="3"/>
        <v xml:space="preserve"> </v>
      </c>
      <c r="M18" s="2" t="str">
        <f t="shared" si="4"/>
        <v xml:space="preserve"> </v>
      </c>
    </row>
    <row r="19" spans="1:13" x14ac:dyDescent="0.25">
      <c r="A19" s="43" t="str">
        <f t="shared" si="0"/>
        <v xml:space="preserve"> </v>
      </c>
      <c r="D19" s="42"/>
      <c r="E19" s="42" t="s">
        <v>1646</v>
      </c>
      <c r="I19" s="4">
        <f>DTax!K27</f>
        <v>0</v>
      </c>
      <c r="J19" s="17">
        <f t="shared" si="1"/>
        <v>0</v>
      </c>
      <c r="K19" s="2" t="str">
        <f t="shared" si="2"/>
        <v xml:space="preserve"> </v>
      </c>
      <c r="L19" s="2" t="str">
        <f t="shared" si="3"/>
        <v xml:space="preserve"> </v>
      </c>
      <c r="M19" s="2" t="str">
        <f t="shared" si="4"/>
        <v xml:space="preserve"> </v>
      </c>
    </row>
    <row r="20" spans="1:13" x14ac:dyDescent="0.25">
      <c r="A20" s="43" t="str">
        <f t="shared" si="0"/>
        <v xml:space="preserve"> </v>
      </c>
      <c r="B20" s="28"/>
      <c r="D20" s="42"/>
      <c r="E20" s="42" t="s">
        <v>1647</v>
      </c>
      <c r="I20" s="4">
        <f>DTax!K34</f>
        <v>0</v>
      </c>
      <c r="J20" s="17">
        <f t="shared" si="1"/>
        <v>0</v>
      </c>
      <c r="K20" s="2" t="str">
        <f t="shared" si="2"/>
        <v xml:space="preserve"> </v>
      </c>
      <c r="L20" s="2" t="str">
        <f t="shared" si="3"/>
        <v xml:space="preserve"> </v>
      </c>
      <c r="M20" s="2" t="str">
        <f t="shared" si="4"/>
        <v xml:space="preserve"> </v>
      </c>
    </row>
    <row r="21" spans="1:13" x14ac:dyDescent="0.25">
      <c r="A21" s="43" t="str">
        <f t="shared" si="0"/>
        <v xml:space="preserve"> </v>
      </c>
      <c r="D21" s="42" t="s">
        <v>1648</v>
      </c>
      <c r="E21" s="42"/>
      <c r="F21" s="4">
        <f>DTax!L36</f>
        <v>0</v>
      </c>
      <c r="J21" s="17">
        <f t="shared" si="1"/>
        <v>0</v>
      </c>
      <c r="K21" s="2" t="str">
        <f t="shared" si="2"/>
        <v xml:space="preserve"> </v>
      </c>
      <c r="L21" s="2" t="str">
        <f t="shared" si="3"/>
        <v xml:space="preserve"> </v>
      </c>
      <c r="M21" s="2" t="str">
        <f t="shared" si="4"/>
        <v xml:space="preserve"> </v>
      </c>
    </row>
    <row r="22" spans="1:13" x14ac:dyDescent="0.25">
      <c r="A22" s="43" t="str">
        <f t="shared" si="0"/>
        <v xml:space="preserve"> </v>
      </c>
      <c r="D22" s="42"/>
      <c r="E22" s="42" t="s">
        <v>1649</v>
      </c>
      <c r="I22" s="4">
        <f>DTax!L25</f>
        <v>0</v>
      </c>
      <c r="J22" s="17">
        <f t="shared" si="1"/>
        <v>0</v>
      </c>
      <c r="K22" s="2" t="str">
        <f t="shared" si="2"/>
        <v xml:space="preserve"> </v>
      </c>
      <c r="L22" s="2" t="str">
        <f t="shared" si="3"/>
        <v xml:space="preserve"> </v>
      </c>
      <c r="M22" s="2" t="str">
        <f t="shared" si="4"/>
        <v xml:space="preserve"> </v>
      </c>
    </row>
    <row r="23" spans="1:13" x14ac:dyDescent="0.25">
      <c r="A23" s="43" t="str">
        <f t="shared" si="0"/>
        <v xml:space="preserve"> </v>
      </c>
      <c r="D23" s="42"/>
      <c r="E23" s="42" t="s">
        <v>1650</v>
      </c>
      <c r="I23" s="4">
        <f>DTax!L32</f>
        <v>0</v>
      </c>
      <c r="J23" s="17">
        <f t="shared" si="1"/>
        <v>0</v>
      </c>
      <c r="K23" s="2" t="str">
        <f t="shared" si="2"/>
        <v xml:space="preserve"> </v>
      </c>
      <c r="L23" s="2" t="str">
        <f t="shared" si="3"/>
        <v xml:space="preserve"> </v>
      </c>
      <c r="M23" s="2" t="str">
        <f t="shared" si="4"/>
        <v xml:space="preserve"> </v>
      </c>
    </row>
    <row r="24" spans="1:13" x14ac:dyDescent="0.25">
      <c r="A24" s="43" t="str">
        <f t="shared" si="0"/>
        <v xml:space="preserve"> </v>
      </c>
      <c r="D24" s="42" t="s">
        <v>1651</v>
      </c>
      <c r="E24" s="42"/>
      <c r="F24" s="4">
        <f>DTax!J36</f>
        <v>0</v>
      </c>
      <c r="J24" s="17">
        <f t="shared" si="1"/>
        <v>0</v>
      </c>
      <c r="K24" s="2" t="str">
        <f t="shared" si="2"/>
        <v xml:space="preserve"> </v>
      </c>
      <c r="L24" s="2" t="str">
        <f t="shared" si="3"/>
        <v xml:space="preserve"> </v>
      </c>
      <c r="M24" s="2" t="str">
        <f t="shared" si="4"/>
        <v xml:space="preserve"> </v>
      </c>
    </row>
    <row r="25" spans="1:13" x14ac:dyDescent="0.25">
      <c r="A25" s="43" t="str">
        <f t="shared" si="0"/>
        <v xml:space="preserve"> </v>
      </c>
      <c r="B25" s="28"/>
      <c r="D25" s="42"/>
      <c r="E25" s="42" t="s">
        <v>1652</v>
      </c>
      <c r="I25" s="4">
        <f>DTax!J25</f>
        <v>0</v>
      </c>
      <c r="J25" s="17">
        <f t="shared" si="1"/>
        <v>0</v>
      </c>
      <c r="K25" s="2" t="str">
        <f t="shared" si="2"/>
        <v xml:space="preserve"> </v>
      </c>
      <c r="L25" s="2" t="str">
        <f t="shared" si="3"/>
        <v xml:space="preserve"> </v>
      </c>
      <c r="M25" s="2" t="str">
        <f t="shared" si="4"/>
        <v xml:space="preserve"> </v>
      </c>
    </row>
    <row r="26" spans="1:13" x14ac:dyDescent="0.25">
      <c r="A26" s="43" t="str">
        <f t="shared" si="0"/>
        <v xml:space="preserve"> </v>
      </c>
      <c r="D26" s="42"/>
      <c r="E26" s="42" t="s">
        <v>1653</v>
      </c>
      <c r="I26" s="4">
        <f>DTax!J32</f>
        <v>0</v>
      </c>
      <c r="J26" s="17">
        <f t="shared" si="1"/>
        <v>0</v>
      </c>
      <c r="K26" s="2" t="str">
        <f t="shared" si="2"/>
        <v xml:space="preserve"> </v>
      </c>
      <c r="L26" s="2" t="str">
        <f t="shared" si="3"/>
        <v xml:space="preserve"> </v>
      </c>
      <c r="M26" s="2" t="str">
        <f t="shared" si="4"/>
        <v xml:space="preserve"> </v>
      </c>
    </row>
    <row r="27" spans="1:13" x14ac:dyDescent="0.25">
      <c r="A27" s="43" t="str">
        <f t="shared" si="0"/>
        <v xml:space="preserve"> </v>
      </c>
      <c r="D27" s="42"/>
      <c r="E27" s="42"/>
      <c r="J27" s="17">
        <f t="shared" si="1"/>
        <v>0</v>
      </c>
      <c r="K27" s="2" t="str">
        <f t="shared" si="2"/>
        <v xml:space="preserve"> </v>
      </c>
      <c r="L27" s="2" t="str">
        <f t="shared" si="3"/>
        <v xml:space="preserve"> </v>
      </c>
      <c r="M27" s="2" t="str">
        <f t="shared" si="4"/>
        <v xml:space="preserve"> </v>
      </c>
    </row>
    <row r="28" spans="1:13" x14ac:dyDescent="0.25">
      <c r="A28" s="43" t="str">
        <f t="shared" si="0"/>
        <v xml:space="preserve"> </v>
      </c>
      <c r="D28" s="42"/>
      <c r="E28" s="42"/>
      <c r="J28" s="17">
        <f t="shared" si="1"/>
        <v>0</v>
      </c>
      <c r="K28" s="2" t="str">
        <f t="shared" si="2"/>
        <v xml:space="preserve"> </v>
      </c>
      <c r="L28" s="2" t="str">
        <f t="shared" si="3"/>
        <v xml:space="preserve"> </v>
      </c>
      <c r="M28" s="2" t="str">
        <f t="shared" si="4"/>
        <v xml:space="preserve"> </v>
      </c>
    </row>
    <row r="29" spans="1:13" x14ac:dyDescent="0.25">
      <c r="A29" s="43" t="str">
        <f t="shared" si="0"/>
        <v xml:space="preserve"> </v>
      </c>
      <c r="D29" s="42"/>
      <c r="E29" s="42"/>
      <c r="J29" s="17">
        <f t="shared" si="1"/>
        <v>0</v>
      </c>
      <c r="K29" s="2" t="str">
        <f t="shared" si="2"/>
        <v xml:space="preserve"> </v>
      </c>
      <c r="L29" s="2" t="str">
        <f t="shared" si="3"/>
        <v xml:space="preserve"> </v>
      </c>
      <c r="M29" s="2" t="str">
        <f t="shared" si="4"/>
        <v xml:space="preserve"> </v>
      </c>
    </row>
    <row r="30" spans="1:13" x14ac:dyDescent="0.25">
      <c r="A30" s="43" t="str">
        <f t="shared" si="0"/>
        <v xml:space="preserve"> </v>
      </c>
      <c r="D30" s="42"/>
      <c r="E30" s="42"/>
      <c r="J30" s="17">
        <f t="shared" si="1"/>
        <v>0</v>
      </c>
      <c r="K30" s="2" t="str">
        <f t="shared" si="2"/>
        <v xml:space="preserve"> </v>
      </c>
      <c r="L30" s="2" t="str">
        <f t="shared" si="3"/>
        <v xml:space="preserve"> </v>
      </c>
      <c r="M30" s="2" t="str">
        <f t="shared" si="4"/>
        <v xml:space="preserve"> </v>
      </c>
    </row>
    <row r="31" spans="1:13" x14ac:dyDescent="0.25">
      <c r="A31" s="43" t="str">
        <f t="shared" si="0"/>
        <v xml:space="preserve"> </v>
      </c>
      <c r="D31" s="42"/>
      <c r="E31" s="42"/>
      <c r="J31" s="17">
        <f t="shared" si="1"/>
        <v>0</v>
      </c>
      <c r="K31" s="2" t="str">
        <f t="shared" si="2"/>
        <v xml:space="preserve"> </v>
      </c>
      <c r="L31" s="2" t="str">
        <f t="shared" si="3"/>
        <v xml:space="preserve"> </v>
      </c>
      <c r="M31" s="2" t="str">
        <f t="shared" si="4"/>
        <v xml:space="preserve"> </v>
      </c>
    </row>
    <row r="32" spans="1:13" x14ac:dyDescent="0.25">
      <c r="A32" s="43" t="str">
        <f t="shared" si="0"/>
        <v xml:space="preserve"> </v>
      </c>
      <c r="D32" s="42"/>
      <c r="E32" s="42"/>
      <c r="J32" s="17">
        <f t="shared" si="1"/>
        <v>0</v>
      </c>
      <c r="K32" s="2" t="str">
        <f t="shared" si="2"/>
        <v xml:space="preserve"> </v>
      </c>
      <c r="L32" s="2" t="str">
        <f t="shared" si="3"/>
        <v xml:space="preserve"> </v>
      </c>
      <c r="M32" s="2" t="str">
        <f t="shared" si="4"/>
        <v xml:space="preserve"> </v>
      </c>
    </row>
    <row r="33" spans="1:13" x14ac:dyDescent="0.25">
      <c r="A33" s="43" t="str">
        <f t="shared" si="0"/>
        <v xml:space="preserve"> </v>
      </c>
      <c r="D33" s="42"/>
      <c r="E33" s="42"/>
      <c r="J33" s="17">
        <f t="shared" si="1"/>
        <v>0</v>
      </c>
      <c r="K33" s="2" t="str">
        <f t="shared" si="2"/>
        <v xml:space="preserve"> </v>
      </c>
      <c r="L33" s="2" t="str">
        <f t="shared" si="3"/>
        <v xml:space="preserve"> </v>
      </c>
      <c r="M33" s="2" t="str">
        <f t="shared" si="4"/>
        <v xml:space="preserve"> </v>
      </c>
    </row>
    <row r="34" spans="1:13" x14ac:dyDescent="0.25">
      <c r="A34" s="43" t="str">
        <f t="shared" si="0"/>
        <v xml:space="preserve"> </v>
      </c>
      <c r="D34" s="42"/>
      <c r="E34" s="42"/>
      <c r="J34" s="17">
        <f t="shared" si="1"/>
        <v>0</v>
      </c>
      <c r="K34" s="2" t="str">
        <f t="shared" si="2"/>
        <v xml:space="preserve"> </v>
      </c>
      <c r="L34" s="2" t="str">
        <f t="shared" si="3"/>
        <v xml:space="preserve"> </v>
      </c>
      <c r="M34" s="2" t="str">
        <f t="shared" si="4"/>
        <v xml:space="preserve"> </v>
      </c>
    </row>
    <row r="35" spans="1:13" x14ac:dyDescent="0.25">
      <c r="A35" s="43" t="str">
        <f t="shared" si="0"/>
        <v xml:space="preserve"> </v>
      </c>
      <c r="D35" s="42"/>
      <c r="E35" s="42"/>
      <c r="J35" s="17">
        <f t="shared" si="1"/>
        <v>0</v>
      </c>
      <c r="K35" s="2" t="str">
        <f t="shared" si="2"/>
        <v xml:space="preserve"> </v>
      </c>
      <c r="L35" s="2" t="str">
        <f t="shared" si="3"/>
        <v xml:space="preserve"> </v>
      </c>
      <c r="M35" s="2" t="str">
        <f t="shared" si="4"/>
        <v xml:space="preserve"> </v>
      </c>
    </row>
    <row r="36" spans="1:13" x14ac:dyDescent="0.25">
      <c r="A36" s="43" t="str">
        <f t="shared" si="0"/>
        <v xml:space="preserve"> </v>
      </c>
      <c r="D36" s="42"/>
      <c r="E36" s="42"/>
      <c r="J36" s="17">
        <f t="shared" si="1"/>
        <v>0</v>
      </c>
      <c r="K36" s="2" t="str">
        <f t="shared" si="2"/>
        <v xml:space="preserve"> </v>
      </c>
      <c r="L36" s="2" t="str">
        <f t="shared" si="3"/>
        <v xml:space="preserve"> </v>
      </c>
      <c r="M36" s="2" t="str">
        <f t="shared" si="4"/>
        <v xml:space="preserve"> </v>
      </c>
    </row>
    <row r="37" spans="1:13" x14ac:dyDescent="0.25">
      <c r="A37" s="43" t="str">
        <f t="shared" si="0"/>
        <v xml:space="preserve"> </v>
      </c>
      <c r="D37" s="42"/>
      <c r="E37" s="42"/>
      <c r="J37" s="17">
        <f t="shared" si="1"/>
        <v>0</v>
      </c>
      <c r="K37" s="2" t="str">
        <f t="shared" si="2"/>
        <v xml:space="preserve"> </v>
      </c>
      <c r="L37" s="2" t="str">
        <f t="shared" si="3"/>
        <v xml:space="preserve"> </v>
      </c>
      <c r="M37" s="2" t="str">
        <f t="shared" si="4"/>
        <v xml:space="preserve"> </v>
      </c>
    </row>
    <row r="38" spans="1:13" x14ac:dyDescent="0.25">
      <c r="A38" s="43" t="str">
        <f t="shared" si="0"/>
        <v xml:space="preserve"> </v>
      </c>
      <c r="D38" s="42"/>
      <c r="E38" s="42"/>
      <c r="J38" s="17">
        <f t="shared" si="1"/>
        <v>0</v>
      </c>
      <c r="K38" s="2" t="str">
        <f t="shared" si="2"/>
        <v xml:space="preserve"> </v>
      </c>
      <c r="L38" s="2" t="str">
        <f t="shared" si="3"/>
        <v xml:space="preserve"> </v>
      </c>
      <c r="M38" s="2" t="str">
        <f t="shared" si="4"/>
        <v xml:space="preserve"> </v>
      </c>
    </row>
    <row r="39" spans="1:13" x14ac:dyDescent="0.25">
      <c r="A39" s="43" t="str">
        <f t="shared" si="0"/>
        <v xml:space="preserve"> </v>
      </c>
      <c r="D39" s="42"/>
      <c r="E39" s="42"/>
      <c r="J39" s="17">
        <f t="shared" si="1"/>
        <v>0</v>
      </c>
      <c r="K39" s="2" t="str">
        <f t="shared" si="2"/>
        <v xml:space="preserve"> </v>
      </c>
      <c r="L39" s="2" t="str">
        <f t="shared" si="3"/>
        <v xml:space="preserve"> </v>
      </c>
      <c r="M39" s="2" t="str">
        <f t="shared" si="4"/>
        <v xml:space="preserve"> </v>
      </c>
    </row>
    <row r="40" spans="1:13" x14ac:dyDescent="0.25">
      <c r="A40" s="43" t="str">
        <f t="shared" si="0"/>
        <v xml:space="preserve"> </v>
      </c>
      <c r="D40" s="42"/>
      <c r="E40" s="42"/>
      <c r="J40" s="17">
        <f t="shared" si="1"/>
        <v>0</v>
      </c>
      <c r="K40" s="2" t="str">
        <f t="shared" si="2"/>
        <v xml:space="preserve"> </v>
      </c>
      <c r="L40" s="2" t="str">
        <f t="shared" si="3"/>
        <v xml:space="preserve"> </v>
      </c>
      <c r="M40" s="2" t="str">
        <f t="shared" si="4"/>
        <v xml:space="preserve"> </v>
      </c>
    </row>
    <row r="41" spans="1:13" x14ac:dyDescent="0.25">
      <c r="A41" s="43" t="str">
        <f t="shared" si="0"/>
        <v xml:space="preserve"> </v>
      </c>
      <c r="D41" s="42"/>
      <c r="E41" s="42"/>
      <c r="J41" s="17">
        <f t="shared" si="1"/>
        <v>0</v>
      </c>
      <c r="K41" s="2" t="str">
        <f t="shared" si="2"/>
        <v xml:space="preserve"> </v>
      </c>
      <c r="L41" s="2" t="str">
        <f t="shared" si="3"/>
        <v xml:space="preserve"> </v>
      </c>
      <c r="M41" s="2" t="str">
        <f t="shared" si="4"/>
        <v xml:space="preserve"> </v>
      </c>
    </row>
    <row r="42" spans="1:13" x14ac:dyDescent="0.25">
      <c r="A42" s="43" t="str">
        <f t="shared" si="0"/>
        <v xml:space="preserve"> </v>
      </c>
      <c r="D42" s="42"/>
      <c r="E42" s="42"/>
      <c r="J42" s="17">
        <f t="shared" si="1"/>
        <v>0</v>
      </c>
      <c r="K42" s="2" t="str">
        <f t="shared" si="2"/>
        <v xml:space="preserve"> </v>
      </c>
      <c r="L42" s="2" t="str">
        <f t="shared" si="3"/>
        <v xml:space="preserve"> </v>
      </c>
      <c r="M42" s="2" t="str">
        <f t="shared" si="4"/>
        <v xml:space="preserve"> </v>
      </c>
    </row>
    <row r="43" spans="1:13" x14ac:dyDescent="0.25">
      <c r="A43" s="43" t="str">
        <f t="shared" si="0"/>
        <v xml:space="preserve"> </v>
      </c>
      <c r="D43" s="42"/>
      <c r="E43" s="42"/>
      <c r="J43" s="17">
        <f t="shared" si="1"/>
        <v>0</v>
      </c>
      <c r="K43" s="2" t="str">
        <f t="shared" si="2"/>
        <v xml:space="preserve"> </v>
      </c>
      <c r="L43" s="2" t="str">
        <f t="shared" si="3"/>
        <v xml:space="preserve"> </v>
      </c>
      <c r="M43" s="2" t="str">
        <f t="shared" si="4"/>
        <v xml:space="preserve"> </v>
      </c>
    </row>
    <row r="44" spans="1:13" x14ac:dyDescent="0.25">
      <c r="A44" s="43" t="str">
        <f t="shared" si="0"/>
        <v xml:space="preserve"> </v>
      </c>
      <c r="D44" s="42"/>
      <c r="E44" s="42"/>
      <c r="J44" s="17">
        <f t="shared" si="1"/>
        <v>0</v>
      </c>
      <c r="K44" s="2" t="str">
        <f t="shared" si="2"/>
        <v xml:space="preserve"> </v>
      </c>
      <c r="L44" s="2" t="str">
        <f t="shared" si="3"/>
        <v xml:space="preserve"> </v>
      </c>
      <c r="M44" s="2" t="str">
        <f t="shared" si="4"/>
        <v xml:space="preserve"> </v>
      </c>
    </row>
    <row r="45" spans="1:13" x14ac:dyDescent="0.25">
      <c r="A45" s="43" t="str">
        <f t="shared" si="0"/>
        <v xml:space="preserve"> </v>
      </c>
      <c r="D45" s="42"/>
      <c r="E45" s="42"/>
      <c r="J45" s="17">
        <f t="shared" si="1"/>
        <v>0</v>
      </c>
      <c r="K45" s="2" t="str">
        <f t="shared" si="2"/>
        <v xml:space="preserve"> </v>
      </c>
      <c r="L45" s="2" t="str">
        <f t="shared" si="3"/>
        <v xml:space="preserve"> </v>
      </c>
      <c r="M45" s="2" t="str">
        <f t="shared" si="4"/>
        <v xml:space="preserve"> </v>
      </c>
    </row>
    <row r="46" spans="1:13" x14ac:dyDescent="0.25">
      <c r="A46" s="43" t="str">
        <f t="shared" si="0"/>
        <v xml:space="preserve"> </v>
      </c>
      <c r="D46" s="42"/>
      <c r="E46" s="42"/>
      <c r="J46" s="17">
        <f t="shared" si="1"/>
        <v>0</v>
      </c>
      <c r="K46" s="2" t="str">
        <f t="shared" si="2"/>
        <v xml:space="preserve"> </v>
      </c>
      <c r="L46" s="2" t="str">
        <f t="shared" si="3"/>
        <v xml:space="preserve"> </v>
      </c>
      <c r="M46" s="2" t="str">
        <f t="shared" si="4"/>
        <v xml:space="preserve"> </v>
      </c>
    </row>
    <row r="47" spans="1:13" x14ac:dyDescent="0.25">
      <c r="A47" s="43" t="str">
        <f t="shared" si="0"/>
        <v xml:space="preserve"> </v>
      </c>
      <c r="D47" s="42"/>
      <c r="E47" s="42"/>
      <c r="J47" s="17">
        <f t="shared" si="1"/>
        <v>0</v>
      </c>
      <c r="K47" s="2" t="str">
        <f t="shared" si="2"/>
        <v xml:space="preserve"> </v>
      </c>
      <c r="L47" s="2" t="str">
        <f t="shared" si="3"/>
        <v xml:space="preserve"> </v>
      </c>
      <c r="M47" s="2" t="str">
        <f t="shared" si="4"/>
        <v xml:space="preserve"> </v>
      </c>
    </row>
    <row r="48" spans="1:13" x14ac:dyDescent="0.25">
      <c r="A48" s="43" t="str">
        <f t="shared" si="0"/>
        <v xml:space="preserve"> </v>
      </c>
      <c r="D48" s="42"/>
      <c r="E48" s="42"/>
      <c r="J48" s="17">
        <f t="shared" si="1"/>
        <v>0</v>
      </c>
      <c r="K48" s="2" t="str">
        <f t="shared" si="2"/>
        <v xml:space="preserve"> </v>
      </c>
      <c r="L48" s="2" t="str">
        <f t="shared" si="3"/>
        <v xml:space="preserve"> </v>
      </c>
      <c r="M48" s="2" t="str">
        <f t="shared" si="4"/>
        <v xml:space="preserve"> </v>
      </c>
    </row>
    <row r="49" spans="1:13" x14ac:dyDescent="0.25">
      <c r="A49" s="43" t="str">
        <f t="shared" si="0"/>
        <v xml:space="preserve"> </v>
      </c>
      <c r="D49" s="42"/>
      <c r="E49" s="42"/>
      <c r="J49" s="17">
        <f t="shared" si="1"/>
        <v>0</v>
      </c>
      <c r="K49" s="2" t="str">
        <f t="shared" si="2"/>
        <v xml:space="preserve"> </v>
      </c>
      <c r="L49" s="2" t="str">
        <f t="shared" si="3"/>
        <v xml:space="preserve"> </v>
      </c>
      <c r="M49" s="2" t="str">
        <f t="shared" si="4"/>
        <v xml:space="preserve"> </v>
      </c>
    </row>
    <row r="50" spans="1:13" x14ac:dyDescent="0.25">
      <c r="A50" s="43" t="str">
        <f t="shared" si="0"/>
        <v xml:space="preserve"> </v>
      </c>
      <c r="C50" s="17"/>
      <c r="D50" s="42"/>
      <c r="E50" s="42"/>
      <c r="J50" s="17">
        <f t="shared" si="1"/>
        <v>0</v>
      </c>
      <c r="K50" s="2" t="str">
        <f t="shared" si="2"/>
        <v xml:space="preserve"> </v>
      </c>
      <c r="L50" s="2" t="str">
        <f t="shared" si="3"/>
        <v xml:space="preserve"> </v>
      </c>
      <c r="M50" s="2" t="str">
        <f t="shared" si="4"/>
        <v xml:space="preserve"> </v>
      </c>
    </row>
    <row r="51" spans="1:13" x14ac:dyDescent="0.25">
      <c r="A51" s="43" t="str">
        <f t="shared" si="0"/>
        <v xml:space="preserve"> </v>
      </c>
      <c r="D51" s="42"/>
      <c r="E51" s="42"/>
      <c r="J51" s="17">
        <f t="shared" si="1"/>
        <v>0</v>
      </c>
      <c r="K51" s="2" t="str">
        <f t="shared" si="2"/>
        <v xml:space="preserve"> </v>
      </c>
      <c r="L51" s="2" t="str">
        <f t="shared" si="3"/>
        <v xml:space="preserve"> </v>
      </c>
      <c r="M51" s="2" t="str">
        <f t="shared" si="4"/>
        <v xml:space="preserve"> </v>
      </c>
    </row>
    <row r="52" spans="1:13" x14ac:dyDescent="0.25">
      <c r="A52" s="43" t="str">
        <f t="shared" si="0"/>
        <v xml:space="preserve"> </v>
      </c>
      <c r="C52" s="17"/>
      <c r="D52" s="42"/>
      <c r="E52" s="42"/>
      <c r="J52" s="17">
        <f t="shared" si="1"/>
        <v>0</v>
      </c>
      <c r="K52" s="2" t="str">
        <f t="shared" si="2"/>
        <v xml:space="preserve"> </v>
      </c>
      <c r="L52" s="2" t="str">
        <f t="shared" si="3"/>
        <v xml:space="preserve"> </v>
      </c>
      <c r="M52" s="2" t="str">
        <f t="shared" si="4"/>
        <v xml:space="preserve"> </v>
      </c>
    </row>
    <row r="53" spans="1:13" x14ac:dyDescent="0.25">
      <c r="A53" s="43" t="str">
        <f t="shared" si="0"/>
        <v xml:space="preserve"> </v>
      </c>
      <c r="D53" s="42"/>
      <c r="E53" s="42"/>
      <c r="J53" s="17">
        <f t="shared" si="1"/>
        <v>0</v>
      </c>
      <c r="K53" s="2" t="str">
        <f t="shared" si="2"/>
        <v xml:space="preserve"> </v>
      </c>
      <c r="L53" s="2" t="str">
        <f t="shared" si="3"/>
        <v xml:space="preserve"> </v>
      </c>
      <c r="M53" s="2" t="str">
        <f t="shared" si="4"/>
        <v xml:space="preserve"> </v>
      </c>
    </row>
    <row r="54" spans="1:13" x14ac:dyDescent="0.25">
      <c r="A54" s="43" t="str">
        <f t="shared" si="0"/>
        <v xml:space="preserve"> </v>
      </c>
      <c r="C54" s="17"/>
      <c r="D54" s="42"/>
      <c r="E54" s="42"/>
      <c r="J54" s="17">
        <f t="shared" si="1"/>
        <v>0</v>
      </c>
      <c r="K54" s="2" t="str">
        <f t="shared" si="2"/>
        <v xml:space="preserve"> </v>
      </c>
      <c r="L54" s="2" t="str">
        <f t="shared" si="3"/>
        <v xml:space="preserve"> </v>
      </c>
      <c r="M54" s="2" t="str">
        <f t="shared" si="4"/>
        <v xml:space="preserve"> </v>
      </c>
    </row>
    <row r="55" spans="1:13" x14ac:dyDescent="0.25">
      <c r="A55" s="43" t="str">
        <f t="shared" si="0"/>
        <v xml:space="preserve"> </v>
      </c>
      <c r="D55" s="42"/>
      <c r="E55" s="42"/>
      <c r="J55" s="17">
        <f t="shared" si="1"/>
        <v>0</v>
      </c>
      <c r="K55" s="2" t="str">
        <f t="shared" si="2"/>
        <v xml:space="preserve"> </v>
      </c>
      <c r="L55" s="2" t="str">
        <f t="shared" si="3"/>
        <v xml:space="preserve"> </v>
      </c>
      <c r="M55" s="2" t="str">
        <f t="shared" si="4"/>
        <v xml:space="preserve"> </v>
      </c>
    </row>
    <row r="56" spans="1:13" x14ac:dyDescent="0.25">
      <c r="A56" s="43" t="str">
        <f t="shared" si="0"/>
        <v xml:space="preserve"> </v>
      </c>
      <c r="D56" s="42"/>
      <c r="E56" s="42"/>
      <c r="J56" s="17">
        <f t="shared" si="1"/>
        <v>0</v>
      </c>
      <c r="K56" s="2" t="str">
        <f t="shared" si="2"/>
        <v xml:space="preserve"> </v>
      </c>
      <c r="L56" s="2" t="str">
        <f t="shared" si="3"/>
        <v xml:space="preserve"> </v>
      </c>
      <c r="M56" s="2" t="str">
        <f t="shared" si="4"/>
        <v xml:space="preserve"> </v>
      </c>
    </row>
    <row r="57" spans="1:13" x14ac:dyDescent="0.25">
      <c r="A57" s="43" t="str">
        <f t="shared" si="0"/>
        <v xml:space="preserve"> </v>
      </c>
      <c r="D57" s="42"/>
      <c r="E57" s="42"/>
      <c r="J57" s="17">
        <f t="shared" si="1"/>
        <v>0</v>
      </c>
      <c r="K57" s="2" t="str">
        <f t="shared" si="2"/>
        <v xml:space="preserve"> </v>
      </c>
      <c r="L57" s="2" t="str">
        <f t="shared" si="3"/>
        <v xml:space="preserve"> </v>
      </c>
      <c r="M57" s="2" t="str">
        <f t="shared" si="4"/>
        <v xml:space="preserve"> </v>
      </c>
    </row>
    <row r="58" spans="1:13" x14ac:dyDescent="0.25">
      <c r="A58" s="43" t="str">
        <f t="shared" si="0"/>
        <v xml:space="preserve"> </v>
      </c>
      <c r="D58" s="42"/>
      <c r="E58" s="42"/>
      <c r="J58" s="17">
        <f t="shared" si="1"/>
        <v>0</v>
      </c>
      <c r="K58" s="2" t="str">
        <f t="shared" si="2"/>
        <v xml:space="preserve"> </v>
      </c>
      <c r="L58" s="2" t="str">
        <f t="shared" si="3"/>
        <v xml:space="preserve"> </v>
      </c>
      <c r="M58" s="2" t="str">
        <f t="shared" si="4"/>
        <v xml:space="preserve"> </v>
      </c>
    </row>
    <row r="59" spans="1:13" x14ac:dyDescent="0.25">
      <c r="A59" s="43" t="str">
        <f t="shared" si="0"/>
        <v xml:space="preserve"> </v>
      </c>
      <c r="D59" s="42"/>
      <c r="E59" s="42"/>
      <c r="J59" s="17">
        <f t="shared" si="1"/>
        <v>0</v>
      </c>
      <c r="K59" s="2" t="str">
        <f t="shared" si="2"/>
        <v xml:space="preserve"> </v>
      </c>
      <c r="L59" s="2" t="str">
        <f t="shared" si="3"/>
        <v xml:space="preserve"> </v>
      </c>
      <c r="M59" s="2" t="str">
        <f t="shared" si="4"/>
        <v xml:space="preserve"> </v>
      </c>
    </row>
    <row r="60" spans="1:13" x14ac:dyDescent="0.25">
      <c r="A60" s="43" t="str">
        <f t="shared" si="0"/>
        <v xml:space="preserve"> </v>
      </c>
      <c r="D60" s="42"/>
      <c r="E60" s="42"/>
      <c r="J60" s="17">
        <f t="shared" si="1"/>
        <v>0</v>
      </c>
      <c r="K60" s="2" t="str">
        <f t="shared" si="2"/>
        <v xml:space="preserve"> </v>
      </c>
      <c r="L60" s="2" t="str">
        <f t="shared" si="3"/>
        <v xml:space="preserve"> </v>
      </c>
      <c r="M60" s="2" t="str">
        <f t="shared" si="4"/>
        <v xml:space="preserve"> </v>
      </c>
    </row>
    <row r="61" spans="1:13" x14ac:dyDescent="0.25">
      <c r="A61" s="43" t="str">
        <f t="shared" si="0"/>
        <v xml:space="preserve"> </v>
      </c>
      <c r="D61" s="42"/>
      <c r="E61" s="42"/>
      <c r="J61" s="17">
        <f t="shared" si="1"/>
        <v>0</v>
      </c>
      <c r="K61" s="2" t="str">
        <f t="shared" si="2"/>
        <v xml:space="preserve"> </v>
      </c>
      <c r="L61" s="2" t="str">
        <f t="shared" si="3"/>
        <v xml:space="preserve"> </v>
      </c>
      <c r="M61" s="2" t="str">
        <f t="shared" si="4"/>
        <v xml:space="preserve"> </v>
      </c>
    </row>
    <row r="62" spans="1:13" x14ac:dyDescent="0.25">
      <c r="A62" s="43" t="str">
        <f t="shared" si="0"/>
        <v xml:space="preserve"> </v>
      </c>
      <c r="D62" s="42"/>
      <c r="E62" s="42"/>
      <c r="J62" s="17">
        <f t="shared" si="1"/>
        <v>0</v>
      </c>
      <c r="K62" s="2" t="str">
        <f t="shared" si="2"/>
        <v xml:space="preserve"> </v>
      </c>
      <c r="L62" s="2" t="str">
        <f t="shared" si="3"/>
        <v xml:space="preserve"> </v>
      </c>
      <c r="M62" s="2" t="str">
        <f t="shared" si="4"/>
        <v xml:space="preserve"> </v>
      </c>
    </row>
    <row r="63" spans="1:13" x14ac:dyDescent="0.25">
      <c r="A63" s="43" t="str">
        <f t="shared" si="0"/>
        <v xml:space="preserve"> </v>
      </c>
      <c r="D63" s="42"/>
      <c r="E63" s="42"/>
      <c r="J63" s="17">
        <f t="shared" si="1"/>
        <v>0</v>
      </c>
      <c r="K63" s="2" t="str">
        <f t="shared" si="2"/>
        <v xml:space="preserve"> </v>
      </c>
      <c r="L63" s="2" t="str">
        <f t="shared" si="3"/>
        <v xml:space="preserve"> </v>
      </c>
      <c r="M63" s="2" t="str">
        <f t="shared" si="4"/>
        <v xml:space="preserve"> </v>
      </c>
    </row>
    <row r="64" spans="1:13" x14ac:dyDescent="0.25">
      <c r="A64" s="43" t="str">
        <f t="shared" si="0"/>
        <v xml:space="preserve"> </v>
      </c>
      <c r="D64" s="42"/>
      <c r="E64" s="42"/>
      <c r="J64" s="17">
        <f t="shared" si="1"/>
        <v>0</v>
      </c>
      <c r="K64" s="2" t="str">
        <f t="shared" si="2"/>
        <v xml:space="preserve"> </v>
      </c>
      <c r="L64" s="2" t="str">
        <f t="shared" si="3"/>
        <v xml:space="preserve"> </v>
      </c>
      <c r="M64" s="2" t="str">
        <f t="shared" si="4"/>
        <v xml:space="preserve"> </v>
      </c>
    </row>
    <row r="65" spans="1:13" x14ac:dyDescent="0.25">
      <c r="A65" s="43" t="str">
        <f t="shared" si="0"/>
        <v xml:space="preserve"> </v>
      </c>
      <c r="D65" s="42"/>
      <c r="E65" s="42"/>
      <c r="J65" s="17">
        <f t="shared" si="1"/>
        <v>0</v>
      </c>
      <c r="K65" s="2" t="str">
        <f t="shared" si="2"/>
        <v xml:space="preserve"> </v>
      </c>
      <c r="L65" s="2" t="str">
        <f t="shared" si="3"/>
        <v xml:space="preserve"> </v>
      </c>
      <c r="M65" s="2" t="str">
        <f t="shared" si="4"/>
        <v xml:space="preserve"> </v>
      </c>
    </row>
    <row r="66" spans="1:13" x14ac:dyDescent="0.25">
      <c r="A66" s="43" t="str">
        <f t="shared" si="0"/>
        <v xml:space="preserve"> </v>
      </c>
      <c r="D66" s="42"/>
      <c r="E66" s="42"/>
      <c r="J66" s="17">
        <f t="shared" si="1"/>
        <v>0</v>
      </c>
      <c r="K66" s="2" t="str">
        <f t="shared" si="2"/>
        <v xml:space="preserve"> </v>
      </c>
      <c r="L66" s="2" t="str">
        <f t="shared" si="3"/>
        <v xml:space="preserve"> </v>
      </c>
      <c r="M66" s="2" t="str">
        <f t="shared" si="4"/>
        <v xml:space="preserve"> </v>
      </c>
    </row>
    <row r="67" spans="1:13" x14ac:dyDescent="0.25">
      <c r="A67" s="43" t="str">
        <f t="shared" si="0"/>
        <v xml:space="preserve"> </v>
      </c>
      <c r="D67" s="42"/>
      <c r="E67" s="42"/>
      <c r="J67" s="17">
        <f t="shared" si="1"/>
        <v>0</v>
      </c>
      <c r="K67" s="2" t="str">
        <f t="shared" si="2"/>
        <v xml:space="preserve"> </v>
      </c>
      <c r="L67" s="2" t="str">
        <f t="shared" si="3"/>
        <v xml:space="preserve"> </v>
      </c>
      <c r="M67" s="2" t="str">
        <f t="shared" si="4"/>
        <v xml:space="preserve"> </v>
      </c>
    </row>
    <row r="68" spans="1:13" x14ac:dyDescent="0.25">
      <c r="A68" s="43" t="str">
        <f t="shared" si="0"/>
        <v xml:space="preserve"> </v>
      </c>
      <c r="D68" s="42"/>
      <c r="E68" s="42"/>
      <c r="J68" s="17">
        <f t="shared" si="1"/>
        <v>0</v>
      </c>
      <c r="K68" s="2" t="str">
        <f t="shared" si="2"/>
        <v xml:space="preserve"> </v>
      </c>
      <c r="L68" s="2" t="str">
        <f t="shared" si="3"/>
        <v xml:space="preserve"> </v>
      </c>
      <c r="M68" s="2" t="str">
        <f t="shared" si="4"/>
        <v xml:space="preserve"> </v>
      </c>
    </row>
    <row r="69" spans="1:13" x14ac:dyDescent="0.25">
      <c r="A69" s="43" t="str">
        <f t="shared" si="0"/>
        <v xml:space="preserve"> </v>
      </c>
      <c r="D69" s="42"/>
      <c r="E69" s="42"/>
      <c r="J69" s="17">
        <f>F69-G69+H69-I69</f>
        <v>0</v>
      </c>
      <c r="K69" s="2" t="str">
        <f t="shared" si="2"/>
        <v xml:space="preserve"> </v>
      </c>
      <c r="L69" s="2" t="str">
        <f t="shared" si="3"/>
        <v xml:space="preserve"> </v>
      </c>
      <c r="M69" s="2" t="str">
        <f t="shared" si="4"/>
        <v xml:space="preserve"> </v>
      </c>
    </row>
    <row r="70" spans="1:13" x14ac:dyDescent="0.25">
      <c r="A70" s="43" t="str">
        <f t="shared" si="0"/>
        <v xml:space="preserve"> </v>
      </c>
      <c r="D70" s="42"/>
      <c r="E70" s="42"/>
      <c r="J70" s="17">
        <f>F70-G70+H70-I70</f>
        <v>0</v>
      </c>
      <c r="K70" s="2" t="str">
        <f t="shared" si="2"/>
        <v xml:space="preserve"> </v>
      </c>
      <c r="L70" s="2" t="str">
        <f t="shared" si="3"/>
        <v xml:space="preserve"> </v>
      </c>
      <c r="M70" s="2" t="str">
        <f t="shared" si="4"/>
        <v xml:space="preserve"> </v>
      </c>
    </row>
    <row r="71" spans="1:13" x14ac:dyDescent="0.25">
      <c r="A71" s="43" t="str">
        <f t="shared" si="0"/>
        <v xml:space="preserve"> </v>
      </c>
      <c r="D71" s="42"/>
      <c r="E71" s="42"/>
      <c r="J71" s="17">
        <f t="shared" si="1"/>
        <v>0</v>
      </c>
      <c r="K71" s="2" t="str">
        <f t="shared" si="2"/>
        <v xml:space="preserve"> </v>
      </c>
      <c r="L71" s="2" t="str">
        <f t="shared" si="3"/>
        <v xml:space="preserve"> </v>
      </c>
      <c r="M71" s="2" t="str">
        <f t="shared" si="4"/>
        <v xml:space="preserve"> </v>
      </c>
    </row>
    <row r="72" spans="1:13" x14ac:dyDescent="0.25">
      <c r="A72" s="43" t="str">
        <f t="shared" si="0"/>
        <v xml:space="preserve"> </v>
      </c>
      <c r="D72" s="42"/>
      <c r="E72" s="42"/>
      <c r="J72" s="17">
        <f t="shared" si="1"/>
        <v>0</v>
      </c>
      <c r="K72" s="2" t="str">
        <f t="shared" si="2"/>
        <v xml:space="preserve"> </v>
      </c>
      <c r="L72" s="2" t="str">
        <f t="shared" si="3"/>
        <v xml:space="preserve"> </v>
      </c>
      <c r="M72" s="2" t="str">
        <f t="shared" si="4"/>
        <v xml:space="preserve"> </v>
      </c>
    </row>
    <row r="73" spans="1:13" x14ac:dyDescent="0.25">
      <c r="A73" s="43" t="str">
        <f t="shared" si="0"/>
        <v xml:space="preserve"> </v>
      </c>
      <c r="D73" s="42"/>
      <c r="E73" s="42"/>
      <c r="J73" s="17">
        <f t="shared" si="1"/>
        <v>0</v>
      </c>
      <c r="K73" s="2" t="str">
        <f t="shared" si="2"/>
        <v xml:space="preserve"> </v>
      </c>
      <c r="L73" s="2" t="str">
        <f t="shared" si="3"/>
        <v xml:space="preserve"> </v>
      </c>
      <c r="M73" s="2" t="str">
        <f t="shared" si="4"/>
        <v xml:space="preserve"> </v>
      </c>
    </row>
    <row r="74" spans="1:13" x14ac:dyDescent="0.25">
      <c r="A74" s="43" t="str">
        <f t="shared" si="0"/>
        <v xml:space="preserve"> </v>
      </c>
      <c r="D74" s="42"/>
      <c r="E74" s="42"/>
      <c r="J74" s="17">
        <f t="shared" si="1"/>
        <v>0</v>
      </c>
      <c r="K74" s="2" t="str">
        <f t="shared" si="2"/>
        <v xml:space="preserve"> </v>
      </c>
      <c r="L74" s="2" t="str">
        <f t="shared" si="3"/>
        <v xml:space="preserve"> </v>
      </c>
      <c r="M74" s="2" t="str">
        <f t="shared" si="4"/>
        <v xml:space="preserve"> </v>
      </c>
    </row>
    <row r="75" spans="1:13" x14ac:dyDescent="0.25">
      <c r="A75" s="43" t="str">
        <f t="shared" si="0"/>
        <v xml:space="preserve"> </v>
      </c>
      <c r="D75" s="42"/>
      <c r="E75" s="42"/>
      <c r="J75" s="17">
        <f t="shared" si="1"/>
        <v>0</v>
      </c>
      <c r="K75" s="2" t="str">
        <f t="shared" si="2"/>
        <v xml:space="preserve"> </v>
      </c>
      <c r="L75" s="2" t="str">
        <f t="shared" si="3"/>
        <v xml:space="preserve"> </v>
      </c>
      <c r="M75" s="2" t="str">
        <f t="shared" si="4"/>
        <v xml:space="preserve"> </v>
      </c>
    </row>
    <row r="76" spans="1:13" x14ac:dyDescent="0.25">
      <c r="A76" s="43" t="str">
        <f t="shared" si="0"/>
        <v xml:space="preserve"> </v>
      </c>
      <c r="D76" s="42"/>
      <c r="E76" s="42"/>
      <c r="J76" s="17">
        <f t="shared" si="1"/>
        <v>0</v>
      </c>
      <c r="K76" s="2" t="str">
        <f t="shared" si="2"/>
        <v xml:space="preserve"> </v>
      </c>
      <c r="L76" s="2" t="str">
        <f t="shared" si="3"/>
        <v xml:space="preserve"> </v>
      </c>
      <c r="M76" s="2" t="str">
        <f t="shared" si="4"/>
        <v xml:space="preserve"> </v>
      </c>
    </row>
    <row r="77" spans="1:13" x14ac:dyDescent="0.25">
      <c r="A77" s="43" t="str">
        <f t="shared" si="0"/>
        <v xml:space="preserve"> </v>
      </c>
      <c r="D77" s="42"/>
      <c r="E77" s="42"/>
      <c r="J77" s="17">
        <f t="shared" si="1"/>
        <v>0</v>
      </c>
      <c r="K77" s="2" t="str">
        <f t="shared" si="2"/>
        <v xml:space="preserve"> </v>
      </c>
      <c r="L77" s="2" t="str">
        <f t="shared" si="3"/>
        <v xml:space="preserve"> </v>
      </c>
      <c r="M77" s="2" t="str">
        <f t="shared" si="4"/>
        <v xml:space="preserve"> </v>
      </c>
    </row>
    <row r="78" spans="1:13" x14ac:dyDescent="0.25">
      <c r="A78" s="43" t="str">
        <f t="shared" si="0"/>
        <v xml:space="preserve"> </v>
      </c>
      <c r="D78" s="42"/>
      <c r="E78" s="42"/>
      <c r="J78" s="17">
        <f t="shared" si="1"/>
        <v>0</v>
      </c>
      <c r="K78" s="2" t="str">
        <f t="shared" si="2"/>
        <v xml:space="preserve"> </v>
      </c>
      <c r="L78" s="2" t="str">
        <f t="shared" si="3"/>
        <v xml:space="preserve"> </v>
      </c>
      <c r="M78" s="2" t="str">
        <f t="shared" si="4"/>
        <v xml:space="preserve"> </v>
      </c>
    </row>
    <row r="79" spans="1:13" x14ac:dyDescent="0.25">
      <c r="A79" s="43" t="str">
        <f t="shared" ref="A79:A142" si="5">IF(COUNTIF(K79:M79,"ERROR")&gt;0,"ERROR"," ")</f>
        <v xml:space="preserve"> </v>
      </c>
      <c r="D79" s="42"/>
      <c r="E79" s="42"/>
      <c r="J79" s="17">
        <f t="shared" ref="J79:J142" si="6">F79-G79+H79-I79</f>
        <v>0</v>
      </c>
      <c r="K79" s="2" t="str">
        <f t="shared" si="2"/>
        <v xml:space="preserve"> </v>
      </c>
      <c r="L79" s="2" t="str">
        <f t="shared" si="3"/>
        <v xml:space="preserve"> </v>
      </c>
      <c r="M79" s="2" t="str">
        <f t="shared" si="4"/>
        <v xml:space="preserve"> </v>
      </c>
    </row>
    <row r="80" spans="1:13" x14ac:dyDescent="0.25">
      <c r="A80" s="43" t="str">
        <f t="shared" si="5"/>
        <v xml:space="preserve"> </v>
      </c>
      <c r="D80" s="42"/>
      <c r="E80" s="42"/>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43" t="str">
        <f t="shared" si="5"/>
        <v xml:space="preserve"> </v>
      </c>
      <c r="D81" s="42"/>
      <c r="E81" s="42"/>
      <c r="J81" s="17">
        <f t="shared" si="6"/>
        <v>0</v>
      </c>
      <c r="K81" s="2" t="str">
        <f t="shared" si="7"/>
        <v xml:space="preserve"> </v>
      </c>
      <c r="L81" s="2" t="str">
        <f t="shared" si="8"/>
        <v xml:space="preserve"> </v>
      </c>
      <c r="M81" s="2" t="str">
        <f t="shared" si="9"/>
        <v xml:space="preserve"> </v>
      </c>
    </row>
    <row r="82" spans="1:13" x14ac:dyDescent="0.25">
      <c r="A82" s="43" t="str">
        <f t="shared" si="5"/>
        <v xml:space="preserve"> </v>
      </c>
      <c r="D82" s="42"/>
      <c r="E82" s="42"/>
      <c r="J82" s="17">
        <f t="shared" si="6"/>
        <v>0</v>
      </c>
      <c r="K82" s="2" t="str">
        <f t="shared" si="7"/>
        <v xml:space="preserve"> </v>
      </c>
      <c r="L82" s="2" t="str">
        <f t="shared" si="8"/>
        <v xml:space="preserve"> </v>
      </c>
      <c r="M82" s="2" t="str">
        <f t="shared" si="9"/>
        <v xml:space="preserve"> </v>
      </c>
    </row>
    <row r="83" spans="1:13" x14ac:dyDescent="0.25">
      <c r="A83" s="43" t="str">
        <f t="shared" si="5"/>
        <v xml:space="preserve"> </v>
      </c>
      <c r="D83" s="42"/>
      <c r="E83" s="42"/>
      <c r="J83" s="17">
        <f t="shared" si="6"/>
        <v>0</v>
      </c>
      <c r="K83" s="2" t="str">
        <f t="shared" si="7"/>
        <v xml:space="preserve"> </v>
      </c>
      <c r="L83" s="2" t="str">
        <f t="shared" si="8"/>
        <v xml:space="preserve"> </v>
      </c>
      <c r="M83" s="2" t="str">
        <f t="shared" si="9"/>
        <v xml:space="preserve"> </v>
      </c>
    </row>
    <row r="84" spans="1:13" x14ac:dyDescent="0.25">
      <c r="A84" s="43" t="str">
        <f t="shared" si="5"/>
        <v xml:space="preserve"> </v>
      </c>
      <c r="D84" s="42"/>
      <c r="E84" s="42"/>
      <c r="J84" s="17">
        <f t="shared" si="6"/>
        <v>0</v>
      </c>
      <c r="K84" s="2" t="str">
        <f t="shared" si="7"/>
        <v xml:space="preserve"> </v>
      </c>
      <c r="L84" s="2" t="str">
        <f t="shared" si="8"/>
        <v xml:space="preserve"> </v>
      </c>
      <c r="M84" s="2" t="str">
        <f t="shared" si="9"/>
        <v xml:space="preserve"> </v>
      </c>
    </row>
    <row r="85" spans="1:13" x14ac:dyDescent="0.25">
      <c r="A85" s="43" t="str">
        <f t="shared" si="5"/>
        <v xml:space="preserve"> </v>
      </c>
      <c r="D85" s="42"/>
      <c r="E85" s="42"/>
      <c r="J85" s="17">
        <f t="shared" si="6"/>
        <v>0</v>
      </c>
      <c r="K85" s="2" t="str">
        <f t="shared" si="7"/>
        <v xml:space="preserve"> </v>
      </c>
      <c r="L85" s="2" t="str">
        <f t="shared" si="8"/>
        <v xml:space="preserve"> </v>
      </c>
      <c r="M85" s="2" t="str">
        <f t="shared" si="9"/>
        <v xml:space="preserve"> </v>
      </c>
    </row>
    <row r="86" spans="1:13" x14ac:dyDescent="0.25">
      <c r="A86" s="43" t="str">
        <f t="shared" si="5"/>
        <v xml:space="preserve"> </v>
      </c>
      <c r="D86" s="42"/>
      <c r="E86" s="42"/>
      <c r="J86" s="17">
        <f t="shared" si="6"/>
        <v>0</v>
      </c>
      <c r="K86" s="2" t="str">
        <f t="shared" si="7"/>
        <v xml:space="preserve"> </v>
      </c>
      <c r="L86" s="2" t="str">
        <f t="shared" si="8"/>
        <v xml:space="preserve"> </v>
      </c>
      <c r="M86" s="2" t="str">
        <f t="shared" si="9"/>
        <v xml:space="preserve"> </v>
      </c>
    </row>
    <row r="87" spans="1:13" x14ac:dyDescent="0.25">
      <c r="A87" s="43" t="str">
        <f t="shared" si="5"/>
        <v xml:space="preserve"> </v>
      </c>
      <c r="D87" s="62"/>
      <c r="E87" s="42"/>
      <c r="J87" s="17">
        <f t="shared" si="6"/>
        <v>0</v>
      </c>
      <c r="K87" s="2" t="str">
        <f t="shared" si="7"/>
        <v xml:space="preserve"> </v>
      </c>
      <c r="L87" s="2" t="str">
        <f t="shared" si="8"/>
        <v xml:space="preserve"> </v>
      </c>
      <c r="M87" s="2" t="str">
        <f t="shared" si="9"/>
        <v xml:space="preserve"> </v>
      </c>
    </row>
    <row r="88" spans="1:13" x14ac:dyDescent="0.25">
      <c r="A88" s="43" t="str">
        <f t="shared" si="5"/>
        <v xml:space="preserve"> </v>
      </c>
      <c r="D88" s="42"/>
      <c r="E88" s="42"/>
      <c r="J88" s="17">
        <f t="shared" si="6"/>
        <v>0</v>
      </c>
      <c r="K88" s="2" t="str">
        <f t="shared" si="7"/>
        <v xml:space="preserve"> </v>
      </c>
      <c r="L88" s="2" t="str">
        <f t="shared" si="8"/>
        <v xml:space="preserve"> </v>
      </c>
      <c r="M88" s="2" t="str">
        <f t="shared" si="9"/>
        <v xml:space="preserve"> </v>
      </c>
    </row>
    <row r="89" spans="1:13" x14ac:dyDescent="0.25">
      <c r="A89" s="43" t="str">
        <f t="shared" si="5"/>
        <v xml:space="preserve"> </v>
      </c>
      <c r="D89" s="42"/>
      <c r="E89" s="42"/>
      <c r="J89" s="17">
        <f t="shared" si="6"/>
        <v>0</v>
      </c>
      <c r="K89" s="2" t="str">
        <f t="shared" si="7"/>
        <v xml:space="preserve"> </v>
      </c>
      <c r="L89" s="2" t="str">
        <f t="shared" si="8"/>
        <v xml:space="preserve"> </v>
      </c>
      <c r="M89" s="2" t="str">
        <f t="shared" si="9"/>
        <v xml:space="preserve"> </v>
      </c>
    </row>
    <row r="90" spans="1:13" x14ac:dyDescent="0.25">
      <c r="A90" s="43" t="str">
        <f t="shared" si="5"/>
        <v xml:space="preserve"> </v>
      </c>
      <c r="D90" s="42"/>
      <c r="E90" s="42"/>
      <c r="J90" s="17">
        <f t="shared" si="6"/>
        <v>0</v>
      </c>
      <c r="K90" s="2" t="str">
        <f t="shared" si="7"/>
        <v xml:space="preserve"> </v>
      </c>
      <c r="L90" s="2" t="str">
        <f t="shared" si="8"/>
        <v xml:space="preserve"> </v>
      </c>
      <c r="M90" s="2" t="str">
        <f t="shared" si="9"/>
        <v xml:space="preserve"> </v>
      </c>
    </row>
    <row r="91" spans="1:13" x14ac:dyDescent="0.25">
      <c r="A91" s="43" t="str">
        <f t="shared" si="5"/>
        <v xml:space="preserve"> </v>
      </c>
      <c r="D91" s="42"/>
      <c r="E91" s="42"/>
      <c r="J91" s="17">
        <f t="shared" si="6"/>
        <v>0</v>
      </c>
      <c r="K91" s="2" t="str">
        <f t="shared" si="7"/>
        <v xml:space="preserve"> </v>
      </c>
      <c r="L91" s="2" t="str">
        <f t="shared" si="8"/>
        <v xml:space="preserve"> </v>
      </c>
      <c r="M91" s="2" t="str">
        <f t="shared" si="9"/>
        <v xml:space="preserve"> </v>
      </c>
    </row>
    <row r="92" spans="1:13" x14ac:dyDescent="0.25">
      <c r="A92" s="43" t="str">
        <f t="shared" si="5"/>
        <v xml:space="preserve"> </v>
      </c>
      <c r="D92" s="42"/>
      <c r="E92" s="42"/>
      <c r="J92" s="17">
        <f t="shared" si="6"/>
        <v>0</v>
      </c>
      <c r="K92" s="2" t="str">
        <f t="shared" si="7"/>
        <v xml:space="preserve"> </v>
      </c>
      <c r="L92" s="2" t="str">
        <f t="shared" si="8"/>
        <v xml:space="preserve"> </v>
      </c>
      <c r="M92" s="2" t="str">
        <f t="shared" si="9"/>
        <v xml:space="preserve"> </v>
      </c>
    </row>
    <row r="93" spans="1:13" x14ac:dyDescent="0.25">
      <c r="A93" s="43" t="str">
        <f t="shared" si="5"/>
        <v xml:space="preserve"> </v>
      </c>
      <c r="D93" s="42"/>
      <c r="E93" s="42"/>
      <c r="J93" s="17">
        <f t="shared" si="6"/>
        <v>0</v>
      </c>
      <c r="K93" s="2" t="str">
        <f t="shared" si="7"/>
        <v xml:space="preserve"> </v>
      </c>
      <c r="L93" s="2" t="str">
        <f t="shared" si="8"/>
        <v xml:space="preserve"> </v>
      </c>
      <c r="M93" s="2" t="str">
        <f t="shared" si="9"/>
        <v xml:space="preserve"> </v>
      </c>
    </row>
    <row r="94" spans="1:13" x14ac:dyDescent="0.25">
      <c r="A94" s="43" t="str">
        <f t="shared" si="5"/>
        <v xml:space="preserve"> </v>
      </c>
      <c r="D94" s="42"/>
      <c r="E94" s="42"/>
      <c r="J94" s="17">
        <f t="shared" si="6"/>
        <v>0</v>
      </c>
      <c r="K94" s="2" t="str">
        <f t="shared" si="7"/>
        <v xml:space="preserve"> </v>
      </c>
      <c r="L94" s="2" t="str">
        <f t="shared" si="8"/>
        <v xml:space="preserve"> </v>
      </c>
      <c r="M94" s="2" t="str">
        <f t="shared" si="9"/>
        <v xml:space="preserve"> </v>
      </c>
    </row>
    <row r="95" spans="1:13" x14ac:dyDescent="0.25">
      <c r="A95" s="43" t="str">
        <f t="shared" si="5"/>
        <v xml:space="preserve"> </v>
      </c>
      <c r="D95" s="42"/>
      <c r="E95" s="42"/>
      <c r="J95" s="17">
        <f t="shared" si="6"/>
        <v>0</v>
      </c>
      <c r="K95" s="2" t="str">
        <f t="shared" si="7"/>
        <v xml:space="preserve"> </v>
      </c>
      <c r="L95" s="2" t="str">
        <f t="shared" si="8"/>
        <v xml:space="preserve"> </v>
      </c>
      <c r="M95" s="2" t="str">
        <f t="shared" si="9"/>
        <v xml:space="preserve"> </v>
      </c>
    </row>
    <row r="96" spans="1:13" x14ac:dyDescent="0.25">
      <c r="A96" s="43" t="str">
        <f t="shared" si="5"/>
        <v xml:space="preserve"> </v>
      </c>
      <c r="D96" s="42"/>
      <c r="E96" s="42"/>
      <c r="J96" s="17">
        <f t="shared" si="6"/>
        <v>0</v>
      </c>
      <c r="K96" s="2" t="str">
        <f t="shared" si="7"/>
        <v xml:space="preserve"> </v>
      </c>
      <c r="L96" s="2" t="str">
        <f t="shared" si="8"/>
        <v xml:space="preserve"> </v>
      </c>
      <c r="M96" s="2" t="str">
        <f t="shared" si="9"/>
        <v xml:space="preserve"> </v>
      </c>
    </row>
    <row r="97" spans="1:13" x14ac:dyDescent="0.25">
      <c r="A97" s="43" t="str">
        <f t="shared" si="5"/>
        <v xml:space="preserve"> </v>
      </c>
      <c r="D97" s="42"/>
      <c r="E97" s="42"/>
      <c r="J97" s="17">
        <f t="shared" si="6"/>
        <v>0</v>
      </c>
      <c r="K97" s="2" t="str">
        <f t="shared" si="7"/>
        <v xml:space="preserve"> </v>
      </c>
      <c r="L97" s="2" t="str">
        <f t="shared" si="8"/>
        <v xml:space="preserve"> </v>
      </c>
      <c r="M97" s="2" t="str">
        <f t="shared" si="9"/>
        <v xml:space="preserve"> </v>
      </c>
    </row>
    <row r="98" spans="1:13" x14ac:dyDescent="0.25">
      <c r="A98" s="43" t="str">
        <f t="shared" si="5"/>
        <v xml:space="preserve"> </v>
      </c>
      <c r="D98" s="42"/>
      <c r="E98" s="42"/>
      <c r="J98" s="17">
        <f t="shared" si="6"/>
        <v>0</v>
      </c>
      <c r="K98" s="2" t="str">
        <f t="shared" si="7"/>
        <v xml:space="preserve"> </v>
      </c>
      <c r="L98" s="2" t="str">
        <f t="shared" si="8"/>
        <v xml:space="preserve"> </v>
      </c>
      <c r="M98" s="2" t="str">
        <f t="shared" si="9"/>
        <v xml:space="preserve"> </v>
      </c>
    </row>
    <row r="99" spans="1:13" x14ac:dyDescent="0.25">
      <c r="A99" s="43" t="str">
        <f t="shared" si="5"/>
        <v xml:space="preserve"> </v>
      </c>
      <c r="D99" s="42"/>
      <c r="E99" s="42"/>
      <c r="J99" s="17">
        <f t="shared" si="6"/>
        <v>0</v>
      </c>
      <c r="K99" s="2" t="str">
        <f t="shared" si="7"/>
        <v xml:space="preserve"> </v>
      </c>
      <c r="L99" s="2" t="str">
        <f t="shared" si="8"/>
        <v xml:space="preserve"> </v>
      </c>
      <c r="M99" s="2" t="str">
        <f t="shared" si="9"/>
        <v xml:space="preserve"> </v>
      </c>
    </row>
    <row r="100" spans="1:13" x14ac:dyDescent="0.25">
      <c r="A100" s="43" t="str">
        <f t="shared" si="5"/>
        <v xml:space="preserve"> </v>
      </c>
      <c r="D100" s="42"/>
      <c r="E100" s="42"/>
      <c r="J100" s="17">
        <f t="shared" si="6"/>
        <v>0</v>
      </c>
      <c r="K100" s="2" t="str">
        <f t="shared" si="7"/>
        <v xml:space="preserve"> </v>
      </c>
      <c r="L100" s="2" t="str">
        <f t="shared" si="8"/>
        <v xml:space="preserve"> </v>
      </c>
      <c r="M100" s="2" t="str">
        <f t="shared" si="9"/>
        <v xml:space="preserve"> </v>
      </c>
    </row>
    <row r="101" spans="1:13" x14ac:dyDescent="0.25">
      <c r="A101" s="43" t="str">
        <f t="shared" si="5"/>
        <v xml:space="preserve"> </v>
      </c>
      <c r="D101" s="42"/>
      <c r="E101" s="42"/>
      <c r="J101" s="17">
        <f t="shared" si="6"/>
        <v>0</v>
      </c>
      <c r="K101" s="2" t="str">
        <f t="shared" si="7"/>
        <v xml:space="preserve"> </v>
      </c>
      <c r="L101" s="2" t="str">
        <f t="shared" si="8"/>
        <v xml:space="preserve"> </v>
      </c>
      <c r="M101" s="2" t="str">
        <f t="shared" si="9"/>
        <v xml:space="preserve"> </v>
      </c>
    </row>
    <row r="102" spans="1:13" x14ac:dyDescent="0.25">
      <c r="A102" s="43" t="str">
        <f t="shared" si="5"/>
        <v xml:space="preserve"> </v>
      </c>
      <c r="D102" s="42"/>
      <c r="E102" s="42"/>
      <c r="J102" s="17">
        <f t="shared" si="6"/>
        <v>0</v>
      </c>
      <c r="K102" s="2" t="str">
        <f t="shared" si="7"/>
        <v xml:space="preserve"> </v>
      </c>
      <c r="L102" s="2" t="str">
        <f t="shared" si="8"/>
        <v xml:space="preserve"> </v>
      </c>
      <c r="M102" s="2" t="str">
        <f t="shared" si="9"/>
        <v xml:space="preserve"> </v>
      </c>
    </row>
    <row r="103" spans="1:13" x14ac:dyDescent="0.25">
      <c r="A103" s="43" t="str">
        <f t="shared" si="5"/>
        <v xml:space="preserve"> </v>
      </c>
      <c r="D103" s="42"/>
      <c r="E103" s="42"/>
      <c r="J103" s="17">
        <f t="shared" si="6"/>
        <v>0</v>
      </c>
      <c r="K103" s="2" t="str">
        <f t="shared" si="7"/>
        <v xml:space="preserve"> </v>
      </c>
      <c r="L103" s="2" t="str">
        <f t="shared" si="8"/>
        <v xml:space="preserve"> </v>
      </c>
      <c r="M103" s="2" t="str">
        <f t="shared" si="9"/>
        <v xml:space="preserve"> </v>
      </c>
    </row>
    <row r="104" spans="1:13" x14ac:dyDescent="0.25">
      <c r="A104" s="43" t="str">
        <f t="shared" si="5"/>
        <v xml:space="preserve"> </v>
      </c>
      <c r="D104" s="42"/>
      <c r="E104" s="42"/>
      <c r="J104" s="17">
        <f t="shared" si="6"/>
        <v>0</v>
      </c>
      <c r="K104" s="2" t="str">
        <f t="shared" si="7"/>
        <v xml:space="preserve"> </v>
      </c>
      <c r="L104" s="2" t="str">
        <f t="shared" si="8"/>
        <v xml:space="preserve"> </v>
      </c>
      <c r="M104" s="2" t="str">
        <f t="shared" si="9"/>
        <v xml:space="preserve"> </v>
      </c>
    </row>
    <row r="105" spans="1:13" x14ac:dyDescent="0.25">
      <c r="A105" s="43" t="str">
        <f t="shared" si="5"/>
        <v xml:space="preserve"> </v>
      </c>
      <c r="D105" s="42"/>
      <c r="E105" s="42"/>
      <c r="J105" s="17">
        <f t="shared" si="6"/>
        <v>0</v>
      </c>
      <c r="K105" s="2" t="str">
        <f t="shared" si="7"/>
        <v xml:space="preserve"> </v>
      </c>
      <c r="L105" s="2" t="str">
        <f t="shared" si="8"/>
        <v xml:space="preserve"> </v>
      </c>
      <c r="M105" s="2" t="str">
        <f t="shared" si="9"/>
        <v xml:space="preserve"> </v>
      </c>
    </row>
    <row r="106" spans="1:13" x14ac:dyDescent="0.25">
      <c r="A106" s="43" t="str">
        <f t="shared" si="5"/>
        <v xml:space="preserve"> </v>
      </c>
      <c r="D106" s="42"/>
      <c r="E106" s="42"/>
      <c r="J106" s="17">
        <f t="shared" si="6"/>
        <v>0</v>
      </c>
      <c r="K106" s="2" t="str">
        <f t="shared" si="7"/>
        <v xml:space="preserve"> </v>
      </c>
      <c r="L106" s="2" t="str">
        <f t="shared" si="8"/>
        <v xml:space="preserve"> </v>
      </c>
      <c r="M106" s="2" t="str">
        <f t="shared" si="9"/>
        <v xml:space="preserve"> </v>
      </c>
    </row>
    <row r="107" spans="1:13" x14ac:dyDescent="0.25">
      <c r="A107" s="43" t="str">
        <f t="shared" si="5"/>
        <v xml:space="preserve"> </v>
      </c>
      <c r="D107" s="42"/>
      <c r="E107" s="42"/>
      <c r="J107" s="17">
        <f t="shared" si="6"/>
        <v>0</v>
      </c>
      <c r="K107" s="2" t="str">
        <f t="shared" si="7"/>
        <v xml:space="preserve"> </v>
      </c>
      <c r="L107" s="2" t="str">
        <f t="shared" si="8"/>
        <v xml:space="preserve"> </v>
      </c>
      <c r="M107" s="2" t="str">
        <f t="shared" si="9"/>
        <v xml:space="preserve"> </v>
      </c>
    </row>
    <row r="108" spans="1:13" x14ac:dyDescent="0.25">
      <c r="A108" s="43" t="str">
        <f t="shared" si="5"/>
        <v xml:space="preserve"> </v>
      </c>
      <c r="D108" s="42"/>
      <c r="E108" s="42"/>
      <c r="J108" s="17">
        <f t="shared" si="6"/>
        <v>0</v>
      </c>
      <c r="K108" s="2" t="str">
        <f t="shared" si="7"/>
        <v xml:space="preserve"> </v>
      </c>
      <c r="L108" s="2" t="str">
        <f t="shared" si="8"/>
        <v xml:space="preserve"> </v>
      </c>
      <c r="M108" s="2" t="str">
        <f t="shared" si="9"/>
        <v xml:space="preserve"> </v>
      </c>
    </row>
    <row r="109" spans="1:13" x14ac:dyDescent="0.25">
      <c r="A109" s="43" t="str">
        <f t="shared" si="5"/>
        <v xml:space="preserve"> </v>
      </c>
      <c r="D109" s="42"/>
      <c r="E109" s="42"/>
      <c r="J109" s="17">
        <f t="shared" si="6"/>
        <v>0</v>
      </c>
      <c r="K109" s="2" t="str">
        <f t="shared" si="7"/>
        <v xml:space="preserve"> </v>
      </c>
      <c r="L109" s="2" t="str">
        <f t="shared" si="8"/>
        <v xml:space="preserve"> </v>
      </c>
      <c r="M109" s="2" t="str">
        <f t="shared" si="9"/>
        <v xml:space="preserve"> </v>
      </c>
    </row>
    <row r="110" spans="1:13" x14ac:dyDescent="0.25">
      <c r="A110" s="43" t="str">
        <f t="shared" si="5"/>
        <v xml:space="preserve"> </v>
      </c>
      <c r="B110" s="20"/>
      <c r="D110" s="42"/>
      <c r="E110" s="42"/>
      <c r="J110" s="17">
        <f t="shared" si="6"/>
        <v>0</v>
      </c>
      <c r="K110" s="2" t="str">
        <f t="shared" si="7"/>
        <v xml:space="preserve"> </v>
      </c>
      <c r="L110" s="2" t="str">
        <f t="shared" si="8"/>
        <v xml:space="preserve"> </v>
      </c>
      <c r="M110" s="2" t="str">
        <f t="shared" si="9"/>
        <v xml:space="preserve"> </v>
      </c>
    </row>
    <row r="111" spans="1:13" x14ac:dyDescent="0.25">
      <c r="A111" s="43" t="str">
        <f t="shared" si="5"/>
        <v xml:space="preserve"> </v>
      </c>
      <c r="D111" s="42"/>
      <c r="E111" s="42"/>
      <c r="J111" s="17">
        <f t="shared" si="6"/>
        <v>0</v>
      </c>
      <c r="K111" s="2" t="str">
        <f t="shared" si="7"/>
        <v xml:space="preserve"> </v>
      </c>
      <c r="L111" s="2" t="str">
        <f t="shared" si="8"/>
        <v xml:space="preserve"> </v>
      </c>
      <c r="M111" s="2" t="str">
        <f t="shared" si="9"/>
        <v xml:space="preserve"> </v>
      </c>
    </row>
    <row r="112" spans="1:13" x14ac:dyDescent="0.25">
      <c r="A112" s="43" t="str">
        <f t="shared" si="5"/>
        <v xml:space="preserve"> </v>
      </c>
      <c r="D112" s="42"/>
      <c r="E112" s="42"/>
      <c r="J112" s="17">
        <f t="shared" si="6"/>
        <v>0</v>
      </c>
      <c r="K112" s="2" t="str">
        <f t="shared" si="7"/>
        <v xml:space="preserve"> </v>
      </c>
      <c r="L112" s="2" t="str">
        <f t="shared" si="8"/>
        <v xml:space="preserve"> </v>
      </c>
      <c r="M112" s="2" t="str">
        <f t="shared" si="9"/>
        <v xml:space="preserve"> </v>
      </c>
    </row>
    <row r="113" spans="1:13" x14ac:dyDescent="0.25">
      <c r="A113" s="43" t="str">
        <f t="shared" si="5"/>
        <v xml:space="preserve"> </v>
      </c>
      <c r="D113" s="42"/>
      <c r="E113" s="42"/>
      <c r="J113" s="17">
        <f t="shared" si="6"/>
        <v>0</v>
      </c>
      <c r="K113" s="2" t="str">
        <f t="shared" si="7"/>
        <v xml:space="preserve"> </v>
      </c>
      <c r="L113" s="2" t="str">
        <f t="shared" si="8"/>
        <v xml:space="preserve"> </v>
      </c>
      <c r="M113" s="2" t="str">
        <f t="shared" si="9"/>
        <v xml:space="preserve"> </v>
      </c>
    </row>
    <row r="114" spans="1:13" x14ac:dyDescent="0.25">
      <c r="A114" s="43" t="str">
        <f t="shared" si="5"/>
        <v xml:space="preserve"> </v>
      </c>
      <c r="D114" s="42"/>
      <c r="E114" s="42"/>
      <c r="J114" s="17">
        <f t="shared" si="6"/>
        <v>0</v>
      </c>
      <c r="K114" s="2" t="str">
        <f t="shared" si="7"/>
        <v xml:space="preserve"> </v>
      </c>
      <c r="L114" s="2" t="str">
        <f t="shared" si="8"/>
        <v xml:space="preserve"> </v>
      </c>
      <c r="M114" s="2" t="str">
        <f t="shared" si="9"/>
        <v xml:space="preserve"> </v>
      </c>
    </row>
    <row r="115" spans="1:13" x14ac:dyDescent="0.25">
      <c r="A115" s="43" t="str">
        <f t="shared" si="5"/>
        <v xml:space="preserve"> </v>
      </c>
      <c r="D115" s="42"/>
      <c r="E115" s="42"/>
      <c r="J115" s="17">
        <f t="shared" si="6"/>
        <v>0</v>
      </c>
      <c r="K115" s="2" t="str">
        <f t="shared" si="7"/>
        <v xml:space="preserve"> </v>
      </c>
      <c r="L115" s="2" t="str">
        <f t="shared" si="8"/>
        <v xml:space="preserve"> </v>
      </c>
      <c r="M115" s="2" t="str">
        <f t="shared" si="9"/>
        <v xml:space="preserve"> </v>
      </c>
    </row>
    <row r="116" spans="1:13" x14ac:dyDescent="0.25">
      <c r="A116" s="43" t="str">
        <f t="shared" si="5"/>
        <v xml:space="preserve"> </v>
      </c>
      <c r="D116" s="42"/>
      <c r="E116" s="42"/>
      <c r="J116" s="17">
        <f t="shared" si="6"/>
        <v>0</v>
      </c>
      <c r="K116" s="2" t="str">
        <f t="shared" si="7"/>
        <v xml:space="preserve"> </v>
      </c>
      <c r="L116" s="2" t="str">
        <f t="shared" si="8"/>
        <v xml:space="preserve"> </v>
      </c>
      <c r="M116" s="2" t="str">
        <f t="shared" si="9"/>
        <v xml:space="preserve"> </v>
      </c>
    </row>
    <row r="117" spans="1:13" x14ac:dyDescent="0.25">
      <c r="A117" s="43" t="str">
        <f t="shared" si="5"/>
        <v xml:space="preserve"> </v>
      </c>
      <c r="D117" s="42"/>
      <c r="E117" s="42"/>
      <c r="J117" s="17">
        <f t="shared" si="6"/>
        <v>0</v>
      </c>
      <c r="K117" s="2" t="str">
        <f t="shared" si="7"/>
        <v xml:space="preserve"> </v>
      </c>
      <c r="L117" s="2" t="str">
        <f t="shared" si="8"/>
        <v xml:space="preserve"> </v>
      </c>
      <c r="M117" s="2" t="str">
        <f t="shared" si="9"/>
        <v xml:space="preserve"> </v>
      </c>
    </row>
    <row r="118" spans="1:13" x14ac:dyDescent="0.25">
      <c r="A118" s="43" t="str">
        <f t="shared" si="5"/>
        <v xml:space="preserve"> </v>
      </c>
      <c r="D118" s="42"/>
      <c r="E118" s="42"/>
      <c r="J118" s="17">
        <f t="shared" si="6"/>
        <v>0</v>
      </c>
      <c r="K118" s="2" t="str">
        <f t="shared" si="7"/>
        <v xml:space="preserve"> </v>
      </c>
      <c r="L118" s="2" t="str">
        <f t="shared" si="8"/>
        <v xml:space="preserve"> </v>
      </c>
      <c r="M118" s="2" t="str">
        <f t="shared" si="9"/>
        <v xml:space="preserve"> </v>
      </c>
    </row>
    <row r="119" spans="1:13" x14ac:dyDescent="0.25">
      <c r="A119" s="43" t="str">
        <f t="shared" si="5"/>
        <v xml:space="preserve"> </v>
      </c>
      <c r="D119" s="42"/>
      <c r="E119" s="42"/>
      <c r="J119" s="17">
        <f t="shared" si="6"/>
        <v>0</v>
      </c>
      <c r="K119" s="2" t="str">
        <f t="shared" si="7"/>
        <v xml:space="preserve"> </v>
      </c>
      <c r="L119" s="2" t="str">
        <f t="shared" si="8"/>
        <v xml:space="preserve"> </v>
      </c>
      <c r="M119" s="2" t="str">
        <f t="shared" si="9"/>
        <v xml:space="preserve"> </v>
      </c>
    </row>
    <row r="120" spans="1:13" x14ac:dyDescent="0.25">
      <c r="A120" s="43" t="str">
        <f t="shared" si="5"/>
        <v xml:space="preserve"> </v>
      </c>
      <c r="D120" s="42"/>
      <c r="E120" s="42"/>
      <c r="J120" s="17">
        <f t="shared" si="6"/>
        <v>0</v>
      </c>
      <c r="K120" s="2" t="str">
        <f t="shared" si="7"/>
        <v xml:space="preserve"> </v>
      </c>
      <c r="L120" s="2" t="str">
        <f t="shared" si="8"/>
        <v xml:space="preserve"> </v>
      </c>
      <c r="M120" s="2" t="str">
        <f t="shared" si="9"/>
        <v xml:space="preserve"> </v>
      </c>
    </row>
    <row r="121" spans="1:13" x14ac:dyDescent="0.25">
      <c r="A121" s="43" t="str">
        <f t="shared" si="5"/>
        <v xml:space="preserve"> </v>
      </c>
      <c r="D121" s="42"/>
      <c r="E121" s="42"/>
      <c r="J121" s="17">
        <f t="shared" si="6"/>
        <v>0</v>
      </c>
      <c r="K121" s="2" t="str">
        <f t="shared" si="7"/>
        <v xml:space="preserve"> </v>
      </c>
      <c r="L121" s="2" t="str">
        <f t="shared" si="8"/>
        <v xml:space="preserve"> </v>
      </c>
      <c r="M121" s="2" t="str">
        <f t="shared" si="9"/>
        <v xml:space="preserve"> </v>
      </c>
    </row>
    <row r="122" spans="1:13" x14ac:dyDescent="0.25">
      <c r="A122" s="43" t="str">
        <f t="shared" si="5"/>
        <v xml:space="preserve"> </v>
      </c>
      <c r="D122" s="42"/>
      <c r="E122" s="42"/>
      <c r="J122" s="17">
        <f t="shared" si="6"/>
        <v>0</v>
      </c>
      <c r="K122" s="2" t="str">
        <f t="shared" si="7"/>
        <v xml:space="preserve"> </v>
      </c>
      <c r="L122" s="2" t="str">
        <f t="shared" si="8"/>
        <v xml:space="preserve"> </v>
      </c>
      <c r="M122" s="2" t="str">
        <f t="shared" si="9"/>
        <v xml:space="preserve"> </v>
      </c>
    </row>
    <row r="123" spans="1:13" x14ac:dyDescent="0.25">
      <c r="A123" s="43" t="str">
        <f t="shared" si="5"/>
        <v xml:space="preserve"> </v>
      </c>
      <c r="D123" s="42"/>
      <c r="E123" s="42"/>
      <c r="J123" s="17">
        <f t="shared" si="6"/>
        <v>0</v>
      </c>
      <c r="K123" s="2" t="str">
        <f t="shared" si="7"/>
        <v xml:space="preserve"> </v>
      </c>
      <c r="L123" s="2" t="str">
        <f t="shared" si="8"/>
        <v xml:space="preserve"> </v>
      </c>
      <c r="M123" s="2" t="str">
        <f t="shared" si="9"/>
        <v xml:space="preserve"> </v>
      </c>
    </row>
    <row r="124" spans="1:13" x14ac:dyDescent="0.25">
      <c r="A124" s="43" t="str">
        <f t="shared" si="5"/>
        <v xml:space="preserve"> </v>
      </c>
      <c r="C124" s="49"/>
      <c r="D124" s="42"/>
      <c r="E124" s="42"/>
      <c r="J124" s="17">
        <f t="shared" si="6"/>
        <v>0</v>
      </c>
      <c r="K124" s="2" t="str">
        <f t="shared" si="7"/>
        <v xml:space="preserve"> </v>
      </c>
      <c r="L124" s="2" t="str">
        <f t="shared" si="8"/>
        <v xml:space="preserve"> </v>
      </c>
      <c r="M124" s="2" t="str">
        <f t="shared" si="9"/>
        <v xml:space="preserve"> </v>
      </c>
    </row>
    <row r="125" spans="1:13" x14ac:dyDescent="0.25">
      <c r="A125" s="43" t="str">
        <f t="shared" si="5"/>
        <v xml:space="preserve"> </v>
      </c>
      <c r="D125" s="42"/>
      <c r="E125" s="42"/>
      <c r="J125" s="17">
        <f t="shared" si="6"/>
        <v>0</v>
      </c>
      <c r="K125" s="2" t="str">
        <f t="shared" si="7"/>
        <v xml:space="preserve"> </v>
      </c>
      <c r="L125" s="2" t="str">
        <f t="shared" si="8"/>
        <v xml:space="preserve"> </v>
      </c>
      <c r="M125" s="2" t="str">
        <f t="shared" si="9"/>
        <v xml:space="preserve"> </v>
      </c>
    </row>
    <row r="126" spans="1:13" x14ac:dyDescent="0.25">
      <c r="A126" s="43" t="str">
        <f t="shared" si="5"/>
        <v xml:space="preserve"> </v>
      </c>
      <c r="D126" s="42"/>
      <c r="E126" s="42"/>
      <c r="J126" s="17">
        <f t="shared" si="6"/>
        <v>0</v>
      </c>
      <c r="K126" s="2" t="str">
        <f t="shared" si="7"/>
        <v xml:space="preserve"> </v>
      </c>
      <c r="L126" s="2" t="str">
        <f t="shared" si="8"/>
        <v xml:space="preserve"> </v>
      </c>
      <c r="M126" s="2" t="str">
        <f t="shared" si="9"/>
        <v xml:space="preserve"> </v>
      </c>
    </row>
    <row r="127" spans="1:13" x14ac:dyDescent="0.25">
      <c r="A127" s="43" t="str">
        <f t="shared" si="5"/>
        <v xml:space="preserve"> </v>
      </c>
      <c r="D127" s="42"/>
      <c r="E127" s="42"/>
      <c r="J127" s="17">
        <f t="shared" si="6"/>
        <v>0</v>
      </c>
      <c r="K127" s="2" t="str">
        <f t="shared" si="7"/>
        <v xml:space="preserve"> </v>
      </c>
      <c r="L127" s="2" t="str">
        <f t="shared" si="8"/>
        <v xml:space="preserve"> </v>
      </c>
      <c r="M127" s="2" t="str">
        <f t="shared" si="9"/>
        <v xml:space="preserve"> </v>
      </c>
    </row>
    <row r="128" spans="1:13" x14ac:dyDescent="0.25">
      <c r="A128" s="43" t="str">
        <f t="shared" si="5"/>
        <v xml:space="preserve"> </v>
      </c>
      <c r="D128" s="42"/>
      <c r="E128" s="42"/>
      <c r="J128" s="17">
        <f t="shared" si="6"/>
        <v>0</v>
      </c>
      <c r="K128" s="2" t="str">
        <f t="shared" si="7"/>
        <v xml:space="preserve"> </v>
      </c>
      <c r="L128" s="2" t="str">
        <f t="shared" si="8"/>
        <v xml:space="preserve"> </v>
      </c>
      <c r="M128" s="2" t="str">
        <f t="shared" si="9"/>
        <v xml:space="preserve"> </v>
      </c>
    </row>
    <row r="129" spans="1:13" x14ac:dyDescent="0.25">
      <c r="A129" s="43" t="str">
        <f t="shared" si="5"/>
        <v xml:space="preserve"> </v>
      </c>
      <c r="D129" s="42"/>
      <c r="E129" s="42"/>
      <c r="J129" s="17">
        <f t="shared" si="6"/>
        <v>0</v>
      </c>
      <c r="K129" s="2" t="str">
        <f t="shared" si="7"/>
        <v xml:space="preserve"> </v>
      </c>
      <c r="L129" s="2" t="str">
        <f t="shared" si="8"/>
        <v xml:space="preserve"> </v>
      </c>
      <c r="M129" s="2" t="str">
        <f t="shared" si="9"/>
        <v xml:space="preserve"> </v>
      </c>
    </row>
    <row r="130" spans="1:13" x14ac:dyDescent="0.25">
      <c r="A130" s="43" t="str">
        <f t="shared" si="5"/>
        <v xml:space="preserve"> </v>
      </c>
      <c r="D130" s="42"/>
      <c r="E130" s="42"/>
      <c r="J130" s="17">
        <f t="shared" si="6"/>
        <v>0</v>
      </c>
      <c r="K130" s="2" t="str">
        <f t="shared" si="7"/>
        <v xml:space="preserve"> </v>
      </c>
      <c r="L130" s="2" t="str">
        <f t="shared" si="8"/>
        <v xml:space="preserve"> </v>
      </c>
      <c r="M130" s="2" t="str">
        <f t="shared" si="9"/>
        <v xml:space="preserve"> </v>
      </c>
    </row>
    <row r="131" spans="1:13" x14ac:dyDescent="0.25">
      <c r="A131" s="43" t="str">
        <f t="shared" si="5"/>
        <v xml:space="preserve"> </v>
      </c>
      <c r="D131" s="42"/>
      <c r="E131" s="42"/>
      <c r="J131" s="17">
        <f t="shared" si="6"/>
        <v>0</v>
      </c>
      <c r="K131" s="2" t="str">
        <f t="shared" si="7"/>
        <v xml:space="preserve"> </v>
      </c>
      <c r="L131" s="2" t="str">
        <f t="shared" si="8"/>
        <v xml:space="preserve"> </v>
      </c>
      <c r="M131" s="2" t="str">
        <f t="shared" si="9"/>
        <v xml:space="preserve"> </v>
      </c>
    </row>
    <row r="132" spans="1:13" x14ac:dyDescent="0.25">
      <c r="A132" s="43" t="str">
        <f t="shared" si="5"/>
        <v xml:space="preserve"> </v>
      </c>
      <c r="D132" s="42"/>
      <c r="E132" s="42"/>
      <c r="J132" s="17">
        <f t="shared" si="6"/>
        <v>0</v>
      </c>
      <c r="K132" s="2" t="str">
        <f t="shared" si="7"/>
        <v xml:space="preserve"> </v>
      </c>
      <c r="L132" s="2" t="str">
        <f t="shared" si="8"/>
        <v xml:space="preserve"> </v>
      </c>
      <c r="M132" s="2" t="str">
        <f t="shared" si="9"/>
        <v xml:space="preserve"> </v>
      </c>
    </row>
    <row r="133" spans="1:13" x14ac:dyDescent="0.25">
      <c r="A133" s="43" t="str">
        <f t="shared" si="5"/>
        <v xml:space="preserve"> </v>
      </c>
      <c r="D133" s="42"/>
      <c r="E133" s="42"/>
      <c r="J133" s="17">
        <f t="shared" si="6"/>
        <v>0</v>
      </c>
      <c r="K133" s="2" t="str">
        <f t="shared" si="7"/>
        <v xml:space="preserve"> </v>
      </c>
      <c r="L133" s="2" t="str">
        <f t="shared" si="8"/>
        <v xml:space="preserve"> </v>
      </c>
      <c r="M133" s="2" t="str">
        <f t="shared" si="9"/>
        <v xml:space="preserve"> </v>
      </c>
    </row>
    <row r="134" spans="1:13" x14ac:dyDescent="0.25">
      <c r="A134" s="43" t="str">
        <f t="shared" si="5"/>
        <v xml:space="preserve"> </v>
      </c>
      <c r="D134" s="42"/>
      <c r="E134" s="42"/>
      <c r="J134" s="17">
        <f t="shared" si="6"/>
        <v>0</v>
      </c>
      <c r="K134" s="2" t="str">
        <f t="shared" si="7"/>
        <v xml:space="preserve"> </v>
      </c>
      <c r="L134" s="2" t="str">
        <f t="shared" si="8"/>
        <v xml:space="preserve"> </v>
      </c>
      <c r="M134" s="2" t="str">
        <f t="shared" si="9"/>
        <v xml:space="preserve"> </v>
      </c>
    </row>
    <row r="135" spans="1:13" x14ac:dyDescent="0.25">
      <c r="A135" s="43" t="str">
        <f t="shared" si="5"/>
        <v xml:space="preserve"> </v>
      </c>
      <c r="D135" s="42"/>
      <c r="E135" s="42"/>
      <c r="J135" s="17">
        <f t="shared" si="6"/>
        <v>0</v>
      </c>
      <c r="K135" s="2" t="str">
        <f t="shared" si="7"/>
        <v xml:space="preserve"> </v>
      </c>
      <c r="L135" s="2" t="str">
        <f t="shared" si="8"/>
        <v xml:space="preserve"> </v>
      </c>
      <c r="M135" s="2" t="str">
        <f t="shared" si="9"/>
        <v xml:space="preserve"> </v>
      </c>
    </row>
    <row r="136" spans="1:13" x14ac:dyDescent="0.25">
      <c r="A136" s="43" t="str">
        <f t="shared" si="5"/>
        <v xml:space="preserve"> </v>
      </c>
      <c r="D136" s="42"/>
      <c r="E136" s="42"/>
      <c r="J136" s="17">
        <f t="shared" si="6"/>
        <v>0</v>
      </c>
      <c r="K136" s="2" t="str">
        <f t="shared" si="7"/>
        <v xml:space="preserve"> </v>
      </c>
      <c r="L136" s="2" t="str">
        <f t="shared" si="8"/>
        <v xml:space="preserve"> </v>
      </c>
      <c r="M136" s="2" t="str">
        <f t="shared" si="9"/>
        <v xml:space="preserve"> </v>
      </c>
    </row>
    <row r="137" spans="1:13" x14ac:dyDescent="0.25">
      <c r="A137" s="43" t="str">
        <f t="shared" si="5"/>
        <v xml:space="preserve"> </v>
      </c>
      <c r="D137" s="42"/>
      <c r="E137" s="42"/>
      <c r="J137" s="17">
        <f t="shared" si="6"/>
        <v>0</v>
      </c>
      <c r="K137" s="2" t="str">
        <f t="shared" si="7"/>
        <v xml:space="preserve"> </v>
      </c>
      <c r="L137" s="2" t="str">
        <f t="shared" si="8"/>
        <v xml:space="preserve"> </v>
      </c>
      <c r="M137" s="2" t="str">
        <f t="shared" si="9"/>
        <v xml:space="preserve"> </v>
      </c>
    </row>
    <row r="138" spans="1:13" x14ac:dyDescent="0.25">
      <c r="A138" s="43" t="str">
        <f t="shared" si="5"/>
        <v xml:space="preserve"> </v>
      </c>
      <c r="D138" s="42"/>
      <c r="E138" s="42"/>
      <c r="J138" s="17">
        <f t="shared" si="6"/>
        <v>0</v>
      </c>
      <c r="K138" s="2" t="str">
        <f t="shared" si="7"/>
        <v xml:space="preserve"> </v>
      </c>
      <c r="L138" s="2" t="str">
        <f t="shared" si="8"/>
        <v xml:space="preserve"> </v>
      </c>
      <c r="M138" s="2" t="str">
        <f t="shared" si="9"/>
        <v xml:space="preserve"> </v>
      </c>
    </row>
    <row r="139" spans="1:13" x14ac:dyDescent="0.25">
      <c r="A139" s="43" t="str">
        <f t="shared" si="5"/>
        <v xml:space="preserve"> </v>
      </c>
      <c r="D139" s="42"/>
      <c r="E139" s="42"/>
      <c r="J139" s="17">
        <f t="shared" si="6"/>
        <v>0</v>
      </c>
      <c r="K139" s="2" t="str">
        <f t="shared" si="7"/>
        <v xml:space="preserve"> </v>
      </c>
      <c r="L139" s="2" t="str">
        <f t="shared" si="8"/>
        <v xml:space="preserve"> </v>
      </c>
      <c r="M139" s="2" t="str">
        <f t="shared" si="9"/>
        <v xml:space="preserve"> </v>
      </c>
    </row>
    <row r="140" spans="1:13" x14ac:dyDescent="0.25">
      <c r="A140" s="43" t="str">
        <f t="shared" si="5"/>
        <v xml:space="preserve"> </v>
      </c>
      <c r="D140" s="42"/>
      <c r="E140" s="42"/>
      <c r="J140" s="17">
        <f t="shared" si="6"/>
        <v>0</v>
      </c>
      <c r="K140" s="2" t="str">
        <f t="shared" si="7"/>
        <v xml:space="preserve"> </v>
      </c>
      <c r="L140" s="2" t="str">
        <f t="shared" si="8"/>
        <v xml:space="preserve"> </v>
      </c>
      <c r="M140" s="2" t="str">
        <f t="shared" si="9"/>
        <v xml:space="preserve"> </v>
      </c>
    </row>
    <row r="141" spans="1:13" x14ac:dyDescent="0.25">
      <c r="A141" s="43" t="str">
        <f t="shared" si="5"/>
        <v xml:space="preserve"> </v>
      </c>
      <c r="D141" s="42"/>
      <c r="E141" s="42"/>
      <c r="J141" s="17">
        <f t="shared" si="6"/>
        <v>0</v>
      </c>
      <c r="K141" s="2" t="str">
        <f t="shared" si="7"/>
        <v xml:space="preserve"> </v>
      </c>
      <c r="L141" s="2" t="str">
        <f t="shared" si="8"/>
        <v xml:space="preserve"> </v>
      </c>
      <c r="M141" s="2" t="str">
        <f t="shared" si="9"/>
        <v xml:space="preserve"> </v>
      </c>
    </row>
    <row r="142" spans="1:13" x14ac:dyDescent="0.25">
      <c r="A142" s="43" t="str">
        <f t="shared" si="5"/>
        <v xml:space="preserve"> </v>
      </c>
      <c r="D142" s="42"/>
      <c r="E142" s="42"/>
      <c r="J142" s="17">
        <f t="shared" si="6"/>
        <v>0</v>
      </c>
      <c r="K142" s="2" t="str">
        <f t="shared" si="7"/>
        <v xml:space="preserve"> </v>
      </c>
      <c r="L142" s="2" t="str">
        <f t="shared" si="8"/>
        <v xml:space="preserve"> </v>
      </c>
      <c r="M142" s="2" t="str">
        <f t="shared" si="9"/>
        <v xml:space="preserve"> </v>
      </c>
    </row>
    <row r="143" spans="1:13" x14ac:dyDescent="0.25">
      <c r="A143" s="43" t="str">
        <f t="shared" ref="A143:A206" si="10">IF(COUNTIF(K143:M143,"ERROR")&gt;0,"ERROR"," ")</f>
        <v xml:space="preserve"> </v>
      </c>
      <c r="D143" s="42"/>
      <c r="E143" s="42"/>
      <c r="J143" s="17">
        <f t="shared" ref="J143:J206" si="11">F143-G143+H143-I143</f>
        <v>0</v>
      </c>
      <c r="K143" s="2" t="str">
        <f t="shared" si="7"/>
        <v xml:space="preserve"> </v>
      </c>
      <c r="L143" s="2" t="str">
        <f t="shared" si="8"/>
        <v xml:space="preserve"> </v>
      </c>
      <c r="M143" s="2" t="str">
        <f t="shared" si="9"/>
        <v xml:space="preserve"> </v>
      </c>
    </row>
    <row r="144" spans="1:13" x14ac:dyDescent="0.25">
      <c r="A144" s="43" t="str">
        <f t="shared" si="10"/>
        <v xml:space="preserve"> </v>
      </c>
      <c r="D144" s="42"/>
      <c r="E144" s="42"/>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43" t="str">
        <f t="shared" si="10"/>
        <v xml:space="preserve"> </v>
      </c>
      <c r="D145" s="42"/>
      <c r="E145" s="42"/>
      <c r="J145" s="17">
        <f t="shared" si="11"/>
        <v>0</v>
      </c>
      <c r="K145" s="2" t="str">
        <f t="shared" si="12"/>
        <v xml:space="preserve"> </v>
      </c>
      <c r="L145" s="2" t="str">
        <f t="shared" si="13"/>
        <v xml:space="preserve"> </v>
      </c>
      <c r="M145" s="2" t="str">
        <f t="shared" si="14"/>
        <v xml:space="preserve"> </v>
      </c>
    </row>
    <row r="146" spans="1:13" x14ac:dyDescent="0.25">
      <c r="A146" s="43" t="str">
        <f t="shared" si="10"/>
        <v xml:space="preserve"> </v>
      </c>
      <c r="D146" s="42"/>
      <c r="E146" s="42"/>
      <c r="J146" s="17">
        <f t="shared" si="11"/>
        <v>0</v>
      </c>
      <c r="K146" s="2" t="str">
        <f t="shared" si="12"/>
        <v xml:space="preserve"> </v>
      </c>
      <c r="L146" s="2" t="str">
        <f t="shared" si="13"/>
        <v xml:space="preserve"> </v>
      </c>
      <c r="M146" s="2" t="str">
        <f t="shared" si="14"/>
        <v xml:space="preserve"> </v>
      </c>
    </row>
    <row r="147" spans="1:13" x14ac:dyDescent="0.25">
      <c r="A147" s="43" t="str">
        <f t="shared" si="10"/>
        <v xml:space="preserve"> </v>
      </c>
      <c r="D147" s="42"/>
      <c r="E147" s="42"/>
      <c r="J147" s="17">
        <f t="shared" si="11"/>
        <v>0</v>
      </c>
      <c r="K147" s="2" t="str">
        <f t="shared" si="12"/>
        <v xml:space="preserve"> </v>
      </c>
      <c r="L147" s="2" t="str">
        <f t="shared" si="13"/>
        <v xml:space="preserve"> </v>
      </c>
      <c r="M147" s="2" t="str">
        <f t="shared" si="14"/>
        <v xml:space="preserve"> </v>
      </c>
    </row>
    <row r="148" spans="1:13" x14ac:dyDescent="0.25">
      <c r="A148" s="43" t="str">
        <f t="shared" si="10"/>
        <v xml:space="preserve"> </v>
      </c>
      <c r="D148" s="42"/>
      <c r="E148" s="42"/>
      <c r="J148" s="17">
        <f t="shared" si="11"/>
        <v>0</v>
      </c>
      <c r="K148" s="2" t="str">
        <f t="shared" si="12"/>
        <v xml:space="preserve"> </v>
      </c>
      <c r="L148" s="2" t="str">
        <f t="shared" si="13"/>
        <v xml:space="preserve"> </v>
      </c>
      <c r="M148" s="2" t="str">
        <f t="shared" si="14"/>
        <v xml:space="preserve"> </v>
      </c>
    </row>
    <row r="149" spans="1:13" x14ac:dyDescent="0.25">
      <c r="A149" s="43" t="str">
        <f t="shared" si="10"/>
        <v xml:space="preserve"> </v>
      </c>
      <c r="D149" s="42"/>
      <c r="E149" s="42"/>
      <c r="J149" s="17">
        <f t="shared" si="11"/>
        <v>0</v>
      </c>
      <c r="K149" s="2" t="str">
        <f t="shared" si="12"/>
        <v xml:space="preserve"> </v>
      </c>
      <c r="L149" s="2" t="str">
        <f t="shared" si="13"/>
        <v xml:space="preserve"> </v>
      </c>
      <c r="M149" s="2" t="str">
        <f t="shared" si="14"/>
        <v xml:space="preserve"> </v>
      </c>
    </row>
    <row r="150" spans="1:13" x14ac:dyDescent="0.25">
      <c r="A150" s="43" t="str">
        <f t="shared" si="10"/>
        <v xml:space="preserve"> </v>
      </c>
      <c r="D150" s="42"/>
      <c r="E150" s="42"/>
      <c r="J150" s="17">
        <f t="shared" si="11"/>
        <v>0</v>
      </c>
      <c r="K150" s="2" t="str">
        <f t="shared" si="12"/>
        <v xml:space="preserve"> </v>
      </c>
      <c r="L150" s="2" t="str">
        <f t="shared" si="13"/>
        <v xml:space="preserve"> </v>
      </c>
      <c r="M150" s="2" t="str">
        <f t="shared" si="14"/>
        <v xml:space="preserve"> </v>
      </c>
    </row>
    <row r="151" spans="1:13" x14ac:dyDescent="0.25">
      <c r="A151" s="43" t="str">
        <f t="shared" si="10"/>
        <v xml:space="preserve"> </v>
      </c>
      <c r="D151" s="42"/>
      <c r="E151" s="42"/>
      <c r="J151" s="17">
        <f t="shared" si="11"/>
        <v>0</v>
      </c>
      <c r="K151" s="2" t="str">
        <f t="shared" si="12"/>
        <v xml:space="preserve"> </v>
      </c>
      <c r="L151" s="2" t="str">
        <f t="shared" si="13"/>
        <v xml:space="preserve"> </v>
      </c>
      <c r="M151" s="2" t="str">
        <f t="shared" si="14"/>
        <v xml:space="preserve"> </v>
      </c>
    </row>
    <row r="152" spans="1:13" x14ac:dyDescent="0.25">
      <c r="A152" s="43" t="str">
        <f t="shared" si="10"/>
        <v xml:space="preserve"> </v>
      </c>
      <c r="D152" s="42"/>
      <c r="E152" s="42"/>
      <c r="J152" s="17">
        <f t="shared" si="11"/>
        <v>0</v>
      </c>
      <c r="K152" s="2" t="str">
        <f t="shared" si="12"/>
        <v xml:space="preserve"> </v>
      </c>
      <c r="L152" s="2" t="str">
        <f t="shared" si="13"/>
        <v xml:space="preserve"> </v>
      </c>
      <c r="M152" s="2" t="str">
        <f t="shared" si="14"/>
        <v xml:space="preserve"> </v>
      </c>
    </row>
    <row r="153" spans="1:13" x14ac:dyDescent="0.25">
      <c r="A153" s="43" t="str">
        <f t="shared" si="10"/>
        <v xml:space="preserve"> </v>
      </c>
      <c r="D153" s="42"/>
      <c r="E153" s="42"/>
      <c r="J153" s="17">
        <f t="shared" si="11"/>
        <v>0</v>
      </c>
      <c r="K153" s="2" t="str">
        <f t="shared" si="12"/>
        <v xml:space="preserve"> </v>
      </c>
      <c r="L153" s="2" t="str">
        <f t="shared" si="13"/>
        <v xml:space="preserve"> </v>
      </c>
      <c r="M153" s="2" t="str">
        <f t="shared" si="14"/>
        <v xml:space="preserve"> </v>
      </c>
    </row>
    <row r="154" spans="1:13" x14ac:dyDescent="0.25">
      <c r="A154" s="43" t="str">
        <f t="shared" si="10"/>
        <v xml:space="preserve"> </v>
      </c>
      <c r="D154" s="42"/>
      <c r="E154" s="42"/>
      <c r="J154" s="17">
        <f t="shared" si="11"/>
        <v>0</v>
      </c>
      <c r="K154" s="2" t="str">
        <f t="shared" si="12"/>
        <v xml:space="preserve"> </v>
      </c>
      <c r="L154" s="2" t="str">
        <f t="shared" si="13"/>
        <v xml:space="preserve"> </v>
      </c>
      <c r="M154" s="2" t="str">
        <f t="shared" si="14"/>
        <v xml:space="preserve"> </v>
      </c>
    </row>
    <row r="155" spans="1:13" x14ac:dyDescent="0.25">
      <c r="A155" s="43" t="str">
        <f t="shared" si="10"/>
        <v xml:space="preserve"> </v>
      </c>
      <c r="D155" s="42"/>
      <c r="E155" s="42"/>
      <c r="J155" s="17">
        <f t="shared" si="11"/>
        <v>0</v>
      </c>
      <c r="K155" s="2" t="str">
        <f t="shared" si="12"/>
        <v xml:space="preserve"> </v>
      </c>
      <c r="L155" s="2" t="str">
        <f t="shared" si="13"/>
        <v xml:space="preserve"> </v>
      </c>
      <c r="M155" s="2" t="str">
        <f t="shared" si="14"/>
        <v xml:space="preserve"> </v>
      </c>
    </row>
    <row r="156" spans="1:13" x14ac:dyDescent="0.25">
      <c r="A156" s="43" t="str">
        <f t="shared" si="10"/>
        <v xml:space="preserve"> </v>
      </c>
      <c r="D156" s="42"/>
      <c r="E156" s="42"/>
      <c r="J156" s="17">
        <f t="shared" si="11"/>
        <v>0</v>
      </c>
      <c r="K156" s="2" t="str">
        <f t="shared" si="12"/>
        <v xml:space="preserve"> </v>
      </c>
      <c r="L156" s="2" t="str">
        <f t="shared" si="13"/>
        <v xml:space="preserve"> </v>
      </c>
      <c r="M156" s="2" t="str">
        <f t="shared" si="14"/>
        <v xml:space="preserve"> </v>
      </c>
    </row>
    <row r="157" spans="1:13" x14ac:dyDescent="0.25">
      <c r="A157" s="43" t="str">
        <f t="shared" si="10"/>
        <v xml:space="preserve"> </v>
      </c>
      <c r="D157" s="42"/>
      <c r="E157" s="42"/>
      <c r="J157" s="17">
        <f t="shared" si="11"/>
        <v>0</v>
      </c>
      <c r="K157" s="2" t="str">
        <f t="shared" si="12"/>
        <v xml:space="preserve"> </v>
      </c>
      <c r="L157" s="2" t="str">
        <f t="shared" si="13"/>
        <v xml:space="preserve"> </v>
      </c>
      <c r="M157" s="2" t="str">
        <f t="shared" si="14"/>
        <v xml:space="preserve"> </v>
      </c>
    </row>
    <row r="158" spans="1:13" x14ac:dyDescent="0.25">
      <c r="A158" s="43" t="str">
        <f t="shared" si="10"/>
        <v xml:space="preserve"> </v>
      </c>
      <c r="D158" s="42"/>
      <c r="E158" s="42"/>
      <c r="J158" s="17">
        <f t="shared" si="11"/>
        <v>0</v>
      </c>
      <c r="K158" s="2" t="str">
        <f t="shared" si="12"/>
        <v xml:space="preserve"> </v>
      </c>
      <c r="L158" s="2" t="str">
        <f t="shared" si="13"/>
        <v xml:space="preserve"> </v>
      </c>
      <c r="M158" s="2" t="str">
        <f t="shared" si="14"/>
        <v xml:space="preserve"> </v>
      </c>
    </row>
    <row r="159" spans="1:13" x14ac:dyDescent="0.25">
      <c r="A159" s="43" t="str">
        <f t="shared" si="10"/>
        <v xml:space="preserve"> </v>
      </c>
      <c r="D159" s="42"/>
      <c r="E159" s="42"/>
      <c r="J159" s="17">
        <f t="shared" si="11"/>
        <v>0</v>
      </c>
      <c r="K159" s="2" t="str">
        <f t="shared" si="12"/>
        <v xml:space="preserve"> </v>
      </c>
      <c r="L159" s="2" t="str">
        <f t="shared" si="13"/>
        <v xml:space="preserve"> </v>
      </c>
      <c r="M159" s="2" t="str">
        <f t="shared" si="14"/>
        <v xml:space="preserve"> </v>
      </c>
    </row>
    <row r="160" spans="1:13" x14ac:dyDescent="0.25">
      <c r="A160" s="43" t="str">
        <f t="shared" si="10"/>
        <v xml:space="preserve"> </v>
      </c>
      <c r="D160" s="42"/>
      <c r="E160" s="42"/>
      <c r="J160" s="17">
        <f t="shared" si="11"/>
        <v>0</v>
      </c>
      <c r="K160" s="2" t="str">
        <f t="shared" si="12"/>
        <v xml:space="preserve"> </v>
      </c>
      <c r="L160" s="2" t="str">
        <f t="shared" si="13"/>
        <v xml:space="preserve"> </v>
      </c>
      <c r="M160" s="2" t="str">
        <f t="shared" si="14"/>
        <v xml:space="preserve"> </v>
      </c>
    </row>
    <row r="161" spans="1:13" x14ac:dyDescent="0.25">
      <c r="A161" s="43" t="str">
        <f t="shared" si="10"/>
        <v xml:space="preserve"> </v>
      </c>
      <c r="D161" s="42"/>
      <c r="E161" s="42"/>
      <c r="J161" s="17">
        <f t="shared" si="11"/>
        <v>0</v>
      </c>
      <c r="K161" s="2" t="str">
        <f t="shared" si="12"/>
        <v xml:space="preserve"> </v>
      </c>
      <c r="L161" s="2" t="str">
        <f t="shared" si="13"/>
        <v xml:space="preserve"> </v>
      </c>
      <c r="M161" s="2" t="str">
        <f t="shared" si="14"/>
        <v xml:space="preserve"> </v>
      </c>
    </row>
    <row r="162" spans="1:13" x14ac:dyDescent="0.25">
      <c r="A162" s="43" t="str">
        <f t="shared" si="10"/>
        <v xml:space="preserve"> </v>
      </c>
      <c r="D162" s="42"/>
      <c r="E162" s="42"/>
      <c r="J162" s="17">
        <f t="shared" si="11"/>
        <v>0</v>
      </c>
      <c r="K162" s="2" t="str">
        <f t="shared" si="12"/>
        <v xml:space="preserve"> </v>
      </c>
      <c r="L162" s="2" t="str">
        <f t="shared" si="13"/>
        <v xml:space="preserve"> </v>
      </c>
      <c r="M162" s="2" t="str">
        <f t="shared" si="14"/>
        <v xml:space="preserve"> </v>
      </c>
    </row>
    <row r="163" spans="1:13" x14ac:dyDescent="0.25">
      <c r="A163" s="43" t="str">
        <f t="shared" si="10"/>
        <v xml:space="preserve"> </v>
      </c>
      <c r="D163" s="42"/>
      <c r="E163" s="42"/>
      <c r="J163" s="17">
        <f t="shared" si="11"/>
        <v>0</v>
      </c>
      <c r="K163" s="2" t="str">
        <f t="shared" si="12"/>
        <v xml:space="preserve"> </v>
      </c>
      <c r="L163" s="2" t="str">
        <f t="shared" si="13"/>
        <v xml:space="preserve"> </v>
      </c>
      <c r="M163" s="2" t="str">
        <f t="shared" si="14"/>
        <v xml:space="preserve"> </v>
      </c>
    </row>
    <row r="164" spans="1:13" x14ac:dyDescent="0.25">
      <c r="A164" s="43" t="str">
        <f t="shared" si="10"/>
        <v xml:space="preserve"> </v>
      </c>
      <c r="D164" s="42"/>
      <c r="E164" s="42"/>
      <c r="J164" s="17">
        <f t="shared" si="11"/>
        <v>0</v>
      </c>
      <c r="K164" s="2" t="str">
        <f t="shared" si="12"/>
        <v xml:space="preserve"> </v>
      </c>
      <c r="L164" s="2" t="str">
        <f t="shared" si="13"/>
        <v xml:space="preserve"> </v>
      </c>
      <c r="M164" s="2" t="str">
        <f t="shared" si="14"/>
        <v xml:space="preserve"> </v>
      </c>
    </row>
    <row r="165" spans="1:13" x14ac:dyDescent="0.25">
      <c r="A165" s="43" t="str">
        <f t="shared" si="10"/>
        <v xml:space="preserve"> </v>
      </c>
      <c r="D165" s="42"/>
      <c r="E165" s="42"/>
      <c r="J165" s="17">
        <f t="shared" si="11"/>
        <v>0</v>
      </c>
      <c r="K165" s="2" t="str">
        <f t="shared" si="12"/>
        <v xml:space="preserve"> </v>
      </c>
      <c r="L165" s="2" t="str">
        <f t="shared" si="13"/>
        <v xml:space="preserve"> </v>
      </c>
      <c r="M165" s="2" t="str">
        <f t="shared" si="14"/>
        <v xml:space="preserve"> </v>
      </c>
    </row>
    <row r="166" spans="1:13" x14ac:dyDescent="0.25">
      <c r="A166" s="43" t="str">
        <f t="shared" si="10"/>
        <v xml:space="preserve"> </v>
      </c>
      <c r="D166" s="42"/>
      <c r="E166" s="42"/>
      <c r="J166" s="17">
        <f t="shared" si="11"/>
        <v>0</v>
      </c>
      <c r="K166" s="2" t="str">
        <f t="shared" si="12"/>
        <v xml:space="preserve"> </v>
      </c>
      <c r="L166" s="2" t="str">
        <f t="shared" si="13"/>
        <v xml:space="preserve"> </v>
      </c>
      <c r="M166" s="2" t="str">
        <f t="shared" si="14"/>
        <v xml:space="preserve"> </v>
      </c>
    </row>
    <row r="167" spans="1:13" x14ac:dyDescent="0.25">
      <c r="A167" s="43" t="str">
        <f t="shared" si="10"/>
        <v xml:space="preserve"> </v>
      </c>
      <c r="D167" s="42"/>
      <c r="E167" s="42"/>
      <c r="J167" s="17">
        <f t="shared" si="11"/>
        <v>0</v>
      </c>
      <c r="K167" s="2" t="str">
        <f t="shared" si="12"/>
        <v xml:space="preserve"> </v>
      </c>
      <c r="L167" s="2" t="str">
        <f t="shared" si="13"/>
        <v xml:space="preserve"> </v>
      </c>
      <c r="M167" s="2" t="str">
        <f t="shared" si="14"/>
        <v xml:space="preserve"> </v>
      </c>
    </row>
    <row r="168" spans="1:13" x14ac:dyDescent="0.25">
      <c r="A168" s="43" t="str">
        <f t="shared" si="10"/>
        <v xml:space="preserve"> </v>
      </c>
      <c r="D168" s="42"/>
      <c r="E168" s="42"/>
      <c r="J168" s="17">
        <f t="shared" si="11"/>
        <v>0</v>
      </c>
      <c r="K168" s="2" t="str">
        <f t="shared" si="12"/>
        <v xml:space="preserve"> </v>
      </c>
      <c r="L168" s="2" t="str">
        <f t="shared" si="13"/>
        <v xml:space="preserve"> </v>
      </c>
      <c r="M168" s="2" t="str">
        <f t="shared" si="14"/>
        <v xml:space="preserve"> </v>
      </c>
    </row>
    <row r="169" spans="1:13" x14ac:dyDescent="0.25">
      <c r="A169" s="43" t="str">
        <f t="shared" si="10"/>
        <v xml:space="preserve"> </v>
      </c>
      <c r="D169" s="42"/>
      <c r="E169" s="42"/>
      <c r="J169" s="17">
        <f t="shared" si="11"/>
        <v>0</v>
      </c>
      <c r="K169" s="2" t="str">
        <f t="shared" si="12"/>
        <v xml:space="preserve"> </v>
      </c>
      <c r="L169" s="2" t="str">
        <f t="shared" si="13"/>
        <v xml:space="preserve"> </v>
      </c>
      <c r="M169" s="2" t="str">
        <f t="shared" si="14"/>
        <v xml:space="preserve"> </v>
      </c>
    </row>
    <row r="170" spans="1:13" x14ac:dyDescent="0.25">
      <c r="A170" s="43" t="str">
        <f t="shared" si="10"/>
        <v xml:space="preserve"> </v>
      </c>
      <c r="D170" s="42"/>
      <c r="E170" s="42"/>
      <c r="J170" s="17">
        <f t="shared" si="11"/>
        <v>0</v>
      </c>
      <c r="K170" s="2" t="str">
        <f t="shared" si="12"/>
        <v xml:space="preserve"> </v>
      </c>
      <c r="L170" s="2" t="str">
        <f t="shared" si="13"/>
        <v xml:space="preserve"> </v>
      </c>
      <c r="M170" s="2" t="str">
        <f t="shared" si="14"/>
        <v xml:space="preserve"> </v>
      </c>
    </row>
    <row r="171" spans="1:13" x14ac:dyDescent="0.25">
      <c r="A171" s="43" t="str">
        <f t="shared" si="10"/>
        <v xml:space="preserve"> </v>
      </c>
      <c r="D171" s="42"/>
      <c r="E171" s="42"/>
      <c r="J171" s="17">
        <f t="shared" si="11"/>
        <v>0</v>
      </c>
      <c r="K171" s="2" t="str">
        <f t="shared" si="12"/>
        <v xml:space="preserve"> </v>
      </c>
      <c r="L171" s="2" t="str">
        <f t="shared" si="13"/>
        <v xml:space="preserve"> </v>
      </c>
      <c r="M171" s="2" t="str">
        <f t="shared" si="14"/>
        <v xml:space="preserve"> </v>
      </c>
    </row>
    <row r="172" spans="1:13" x14ac:dyDescent="0.25">
      <c r="A172" s="43" t="str">
        <f t="shared" si="10"/>
        <v xml:space="preserve"> </v>
      </c>
      <c r="D172" s="42"/>
      <c r="E172" s="42"/>
      <c r="J172" s="17">
        <f t="shared" si="11"/>
        <v>0</v>
      </c>
      <c r="K172" s="2" t="str">
        <f t="shared" si="12"/>
        <v xml:space="preserve"> </v>
      </c>
      <c r="L172" s="2" t="str">
        <f t="shared" si="13"/>
        <v xml:space="preserve"> </v>
      </c>
      <c r="M172" s="2" t="str">
        <f t="shared" si="14"/>
        <v xml:space="preserve"> </v>
      </c>
    </row>
    <row r="173" spans="1:13" x14ac:dyDescent="0.25">
      <c r="A173" s="43" t="str">
        <f t="shared" si="10"/>
        <v xml:space="preserve"> </v>
      </c>
      <c r="D173" s="42"/>
      <c r="E173" s="42"/>
      <c r="J173" s="17">
        <f t="shared" si="11"/>
        <v>0</v>
      </c>
      <c r="K173" s="2" t="str">
        <f t="shared" si="12"/>
        <v xml:space="preserve"> </v>
      </c>
      <c r="L173" s="2" t="str">
        <f t="shared" si="13"/>
        <v xml:space="preserve"> </v>
      </c>
      <c r="M173" s="2" t="str">
        <f t="shared" si="14"/>
        <v xml:space="preserve"> </v>
      </c>
    </row>
    <row r="174" spans="1:13" x14ac:dyDescent="0.25">
      <c r="A174" s="43" t="str">
        <f t="shared" si="10"/>
        <v xml:space="preserve"> </v>
      </c>
      <c r="D174" s="42"/>
      <c r="E174" s="42"/>
      <c r="J174" s="17">
        <f t="shared" si="11"/>
        <v>0</v>
      </c>
      <c r="K174" s="2" t="str">
        <f t="shared" si="12"/>
        <v xml:space="preserve"> </v>
      </c>
      <c r="L174" s="2" t="str">
        <f t="shared" si="13"/>
        <v xml:space="preserve"> </v>
      </c>
      <c r="M174" s="2" t="str">
        <f t="shared" si="14"/>
        <v xml:space="preserve"> </v>
      </c>
    </row>
    <row r="175" spans="1:13" x14ac:dyDescent="0.25">
      <c r="A175" s="43" t="str">
        <f t="shared" si="10"/>
        <v xml:space="preserve"> </v>
      </c>
      <c r="D175" s="42"/>
      <c r="E175" s="42"/>
      <c r="J175" s="17">
        <f t="shared" si="11"/>
        <v>0</v>
      </c>
      <c r="K175" s="2" t="str">
        <f t="shared" si="12"/>
        <v xml:space="preserve"> </v>
      </c>
      <c r="L175" s="2" t="str">
        <f t="shared" si="13"/>
        <v xml:space="preserve"> </v>
      </c>
      <c r="M175" s="2" t="str">
        <f t="shared" si="14"/>
        <v xml:space="preserve"> </v>
      </c>
    </row>
    <row r="176" spans="1:13" x14ac:dyDescent="0.25">
      <c r="A176" s="43" t="str">
        <f t="shared" si="10"/>
        <v xml:space="preserve"> </v>
      </c>
      <c r="D176" s="42"/>
      <c r="E176" s="42"/>
      <c r="J176" s="17">
        <f t="shared" si="11"/>
        <v>0</v>
      </c>
      <c r="K176" s="2" t="str">
        <f t="shared" si="12"/>
        <v xml:space="preserve"> </v>
      </c>
      <c r="L176" s="2" t="str">
        <f t="shared" si="13"/>
        <v xml:space="preserve"> </v>
      </c>
      <c r="M176" s="2" t="str">
        <f t="shared" si="14"/>
        <v xml:space="preserve"> </v>
      </c>
    </row>
    <row r="177" spans="1:13" x14ac:dyDescent="0.25">
      <c r="A177" s="43" t="str">
        <f t="shared" si="10"/>
        <v xml:space="preserve"> </v>
      </c>
      <c r="D177" s="42"/>
      <c r="E177" s="42"/>
      <c r="J177" s="17">
        <f t="shared" si="11"/>
        <v>0</v>
      </c>
      <c r="K177" s="2" t="str">
        <f t="shared" si="12"/>
        <v xml:space="preserve"> </v>
      </c>
      <c r="L177" s="2" t="str">
        <f t="shared" si="13"/>
        <v xml:space="preserve"> </v>
      </c>
      <c r="M177" s="2" t="str">
        <f t="shared" si="14"/>
        <v xml:space="preserve"> </v>
      </c>
    </row>
    <row r="178" spans="1:13" x14ac:dyDescent="0.25">
      <c r="A178" s="43" t="str">
        <f t="shared" si="10"/>
        <v xml:space="preserve"> </v>
      </c>
      <c r="D178" s="42"/>
      <c r="E178" s="42"/>
      <c r="J178" s="17">
        <f t="shared" si="11"/>
        <v>0</v>
      </c>
      <c r="K178" s="2" t="str">
        <f t="shared" si="12"/>
        <v xml:space="preserve"> </v>
      </c>
      <c r="L178" s="2" t="str">
        <f t="shared" si="13"/>
        <v xml:space="preserve"> </v>
      </c>
      <c r="M178" s="2" t="str">
        <f t="shared" si="14"/>
        <v xml:space="preserve"> </v>
      </c>
    </row>
    <row r="179" spans="1:13" x14ac:dyDescent="0.25">
      <c r="A179" s="43" t="str">
        <f t="shared" si="10"/>
        <v xml:space="preserve"> </v>
      </c>
      <c r="D179" s="42"/>
      <c r="E179" s="42"/>
      <c r="J179" s="17">
        <f t="shared" si="11"/>
        <v>0</v>
      </c>
      <c r="K179" s="2" t="str">
        <f t="shared" si="12"/>
        <v xml:space="preserve"> </v>
      </c>
      <c r="L179" s="2" t="str">
        <f t="shared" si="13"/>
        <v xml:space="preserve"> </v>
      </c>
      <c r="M179" s="2" t="str">
        <f t="shared" si="14"/>
        <v xml:space="preserve"> </v>
      </c>
    </row>
    <row r="180" spans="1:13" x14ac:dyDescent="0.25">
      <c r="A180" s="43" t="str">
        <f t="shared" si="10"/>
        <v xml:space="preserve"> </v>
      </c>
      <c r="D180" s="42"/>
      <c r="E180" s="42"/>
      <c r="J180" s="17">
        <f t="shared" si="11"/>
        <v>0</v>
      </c>
      <c r="K180" s="2" t="str">
        <f t="shared" si="12"/>
        <v xml:space="preserve"> </v>
      </c>
      <c r="L180" s="2" t="str">
        <f t="shared" si="13"/>
        <v xml:space="preserve"> </v>
      </c>
      <c r="M180" s="2" t="str">
        <f t="shared" si="14"/>
        <v xml:space="preserve"> </v>
      </c>
    </row>
    <row r="181" spans="1:13" x14ac:dyDescent="0.25">
      <c r="A181" s="43" t="str">
        <f t="shared" si="10"/>
        <v xml:space="preserve"> </v>
      </c>
      <c r="D181" s="42"/>
      <c r="E181" s="42"/>
      <c r="J181" s="17">
        <f t="shared" si="11"/>
        <v>0</v>
      </c>
      <c r="K181" s="2" t="str">
        <f t="shared" si="12"/>
        <v xml:space="preserve"> </v>
      </c>
      <c r="L181" s="2" t="str">
        <f t="shared" si="13"/>
        <v xml:space="preserve"> </v>
      </c>
      <c r="M181" s="2" t="str">
        <f t="shared" si="14"/>
        <v xml:space="preserve"> </v>
      </c>
    </row>
    <row r="182" spans="1:13" x14ac:dyDescent="0.25">
      <c r="A182" s="43" t="str">
        <f t="shared" si="10"/>
        <v xml:space="preserve"> </v>
      </c>
      <c r="D182" s="42"/>
      <c r="E182" s="42"/>
      <c r="J182" s="17">
        <f t="shared" si="11"/>
        <v>0</v>
      </c>
      <c r="K182" s="2" t="str">
        <f t="shared" si="12"/>
        <v xml:space="preserve"> </v>
      </c>
      <c r="L182" s="2" t="str">
        <f t="shared" si="13"/>
        <v xml:space="preserve"> </v>
      </c>
      <c r="M182" s="2" t="str">
        <f t="shared" si="14"/>
        <v xml:space="preserve"> </v>
      </c>
    </row>
    <row r="183" spans="1:13" x14ac:dyDescent="0.25">
      <c r="A183" s="43" t="str">
        <f t="shared" si="10"/>
        <v xml:space="preserve"> </v>
      </c>
      <c r="D183" s="42"/>
      <c r="E183" s="42"/>
      <c r="J183" s="17">
        <f t="shared" si="11"/>
        <v>0</v>
      </c>
      <c r="K183" s="2" t="str">
        <f t="shared" si="12"/>
        <v xml:space="preserve"> </v>
      </c>
      <c r="L183" s="2" t="str">
        <f t="shared" si="13"/>
        <v xml:space="preserve"> </v>
      </c>
      <c r="M183" s="2" t="str">
        <f t="shared" si="14"/>
        <v xml:space="preserve"> </v>
      </c>
    </row>
    <row r="184" spans="1:13" x14ac:dyDescent="0.25">
      <c r="A184" s="43" t="str">
        <f t="shared" si="10"/>
        <v xml:space="preserve"> </v>
      </c>
      <c r="D184" s="42"/>
      <c r="E184" s="42"/>
      <c r="J184" s="17">
        <f t="shared" si="11"/>
        <v>0</v>
      </c>
      <c r="K184" s="2" t="str">
        <f t="shared" si="12"/>
        <v xml:space="preserve"> </v>
      </c>
      <c r="L184" s="2" t="str">
        <f t="shared" si="13"/>
        <v xml:space="preserve"> </v>
      </c>
      <c r="M184" s="2" t="str">
        <f t="shared" si="14"/>
        <v xml:space="preserve"> </v>
      </c>
    </row>
    <row r="185" spans="1:13" x14ac:dyDescent="0.25">
      <c r="A185" s="43" t="str">
        <f t="shared" si="10"/>
        <v xml:space="preserve"> </v>
      </c>
      <c r="D185" s="42"/>
      <c r="E185" s="42"/>
      <c r="J185" s="17">
        <f t="shared" si="11"/>
        <v>0</v>
      </c>
      <c r="K185" s="2" t="str">
        <f t="shared" si="12"/>
        <v xml:space="preserve"> </v>
      </c>
      <c r="L185" s="2" t="str">
        <f t="shared" si="13"/>
        <v xml:space="preserve"> </v>
      </c>
      <c r="M185" s="2" t="str">
        <f t="shared" si="14"/>
        <v xml:space="preserve"> </v>
      </c>
    </row>
    <row r="186" spans="1:13" x14ac:dyDescent="0.25">
      <c r="A186" s="43" t="str">
        <f t="shared" si="10"/>
        <v xml:space="preserve"> </v>
      </c>
      <c r="D186" s="42"/>
      <c r="E186" s="42"/>
      <c r="J186" s="17">
        <f t="shared" si="11"/>
        <v>0</v>
      </c>
      <c r="K186" s="2" t="str">
        <f t="shared" si="12"/>
        <v xml:space="preserve"> </v>
      </c>
      <c r="L186" s="2" t="str">
        <f t="shared" si="13"/>
        <v xml:space="preserve"> </v>
      </c>
      <c r="M186" s="2" t="str">
        <f t="shared" si="14"/>
        <v xml:space="preserve"> </v>
      </c>
    </row>
    <row r="187" spans="1:13" x14ac:dyDescent="0.25">
      <c r="A187" s="43" t="str">
        <f t="shared" si="10"/>
        <v xml:space="preserve"> </v>
      </c>
      <c r="D187" s="42"/>
      <c r="E187" s="42"/>
      <c r="J187" s="17">
        <f t="shared" si="11"/>
        <v>0</v>
      </c>
      <c r="K187" s="2" t="str">
        <f t="shared" si="12"/>
        <v xml:space="preserve"> </v>
      </c>
      <c r="L187" s="2" t="str">
        <f t="shared" si="13"/>
        <v xml:space="preserve"> </v>
      </c>
      <c r="M187" s="2" t="str">
        <f t="shared" si="14"/>
        <v xml:space="preserve"> </v>
      </c>
    </row>
    <row r="188" spans="1:13" x14ac:dyDescent="0.25">
      <c r="A188" s="43" t="str">
        <f t="shared" si="10"/>
        <v xml:space="preserve"> </v>
      </c>
      <c r="D188" s="42"/>
      <c r="E188" s="42"/>
      <c r="J188" s="17">
        <f t="shared" si="11"/>
        <v>0</v>
      </c>
      <c r="K188" s="2" t="str">
        <f t="shared" si="12"/>
        <v xml:space="preserve"> </v>
      </c>
      <c r="L188" s="2" t="str">
        <f t="shared" si="13"/>
        <v xml:space="preserve"> </v>
      </c>
      <c r="M188" s="2" t="str">
        <f t="shared" si="14"/>
        <v xml:space="preserve"> </v>
      </c>
    </row>
    <row r="189" spans="1:13" x14ac:dyDescent="0.25">
      <c r="A189" s="43" t="str">
        <f t="shared" si="10"/>
        <v xml:space="preserve"> </v>
      </c>
      <c r="D189" s="42"/>
      <c r="E189" s="42"/>
      <c r="J189" s="17">
        <f t="shared" si="11"/>
        <v>0</v>
      </c>
      <c r="K189" s="2" t="str">
        <f t="shared" si="12"/>
        <v xml:space="preserve"> </v>
      </c>
      <c r="L189" s="2" t="str">
        <f t="shared" si="13"/>
        <v xml:space="preserve"> </v>
      </c>
      <c r="M189" s="2" t="str">
        <f t="shared" si="14"/>
        <v xml:space="preserve"> </v>
      </c>
    </row>
    <row r="190" spans="1:13" x14ac:dyDescent="0.25">
      <c r="A190" s="43" t="str">
        <f t="shared" si="10"/>
        <v xml:space="preserve"> </v>
      </c>
      <c r="D190" s="42"/>
      <c r="E190" s="42"/>
      <c r="J190" s="17">
        <f t="shared" si="11"/>
        <v>0</v>
      </c>
      <c r="K190" s="2" t="str">
        <f t="shared" si="12"/>
        <v xml:space="preserve"> </v>
      </c>
      <c r="L190" s="2" t="str">
        <f t="shared" si="13"/>
        <v xml:space="preserve"> </v>
      </c>
      <c r="M190" s="2" t="str">
        <f t="shared" si="14"/>
        <v xml:space="preserve"> </v>
      </c>
    </row>
    <row r="191" spans="1:13" x14ac:dyDescent="0.25">
      <c r="A191" s="43" t="str">
        <f t="shared" si="10"/>
        <v xml:space="preserve"> </v>
      </c>
      <c r="D191" s="42"/>
      <c r="E191" s="42"/>
      <c r="J191" s="17">
        <f t="shared" si="11"/>
        <v>0</v>
      </c>
      <c r="K191" s="2" t="str">
        <f t="shared" si="12"/>
        <v xml:space="preserve"> </v>
      </c>
      <c r="L191" s="2" t="str">
        <f t="shared" si="13"/>
        <v xml:space="preserve"> </v>
      </c>
      <c r="M191" s="2" t="str">
        <f t="shared" si="14"/>
        <v xml:space="preserve"> </v>
      </c>
    </row>
    <row r="192" spans="1:13" x14ac:dyDescent="0.25">
      <c r="A192" s="43" t="str">
        <f t="shared" si="10"/>
        <v xml:space="preserve"> </v>
      </c>
      <c r="D192" s="42"/>
      <c r="E192" s="42"/>
      <c r="J192" s="17">
        <f t="shared" si="11"/>
        <v>0</v>
      </c>
      <c r="K192" s="2" t="str">
        <f t="shared" si="12"/>
        <v xml:space="preserve"> </v>
      </c>
      <c r="L192" s="2" t="str">
        <f t="shared" si="13"/>
        <v xml:space="preserve"> </v>
      </c>
      <c r="M192" s="2" t="str">
        <f t="shared" si="14"/>
        <v xml:space="preserve"> </v>
      </c>
    </row>
    <row r="193" spans="1:13" x14ac:dyDescent="0.25">
      <c r="A193" s="43" t="str">
        <f t="shared" si="10"/>
        <v xml:space="preserve"> </v>
      </c>
      <c r="D193" s="42"/>
      <c r="E193" s="42"/>
      <c r="J193" s="17">
        <f t="shared" si="11"/>
        <v>0</v>
      </c>
      <c r="K193" s="2" t="str">
        <f t="shared" si="12"/>
        <v xml:space="preserve"> </v>
      </c>
      <c r="L193" s="2" t="str">
        <f t="shared" si="13"/>
        <v xml:space="preserve"> </v>
      </c>
      <c r="M193" s="2" t="str">
        <f t="shared" si="14"/>
        <v xml:space="preserve"> </v>
      </c>
    </row>
    <row r="194" spans="1:13" x14ac:dyDescent="0.25">
      <c r="A194" s="43" t="str">
        <f t="shared" si="10"/>
        <v xml:space="preserve"> </v>
      </c>
      <c r="D194" s="42"/>
      <c r="E194" s="42"/>
      <c r="J194" s="17">
        <f t="shared" si="11"/>
        <v>0</v>
      </c>
      <c r="K194" s="2" t="str">
        <f t="shared" si="12"/>
        <v xml:space="preserve"> </v>
      </c>
      <c r="L194" s="2" t="str">
        <f t="shared" si="13"/>
        <v xml:space="preserve"> </v>
      </c>
      <c r="M194" s="2" t="str">
        <f t="shared" si="14"/>
        <v xml:space="preserve"> </v>
      </c>
    </row>
    <row r="195" spans="1:13" x14ac:dyDescent="0.25">
      <c r="A195" s="43" t="str">
        <f t="shared" si="10"/>
        <v xml:space="preserve"> </v>
      </c>
      <c r="D195" s="42"/>
      <c r="E195" s="42"/>
      <c r="J195" s="17">
        <f t="shared" si="11"/>
        <v>0</v>
      </c>
      <c r="K195" s="2" t="str">
        <f t="shared" si="12"/>
        <v xml:space="preserve"> </v>
      </c>
      <c r="L195" s="2" t="str">
        <f t="shared" si="13"/>
        <v xml:space="preserve"> </v>
      </c>
      <c r="M195" s="2" t="str">
        <f t="shared" si="14"/>
        <v xml:space="preserve"> </v>
      </c>
    </row>
    <row r="196" spans="1:13" x14ac:dyDescent="0.25">
      <c r="A196" s="43" t="str">
        <f t="shared" si="10"/>
        <v xml:space="preserve"> </v>
      </c>
      <c r="D196" s="42"/>
      <c r="E196" s="42"/>
      <c r="J196" s="17">
        <f t="shared" si="11"/>
        <v>0</v>
      </c>
      <c r="K196" s="2" t="str">
        <f t="shared" si="12"/>
        <v xml:space="preserve"> </v>
      </c>
      <c r="L196" s="2" t="str">
        <f t="shared" si="13"/>
        <v xml:space="preserve"> </v>
      </c>
      <c r="M196" s="2" t="str">
        <f t="shared" si="14"/>
        <v xml:space="preserve"> </v>
      </c>
    </row>
    <row r="197" spans="1:13" x14ac:dyDescent="0.25">
      <c r="A197" s="43" t="str">
        <f t="shared" si="10"/>
        <v xml:space="preserve"> </v>
      </c>
      <c r="D197" s="42"/>
      <c r="E197" s="42"/>
      <c r="J197" s="17">
        <f t="shared" si="11"/>
        <v>0</v>
      </c>
      <c r="K197" s="2" t="str">
        <f t="shared" si="12"/>
        <v xml:space="preserve"> </v>
      </c>
      <c r="L197" s="2" t="str">
        <f t="shared" si="13"/>
        <v xml:space="preserve"> </v>
      </c>
      <c r="M197" s="2" t="str">
        <f t="shared" si="14"/>
        <v xml:space="preserve"> </v>
      </c>
    </row>
    <row r="198" spans="1:13" x14ac:dyDescent="0.25">
      <c r="A198" s="43" t="str">
        <f t="shared" si="10"/>
        <v xml:space="preserve"> </v>
      </c>
      <c r="D198" s="42"/>
      <c r="E198" s="42"/>
      <c r="J198" s="17">
        <f t="shared" si="11"/>
        <v>0</v>
      </c>
      <c r="K198" s="2" t="str">
        <f t="shared" si="12"/>
        <v xml:space="preserve"> </v>
      </c>
      <c r="L198" s="2" t="str">
        <f t="shared" si="13"/>
        <v xml:space="preserve"> </v>
      </c>
      <c r="M198" s="2" t="str">
        <f t="shared" si="14"/>
        <v xml:space="preserve"> </v>
      </c>
    </row>
    <row r="199" spans="1:13" x14ac:dyDescent="0.25">
      <c r="A199" s="43" t="str">
        <f t="shared" si="10"/>
        <v xml:space="preserve"> </v>
      </c>
      <c r="D199" s="42"/>
      <c r="E199" s="42"/>
      <c r="J199" s="17">
        <f t="shared" si="11"/>
        <v>0</v>
      </c>
      <c r="K199" s="2" t="str">
        <f t="shared" si="12"/>
        <v xml:space="preserve"> </v>
      </c>
      <c r="L199" s="2" t="str">
        <f t="shared" si="13"/>
        <v xml:space="preserve"> </v>
      </c>
      <c r="M199" s="2" t="str">
        <f t="shared" si="14"/>
        <v xml:space="preserve"> </v>
      </c>
    </row>
    <row r="200" spans="1:13" x14ac:dyDescent="0.25">
      <c r="A200" s="43" t="str">
        <f t="shared" si="10"/>
        <v xml:space="preserve"> </v>
      </c>
      <c r="D200" s="42"/>
      <c r="E200" s="42"/>
      <c r="J200" s="17">
        <f t="shared" si="11"/>
        <v>0</v>
      </c>
      <c r="K200" s="2" t="str">
        <f t="shared" si="12"/>
        <v xml:space="preserve"> </v>
      </c>
      <c r="L200" s="2" t="str">
        <f t="shared" si="13"/>
        <v xml:space="preserve"> </v>
      </c>
      <c r="M200" s="2" t="str">
        <f t="shared" si="14"/>
        <v xml:space="preserve"> </v>
      </c>
    </row>
    <row r="201" spans="1:13" x14ac:dyDescent="0.25">
      <c r="A201" s="43" t="str">
        <f t="shared" si="10"/>
        <v xml:space="preserve"> </v>
      </c>
      <c r="D201" s="42"/>
      <c r="E201" s="42"/>
      <c r="J201" s="17">
        <f t="shared" si="11"/>
        <v>0</v>
      </c>
      <c r="K201" s="2" t="str">
        <f t="shared" si="12"/>
        <v xml:space="preserve"> </v>
      </c>
      <c r="L201" s="2" t="str">
        <f t="shared" si="13"/>
        <v xml:space="preserve"> </v>
      </c>
      <c r="M201" s="2" t="str">
        <f t="shared" si="14"/>
        <v xml:space="preserve"> </v>
      </c>
    </row>
    <row r="202" spans="1:13" x14ac:dyDescent="0.25">
      <c r="A202" s="43" t="str">
        <f t="shared" si="10"/>
        <v xml:space="preserve"> </v>
      </c>
      <c r="D202" s="42"/>
      <c r="E202" s="42"/>
      <c r="J202" s="17">
        <f t="shared" si="11"/>
        <v>0</v>
      </c>
      <c r="K202" s="2" t="str">
        <f t="shared" si="12"/>
        <v xml:space="preserve"> </v>
      </c>
      <c r="L202" s="2" t="str">
        <f t="shared" si="13"/>
        <v xml:space="preserve"> </v>
      </c>
      <c r="M202" s="2" t="str">
        <f t="shared" si="14"/>
        <v xml:space="preserve"> </v>
      </c>
    </row>
    <row r="203" spans="1:13" x14ac:dyDescent="0.25">
      <c r="A203" s="43" t="str">
        <f t="shared" si="10"/>
        <v xml:space="preserve"> </v>
      </c>
      <c r="D203" s="42"/>
      <c r="E203" s="42"/>
      <c r="J203" s="17">
        <f t="shared" si="11"/>
        <v>0</v>
      </c>
      <c r="K203" s="2" t="str">
        <f t="shared" si="12"/>
        <v xml:space="preserve"> </v>
      </c>
      <c r="L203" s="2" t="str">
        <f t="shared" si="13"/>
        <v xml:space="preserve"> </v>
      </c>
      <c r="M203" s="2" t="str">
        <f t="shared" si="14"/>
        <v xml:space="preserve"> </v>
      </c>
    </row>
    <row r="204" spans="1:13" x14ac:dyDescent="0.25">
      <c r="A204" s="43" t="str">
        <f t="shared" si="10"/>
        <v xml:space="preserve"> </v>
      </c>
      <c r="D204" s="42"/>
      <c r="E204" s="42"/>
      <c r="J204" s="17">
        <f t="shared" si="11"/>
        <v>0</v>
      </c>
      <c r="K204" s="2" t="str">
        <f t="shared" si="12"/>
        <v xml:space="preserve"> </v>
      </c>
      <c r="L204" s="2" t="str">
        <f t="shared" si="13"/>
        <v xml:space="preserve"> </v>
      </c>
      <c r="M204" s="2" t="str">
        <f t="shared" si="14"/>
        <v xml:space="preserve"> </v>
      </c>
    </row>
    <row r="205" spans="1:13" x14ac:dyDescent="0.25">
      <c r="A205" s="43" t="str">
        <f t="shared" si="10"/>
        <v xml:space="preserve"> </v>
      </c>
      <c r="D205" s="42"/>
      <c r="E205" s="42"/>
      <c r="J205" s="17">
        <f t="shared" si="11"/>
        <v>0</v>
      </c>
      <c r="K205" s="2" t="str">
        <f t="shared" si="12"/>
        <v xml:space="preserve"> </v>
      </c>
      <c r="L205" s="2" t="str">
        <f t="shared" si="13"/>
        <v xml:space="preserve"> </v>
      </c>
      <c r="M205" s="2" t="str">
        <f t="shared" si="14"/>
        <v xml:space="preserve"> </v>
      </c>
    </row>
    <row r="206" spans="1:13" x14ac:dyDescent="0.25">
      <c r="A206" s="43" t="str">
        <f t="shared" si="10"/>
        <v xml:space="preserve"> </v>
      </c>
      <c r="D206" s="42"/>
      <c r="E206" s="42"/>
      <c r="J206" s="17">
        <f t="shared" si="11"/>
        <v>0</v>
      </c>
      <c r="K206" s="2" t="str">
        <f t="shared" si="12"/>
        <v xml:space="preserve"> </v>
      </c>
      <c r="L206" s="2" t="str">
        <f t="shared" si="13"/>
        <v xml:space="preserve"> </v>
      </c>
      <c r="M206" s="2" t="str">
        <f t="shared" si="14"/>
        <v xml:space="preserve"> </v>
      </c>
    </row>
    <row r="207" spans="1:13" x14ac:dyDescent="0.25">
      <c r="A207" s="43" t="str">
        <f t="shared" ref="A207:A270" si="15">IF(COUNTIF(K207:M207,"ERROR")&gt;0,"ERROR"," ")</f>
        <v xml:space="preserve"> </v>
      </c>
      <c r="D207" s="42"/>
      <c r="E207" s="42"/>
      <c r="J207" s="17">
        <f t="shared" ref="J207:J270" si="16">F207-G207+H207-I207</f>
        <v>0</v>
      </c>
      <c r="K207" s="2" t="str">
        <f t="shared" si="12"/>
        <v xml:space="preserve"> </v>
      </c>
      <c r="L207" s="2" t="str">
        <f t="shared" si="13"/>
        <v xml:space="preserve"> </v>
      </c>
      <c r="M207" s="2" t="str">
        <f t="shared" si="14"/>
        <v xml:space="preserve"> </v>
      </c>
    </row>
    <row r="208" spans="1:13" x14ac:dyDescent="0.25">
      <c r="A208" s="43" t="str">
        <f t="shared" si="15"/>
        <v xml:space="preserve"> </v>
      </c>
      <c r="D208" s="42"/>
      <c r="E208" s="42"/>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43" t="str">
        <f t="shared" si="15"/>
        <v xml:space="preserve"> </v>
      </c>
      <c r="D209" s="42"/>
      <c r="E209" s="42"/>
      <c r="J209" s="17">
        <f t="shared" si="16"/>
        <v>0</v>
      </c>
      <c r="K209" s="2" t="str">
        <f t="shared" si="17"/>
        <v xml:space="preserve"> </v>
      </c>
      <c r="L209" s="2" t="str">
        <f t="shared" si="18"/>
        <v xml:space="preserve"> </v>
      </c>
      <c r="M209" s="2" t="str">
        <f t="shared" si="19"/>
        <v xml:space="preserve"> </v>
      </c>
    </row>
    <row r="210" spans="1:13" x14ac:dyDescent="0.25">
      <c r="A210" s="43" t="str">
        <f t="shared" si="15"/>
        <v xml:space="preserve"> </v>
      </c>
      <c r="D210" s="42"/>
      <c r="E210" s="42"/>
      <c r="J210" s="17">
        <f t="shared" si="16"/>
        <v>0</v>
      </c>
      <c r="K210" s="2" t="str">
        <f t="shared" si="17"/>
        <v xml:space="preserve"> </v>
      </c>
      <c r="L210" s="2" t="str">
        <f t="shared" si="18"/>
        <v xml:space="preserve"> </v>
      </c>
      <c r="M210" s="2" t="str">
        <f t="shared" si="19"/>
        <v xml:space="preserve"> </v>
      </c>
    </row>
    <row r="211" spans="1:13" x14ac:dyDescent="0.25">
      <c r="A211" s="43" t="str">
        <f t="shared" si="15"/>
        <v xml:space="preserve"> </v>
      </c>
      <c r="D211" s="42"/>
      <c r="E211" s="42"/>
      <c r="J211" s="17">
        <f t="shared" si="16"/>
        <v>0</v>
      </c>
      <c r="K211" s="2" t="str">
        <f t="shared" si="17"/>
        <v xml:space="preserve"> </v>
      </c>
      <c r="L211" s="2" t="str">
        <f t="shared" si="18"/>
        <v xml:space="preserve"> </v>
      </c>
      <c r="M211" s="2" t="str">
        <f t="shared" si="19"/>
        <v xml:space="preserve"> </v>
      </c>
    </row>
    <row r="212" spans="1:13" x14ac:dyDescent="0.25">
      <c r="A212" s="43" t="str">
        <f t="shared" si="15"/>
        <v xml:space="preserve"> </v>
      </c>
      <c r="D212" s="42"/>
      <c r="E212" s="42"/>
      <c r="J212" s="17">
        <f t="shared" si="16"/>
        <v>0</v>
      </c>
      <c r="K212" s="2" t="str">
        <f t="shared" si="17"/>
        <v xml:space="preserve"> </v>
      </c>
      <c r="L212" s="2" t="str">
        <f t="shared" si="18"/>
        <v xml:space="preserve"> </v>
      </c>
      <c r="M212" s="2" t="str">
        <f t="shared" si="19"/>
        <v xml:space="preserve"> </v>
      </c>
    </row>
    <row r="213" spans="1:13" x14ac:dyDescent="0.25">
      <c r="A213" s="43" t="str">
        <f t="shared" si="15"/>
        <v xml:space="preserve"> </v>
      </c>
      <c r="D213" s="42"/>
      <c r="E213" s="42"/>
      <c r="J213" s="17">
        <f t="shared" si="16"/>
        <v>0</v>
      </c>
      <c r="K213" s="2" t="str">
        <f t="shared" si="17"/>
        <v xml:space="preserve"> </v>
      </c>
      <c r="L213" s="2" t="str">
        <f t="shared" si="18"/>
        <v xml:space="preserve"> </v>
      </c>
      <c r="M213" s="2" t="str">
        <f t="shared" si="19"/>
        <v xml:space="preserve"> </v>
      </c>
    </row>
    <row r="214" spans="1:13" x14ac:dyDescent="0.25">
      <c r="A214" s="43" t="str">
        <f t="shared" si="15"/>
        <v xml:space="preserve"> </v>
      </c>
      <c r="D214" s="42"/>
      <c r="E214" s="42"/>
      <c r="J214" s="17">
        <f t="shared" si="16"/>
        <v>0</v>
      </c>
      <c r="K214" s="2" t="str">
        <f t="shared" si="17"/>
        <v xml:space="preserve"> </v>
      </c>
      <c r="L214" s="2" t="str">
        <f t="shared" si="18"/>
        <v xml:space="preserve"> </v>
      </c>
      <c r="M214" s="2" t="str">
        <f t="shared" si="19"/>
        <v xml:space="preserve"> </v>
      </c>
    </row>
    <row r="215" spans="1:13" x14ac:dyDescent="0.25">
      <c r="A215" s="43" t="str">
        <f t="shared" si="15"/>
        <v xml:space="preserve"> </v>
      </c>
      <c r="D215" s="42"/>
      <c r="E215" s="42"/>
      <c r="J215" s="17">
        <f t="shared" si="16"/>
        <v>0</v>
      </c>
      <c r="K215" s="2" t="str">
        <f t="shared" si="17"/>
        <v xml:space="preserve"> </v>
      </c>
      <c r="L215" s="2" t="str">
        <f t="shared" si="18"/>
        <v xml:space="preserve"> </v>
      </c>
      <c r="M215" s="2" t="str">
        <f t="shared" si="19"/>
        <v xml:space="preserve"> </v>
      </c>
    </row>
    <row r="216" spans="1:13" x14ac:dyDescent="0.25">
      <c r="A216" s="43" t="str">
        <f t="shared" si="15"/>
        <v xml:space="preserve"> </v>
      </c>
      <c r="D216" s="42"/>
      <c r="E216" s="42"/>
      <c r="J216" s="17">
        <f t="shared" si="16"/>
        <v>0</v>
      </c>
      <c r="K216" s="2" t="str">
        <f t="shared" si="17"/>
        <v xml:space="preserve"> </v>
      </c>
      <c r="L216" s="2" t="str">
        <f t="shared" si="18"/>
        <v xml:space="preserve"> </v>
      </c>
      <c r="M216" s="2" t="str">
        <f t="shared" si="19"/>
        <v xml:space="preserve"> </v>
      </c>
    </row>
    <row r="217" spans="1:13" x14ac:dyDescent="0.25">
      <c r="A217" s="43" t="str">
        <f t="shared" si="15"/>
        <v xml:space="preserve"> </v>
      </c>
      <c r="D217" s="42"/>
      <c r="E217" s="42"/>
      <c r="J217" s="17">
        <f t="shared" si="16"/>
        <v>0</v>
      </c>
      <c r="K217" s="2" t="str">
        <f t="shared" si="17"/>
        <v xml:space="preserve"> </v>
      </c>
      <c r="L217" s="2" t="str">
        <f t="shared" si="18"/>
        <v xml:space="preserve"> </v>
      </c>
      <c r="M217" s="2" t="str">
        <f t="shared" si="19"/>
        <v xml:space="preserve"> </v>
      </c>
    </row>
    <row r="218" spans="1:13" x14ac:dyDescent="0.25">
      <c r="A218" s="43" t="str">
        <f t="shared" si="15"/>
        <v xml:space="preserve"> </v>
      </c>
      <c r="D218" s="42"/>
      <c r="E218" s="42"/>
      <c r="J218" s="17">
        <f t="shared" si="16"/>
        <v>0</v>
      </c>
      <c r="K218" s="2" t="str">
        <f t="shared" si="17"/>
        <v xml:space="preserve"> </v>
      </c>
      <c r="L218" s="2" t="str">
        <f t="shared" si="18"/>
        <v xml:space="preserve"> </v>
      </c>
      <c r="M218" s="2" t="str">
        <f t="shared" si="19"/>
        <v xml:space="preserve"> </v>
      </c>
    </row>
    <row r="219" spans="1:13" x14ac:dyDescent="0.25">
      <c r="A219" s="43" t="str">
        <f t="shared" si="15"/>
        <v xml:space="preserve"> </v>
      </c>
      <c r="D219" s="42"/>
      <c r="E219" s="42"/>
      <c r="J219" s="17">
        <f t="shared" si="16"/>
        <v>0</v>
      </c>
      <c r="K219" s="2" t="str">
        <f t="shared" si="17"/>
        <v xml:space="preserve"> </v>
      </c>
      <c r="L219" s="2" t="str">
        <f t="shared" si="18"/>
        <v xml:space="preserve"> </v>
      </c>
      <c r="M219" s="2" t="str">
        <f t="shared" si="19"/>
        <v xml:space="preserve"> </v>
      </c>
    </row>
    <row r="220" spans="1:13" x14ac:dyDescent="0.25">
      <c r="A220" s="43" t="str">
        <f t="shared" si="15"/>
        <v xml:space="preserve"> </v>
      </c>
      <c r="D220" s="42"/>
      <c r="E220" s="42"/>
      <c r="J220" s="17">
        <f t="shared" si="16"/>
        <v>0</v>
      </c>
      <c r="K220" s="2" t="str">
        <f t="shared" si="17"/>
        <v xml:space="preserve"> </v>
      </c>
      <c r="L220" s="2" t="str">
        <f t="shared" si="18"/>
        <v xml:space="preserve"> </v>
      </c>
      <c r="M220" s="2" t="str">
        <f t="shared" si="19"/>
        <v xml:space="preserve"> </v>
      </c>
    </row>
    <row r="221" spans="1:13" x14ac:dyDescent="0.25">
      <c r="A221" s="43" t="str">
        <f t="shared" si="15"/>
        <v xml:space="preserve"> </v>
      </c>
      <c r="D221" s="42"/>
      <c r="E221" s="42"/>
      <c r="J221" s="17">
        <f t="shared" si="16"/>
        <v>0</v>
      </c>
      <c r="K221" s="2" t="str">
        <f t="shared" si="17"/>
        <v xml:space="preserve"> </v>
      </c>
      <c r="L221" s="2" t="str">
        <f t="shared" si="18"/>
        <v xml:space="preserve"> </v>
      </c>
      <c r="M221" s="2" t="str">
        <f t="shared" si="19"/>
        <v xml:space="preserve"> </v>
      </c>
    </row>
    <row r="222" spans="1:13" x14ac:dyDescent="0.25">
      <c r="A222" s="43" t="str">
        <f t="shared" si="15"/>
        <v xml:space="preserve"> </v>
      </c>
      <c r="D222" s="42"/>
      <c r="E222" s="42"/>
      <c r="J222" s="17">
        <f t="shared" si="16"/>
        <v>0</v>
      </c>
      <c r="K222" s="2" t="str">
        <f t="shared" si="17"/>
        <v xml:space="preserve"> </v>
      </c>
      <c r="L222" s="2" t="str">
        <f t="shared" si="18"/>
        <v xml:space="preserve"> </v>
      </c>
      <c r="M222" s="2" t="str">
        <f t="shared" si="19"/>
        <v xml:space="preserve"> </v>
      </c>
    </row>
    <row r="223" spans="1:13" x14ac:dyDescent="0.25">
      <c r="A223" s="43" t="str">
        <f t="shared" si="15"/>
        <v xml:space="preserve"> </v>
      </c>
      <c r="D223" s="42"/>
      <c r="E223" s="42"/>
      <c r="J223" s="17">
        <f t="shared" si="16"/>
        <v>0</v>
      </c>
      <c r="K223" s="2" t="str">
        <f t="shared" si="17"/>
        <v xml:space="preserve"> </v>
      </c>
      <c r="L223" s="2" t="str">
        <f t="shared" si="18"/>
        <v xml:space="preserve"> </v>
      </c>
      <c r="M223" s="2" t="str">
        <f t="shared" si="19"/>
        <v xml:space="preserve"> </v>
      </c>
    </row>
    <row r="224" spans="1:13" x14ac:dyDescent="0.25">
      <c r="A224" s="43" t="str">
        <f t="shared" si="15"/>
        <v xml:space="preserve"> </v>
      </c>
      <c r="D224" s="42"/>
      <c r="E224" s="42"/>
      <c r="J224" s="17">
        <f t="shared" si="16"/>
        <v>0</v>
      </c>
      <c r="K224" s="2" t="str">
        <f t="shared" si="17"/>
        <v xml:space="preserve"> </v>
      </c>
      <c r="L224" s="2" t="str">
        <f t="shared" si="18"/>
        <v xml:space="preserve"> </v>
      </c>
      <c r="M224" s="2" t="str">
        <f t="shared" si="19"/>
        <v xml:space="preserve"> </v>
      </c>
    </row>
    <row r="225" spans="1:13" x14ac:dyDescent="0.25">
      <c r="A225" s="43" t="str">
        <f t="shared" si="15"/>
        <v xml:space="preserve"> </v>
      </c>
      <c r="D225" s="42"/>
      <c r="E225" s="42"/>
      <c r="J225" s="17">
        <f t="shared" si="16"/>
        <v>0</v>
      </c>
      <c r="K225" s="2" t="str">
        <f t="shared" si="17"/>
        <v xml:space="preserve"> </v>
      </c>
      <c r="L225" s="2" t="str">
        <f t="shared" si="18"/>
        <v xml:space="preserve"> </v>
      </c>
      <c r="M225" s="2" t="str">
        <f t="shared" si="19"/>
        <v xml:space="preserve"> </v>
      </c>
    </row>
    <row r="226" spans="1:13" x14ac:dyDescent="0.25">
      <c r="A226" s="43" t="str">
        <f t="shared" si="15"/>
        <v xml:space="preserve"> </v>
      </c>
      <c r="D226" s="42"/>
      <c r="E226" s="42"/>
      <c r="J226" s="17">
        <f t="shared" si="16"/>
        <v>0</v>
      </c>
      <c r="K226" s="2" t="str">
        <f t="shared" si="17"/>
        <v xml:space="preserve"> </v>
      </c>
      <c r="L226" s="2" t="str">
        <f t="shared" si="18"/>
        <v xml:space="preserve"> </v>
      </c>
      <c r="M226" s="2" t="str">
        <f t="shared" si="19"/>
        <v xml:space="preserve"> </v>
      </c>
    </row>
    <row r="227" spans="1:13" x14ac:dyDescent="0.25">
      <c r="A227" s="43" t="str">
        <f t="shared" si="15"/>
        <v xml:space="preserve"> </v>
      </c>
      <c r="D227" s="42"/>
      <c r="E227" s="42"/>
      <c r="J227" s="17">
        <f t="shared" si="16"/>
        <v>0</v>
      </c>
      <c r="K227" s="2" t="str">
        <f t="shared" si="17"/>
        <v xml:space="preserve"> </v>
      </c>
      <c r="L227" s="2" t="str">
        <f t="shared" si="18"/>
        <v xml:space="preserve"> </v>
      </c>
      <c r="M227" s="2" t="str">
        <f t="shared" si="19"/>
        <v xml:space="preserve"> </v>
      </c>
    </row>
    <row r="228" spans="1:13" x14ac:dyDescent="0.25">
      <c r="A228" s="43" t="str">
        <f t="shared" si="15"/>
        <v xml:space="preserve"> </v>
      </c>
      <c r="D228" s="42"/>
      <c r="E228" s="42"/>
      <c r="J228" s="17">
        <f t="shared" si="16"/>
        <v>0</v>
      </c>
      <c r="K228" s="2" t="str">
        <f t="shared" si="17"/>
        <v xml:space="preserve"> </v>
      </c>
      <c r="L228" s="2" t="str">
        <f t="shared" si="18"/>
        <v xml:space="preserve"> </v>
      </c>
      <c r="M228" s="2" t="str">
        <f t="shared" si="19"/>
        <v xml:space="preserve"> </v>
      </c>
    </row>
    <row r="229" spans="1:13" x14ac:dyDescent="0.25">
      <c r="A229" s="43" t="str">
        <f t="shared" si="15"/>
        <v xml:space="preserve"> </v>
      </c>
      <c r="D229" s="42"/>
      <c r="E229" s="42"/>
      <c r="J229" s="17">
        <f t="shared" si="16"/>
        <v>0</v>
      </c>
      <c r="K229" s="2" t="str">
        <f t="shared" si="17"/>
        <v xml:space="preserve"> </v>
      </c>
      <c r="L229" s="2" t="str">
        <f t="shared" si="18"/>
        <v xml:space="preserve"> </v>
      </c>
      <c r="M229" s="2" t="str">
        <f t="shared" si="19"/>
        <v xml:space="preserve"> </v>
      </c>
    </row>
    <row r="230" spans="1:13" x14ac:dyDescent="0.25">
      <c r="A230" s="43" t="str">
        <f t="shared" si="15"/>
        <v xml:space="preserve"> </v>
      </c>
      <c r="D230" s="42"/>
      <c r="E230" s="42"/>
      <c r="J230" s="17">
        <f t="shared" si="16"/>
        <v>0</v>
      </c>
      <c r="K230" s="2" t="str">
        <f t="shared" si="17"/>
        <v xml:space="preserve"> </v>
      </c>
      <c r="L230" s="2" t="str">
        <f t="shared" si="18"/>
        <v xml:space="preserve"> </v>
      </c>
      <c r="M230" s="2" t="str">
        <f t="shared" si="19"/>
        <v xml:space="preserve"> </v>
      </c>
    </row>
    <row r="231" spans="1:13" x14ac:dyDescent="0.25">
      <c r="A231" s="43" t="str">
        <f t="shared" si="15"/>
        <v xml:space="preserve"> </v>
      </c>
      <c r="D231" s="42"/>
      <c r="E231" s="42"/>
      <c r="J231" s="17">
        <f t="shared" si="16"/>
        <v>0</v>
      </c>
      <c r="K231" s="2" t="str">
        <f t="shared" si="17"/>
        <v xml:space="preserve"> </v>
      </c>
      <c r="L231" s="2" t="str">
        <f t="shared" si="18"/>
        <v xml:space="preserve"> </v>
      </c>
      <c r="M231" s="2" t="str">
        <f t="shared" si="19"/>
        <v xml:space="preserve"> </v>
      </c>
    </row>
    <row r="232" spans="1:13" x14ac:dyDescent="0.25">
      <c r="A232" s="43" t="str">
        <f t="shared" si="15"/>
        <v xml:space="preserve"> </v>
      </c>
      <c r="D232" s="42"/>
      <c r="E232" s="42"/>
      <c r="J232" s="17">
        <f t="shared" si="16"/>
        <v>0</v>
      </c>
      <c r="K232" s="2" t="str">
        <f t="shared" si="17"/>
        <v xml:space="preserve"> </v>
      </c>
      <c r="L232" s="2" t="str">
        <f t="shared" si="18"/>
        <v xml:space="preserve"> </v>
      </c>
      <c r="M232" s="2" t="str">
        <f t="shared" si="19"/>
        <v xml:space="preserve"> </v>
      </c>
    </row>
    <row r="233" spans="1:13" x14ac:dyDescent="0.25">
      <c r="A233" s="43" t="str">
        <f t="shared" si="15"/>
        <v xml:space="preserve"> </v>
      </c>
      <c r="D233" s="42"/>
      <c r="E233" s="42"/>
      <c r="J233" s="17">
        <f t="shared" si="16"/>
        <v>0</v>
      </c>
      <c r="K233" s="2" t="str">
        <f t="shared" si="17"/>
        <v xml:space="preserve"> </v>
      </c>
      <c r="L233" s="2" t="str">
        <f t="shared" si="18"/>
        <v xml:space="preserve"> </v>
      </c>
      <c r="M233" s="2" t="str">
        <f t="shared" si="19"/>
        <v xml:space="preserve"> </v>
      </c>
    </row>
    <row r="234" spans="1:13" x14ac:dyDescent="0.25">
      <c r="A234" s="43" t="str">
        <f t="shared" si="15"/>
        <v xml:space="preserve"> </v>
      </c>
      <c r="D234" s="42"/>
      <c r="E234" s="42"/>
      <c r="J234" s="17">
        <f t="shared" si="16"/>
        <v>0</v>
      </c>
      <c r="K234" s="2" t="str">
        <f t="shared" si="17"/>
        <v xml:space="preserve"> </v>
      </c>
      <c r="L234" s="2" t="str">
        <f t="shared" si="18"/>
        <v xml:space="preserve"> </v>
      </c>
      <c r="M234" s="2" t="str">
        <f t="shared" si="19"/>
        <v xml:space="preserve"> </v>
      </c>
    </row>
    <row r="235" spans="1:13" x14ac:dyDescent="0.25">
      <c r="A235" s="43" t="str">
        <f t="shared" si="15"/>
        <v xml:space="preserve"> </v>
      </c>
      <c r="D235" s="42"/>
      <c r="E235" s="42"/>
      <c r="J235" s="17">
        <f t="shared" si="16"/>
        <v>0</v>
      </c>
      <c r="K235" s="2" t="str">
        <f t="shared" si="17"/>
        <v xml:space="preserve"> </v>
      </c>
      <c r="L235" s="2" t="str">
        <f t="shared" si="18"/>
        <v xml:space="preserve"> </v>
      </c>
      <c r="M235" s="2" t="str">
        <f t="shared" si="19"/>
        <v xml:space="preserve"> </v>
      </c>
    </row>
    <row r="236" spans="1:13" x14ac:dyDescent="0.25">
      <c r="A236" s="43" t="str">
        <f t="shared" si="15"/>
        <v xml:space="preserve"> </v>
      </c>
      <c r="D236" s="42"/>
      <c r="E236" s="42"/>
      <c r="J236" s="17">
        <f t="shared" si="16"/>
        <v>0</v>
      </c>
      <c r="K236" s="2" t="str">
        <f t="shared" si="17"/>
        <v xml:space="preserve"> </v>
      </c>
      <c r="L236" s="2" t="str">
        <f t="shared" si="18"/>
        <v xml:space="preserve"> </v>
      </c>
      <c r="M236" s="2" t="str">
        <f t="shared" si="19"/>
        <v xml:space="preserve"> </v>
      </c>
    </row>
    <row r="237" spans="1:13" x14ac:dyDescent="0.25">
      <c r="A237" s="43" t="str">
        <f t="shared" si="15"/>
        <v xml:space="preserve"> </v>
      </c>
      <c r="D237" s="42"/>
      <c r="E237" s="42"/>
      <c r="J237" s="17">
        <f t="shared" si="16"/>
        <v>0</v>
      </c>
      <c r="K237" s="2" t="str">
        <f t="shared" si="17"/>
        <v xml:space="preserve"> </v>
      </c>
      <c r="L237" s="2" t="str">
        <f t="shared" si="18"/>
        <v xml:space="preserve"> </v>
      </c>
      <c r="M237" s="2" t="str">
        <f t="shared" si="19"/>
        <v xml:space="preserve"> </v>
      </c>
    </row>
    <row r="238" spans="1:13" x14ac:dyDescent="0.25">
      <c r="A238" s="43" t="str">
        <f t="shared" si="15"/>
        <v xml:space="preserve"> </v>
      </c>
      <c r="D238" s="42"/>
      <c r="E238" s="42"/>
      <c r="J238" s="17">
        <f t="shared" si="16"/>
        <v>0</v>
      </c>
      <c r="K238" s="2" t="str">
        <f t="shared" si="17"/>
        <v xml:space="preserve"> </v>
      </c>
      <c r="L238" s="2" t="str">
        <f t="shared" si="18"/>
        <v xml:space="preserve"> </v>
      </c>
      <c r="M238" s="2" t="str">
        <f t="shared" si="19"/>
        <v xml:space="preserve"> </v>
      </c>
    </row>
    <row r="239" spans="1:13" x14ac:dyDescent="0.25">
      <c r="A239" s="43" t="str">
        <f t="shared" si="15"/>
        <v xml:space="preserve"> </v>
      </c>
      <c r="D239" s="42"/>
      <c r="E239" s="42"/>
      <c r="J239" s="17">
        <f t="shared" si="16"/>
        <v>0</v>
      </c>
      <c r="K239" s="2" t="str">
        <f t="shared" si="17"/>
        <v xml:space="preserve"> </v>
      </c>
      <c r="L239" s="2" t="str">
        <f t="shared" si="18"/>
        <v xml:space="preserve"> </v>
      </c>
      <c r="M239" s="2" t="str">
        <f t="shared" si="19"/>
        <v xml:space="preserve"> </v>
      </c>
    </row>
    <row r="240" spans="1:13" x14ac:dyDescent="0.25">
      <c r="A240" s="43" t="str">
        <f t="shared" si="15"/>
        <v xml:space="preserve"> </v>
      </c>
      <c r="D240" s="42"/>
      <c r="E240" s="42"/>
      <c r="J240" s="17">
        <f t="shared" si="16"/>
        <v>0</v>
      </c>
      <c r="K240" s="2" t="str">
        <f t="shared" si="17"/>
        <v xml:space="preserve"> </v>
      </c>
      <c r="L240" s="2" t="str">
        <f t="shared" si="18"/>
        <v xml:space="preserve"> </v>
      </c>
      <c r="M240" s="2" t="str">
        <f t="shared" si="19"/>
        <v xml:space="preserve"> </v>
      </c>
    </row>
    <row r="241" spans="1:13" x14ac:dyDescent="0.25">
      <c r="A241" s="43" t="str">
        <f t="shared" si="15"/>
        <v xml:space="preserve"> </v>
      </c>
      <c r="D241" s="42"/>
      <c r="E241" s="42"/>
      <c r="J241" s="17">
        <f t="shared" si="16"/>
        <v>0</v>
      </c>
      <c r="K241" s="2" t="str">
        <f t="shared" si="17"/>
        <v xml:space="preserve"> </v>
      </c>
      <c r="L241" s="2" t="str">
        <f t="shared" si="18"/>
        <v xml:space="preserve"> </v>
      </c>
      <c r="M241" s="2" t="str">
        <f t="shared" si="19"/>
        <v xml:space="preserve"> </v>
      </c>
    </row>
    <row r="242" spans="1:13" x14ac:dyDescent="0.25">
      <c r="A242" s="43" t="str">
        <f t="shared" si="15"/>
        <v xml:space="preserve"> </v>
      </c>
      <c r="D242" s="42"/>
      <c r="E242" s="42"/>
      <c r="J242" s="17">
        <f t="shared" si="16"/>
        <v>0</v>
      </c>
      <c r="K242" s="2" t="str">
        <f t="shared" si="17"/>
        <v xml:space="preserve"> </v>
      </c>
      <c r="L242" s="2" t="str">
        <f t="shared" si="18"/>
        <v xml:space="preserve"> </v>
      </c>
      <c r="M242" s="2" t="str">
        <f t="shared" si="19"/>
        <v xml:space="preserve"> </v>
      </c>
    </row>
    <row r="243" spans="1:13" x14ac:dyDescent="0.25">
      <c r="A243" s="43" t="str">
        <f t="shared" si="15"/>
        <v xml:space="preserve"> </v>
      </c>
      <c r="D243" s="42"/>
      <c r="E243" s="42"/>
      <c r="J243" s="17">
        <f t="shared" si="16"/>
        <v>0</v>
      </c>
      <c r="K243" s="2" t="str">
        <f t="shared" si="17"/>
        <v xml:space="preserve"> </v>
      </c>
      <c r="L243" s="2" t="str">
        <f t="shared" si="18"/>
        <v xml:space="preserve"> </v>
      </c>
      <c r="M243" s="2" t="str">
        <f t="shared" si="19"/>
        <v xml:space="preserve"> </v>
      </c>
    </row>
    <row r="244" spans="1:13" x14ac:dyDescent="0.25">
      <c r="A244" s="43" t="str">
        <f t="shared" si="15"/>
        <v xml:space="preserve"> </v>
      </c>
      <c r="D244" s="42"/>
      <c r="E244" s="42"/>
      <c r="J244" s="17">
        <f t="shared" si="16"/>
        <v>0</v>
      </c>
      <c r="K244" s="2" t="str">
        <f t="shared" si="17"/>
        <v xml:space="preserve"> </v>
      </c>
      <c r="L244" s="2" t="str">
        <f t="shared" si="18"/>
        <v xml:space="preserve"> </v>
      </c>
      <c r="M244" s="2" t="str">
        <f t="shared" si="19"/>
        <v xml:space="preserve"> </v>
      </c>
    </row>
    <row r="245" spans="1:13" x14ac:dyDescent="0.25">
      <c r="A245" s="43" t="str">
        <f t="shared" si="15"/>
        <v xml:space="preserve"> </v>
      </c>
      <c r="D245" s="42"/>
      <c r="E245" s="42"/>
      <c r="J245" s="17">
        <f t="shared" si="16"/>
        <v>0</v>
      </c>
      <c r="K245" s="2" t="str">
        <f t="shared" si="17"/>
        <v xml:space="preserve"> </v>
      </c>
      <c r="L245" s="2" t="str">
        <f t="shared" si="18"/>
        <v xml:space="preserve"> </v>
      </c>
      <c r="M245" s="2" t="str">
        <f t="shared" si="19"/>
        <v xml:space="preserve"> </v>
      </c>
    </row>
    <row r="246" spans="1:13" x14ac:dyDescent="0.25">
      <c r="A246" s="43" t="str">
        <f t="shared" si="15"/>
        <v xml:space="preserve"> </v>
      </c>
      <c r="D246" s="42"/>
      <c r="E246" s="42"/>
      <c r="J246" s="17">
        <f t="shared" si="16"/>
        <v>0</v>
      </c>
      <c r="K246" s="2" t="str">
        <f t="shared" si="17"/>
        <v xml:space="preserve"> </v>
      </c>
      <c r="L246" s="2" t="str">
        <f t="shared" si="18"/>
        <v xml:space="preserve"> </v>
      </c>
      <c r="M246" s="2" t="str">
        <f t="shared" si="19"/>
        <v xml:space="preserve"> </v>
      </c>
    </row>
    <row r="247" spans="1:13" x14ac:dyDescent="0.25">
      <c r="A247" s="43" t="str">
        <f t="shared" si="15"/>
        <v xml:space="preserve"> </v>
      </c>
      <c r="D247" s="42"/>
      <c r="E247" s="42"/>
      <c r="J247" s="17">
        <f t="shared" si="16"/>
        <v>0</v>
      </c>
      <c r="K247" s="2" t="str">
        <f t="shared" si="17"/>
        <v xml:space="preserve"> </v>
      </c>
      <c r="L247" s="2" t="str">
        <f t="shared" si="18"/>
        <v xml:space="preserve"> </v>
      </c>
      <c r="M247" s="2" t="str">
        <f t="shared" si="19"/>
        <v xml:space="preserve"> </v>
      </c>
    </row>
    <row r="248" spans="1:13" x14ac:dyDescent="0.25">
      <c r="A248" s="43" t="str">
        <f t="shared" si="15"/>
        <v xml:space="preserve"> </v>
      </c>
      <c r="D248" s="42"/>
      <c r="E248" s="42"/>
      <c r="J248" s="17">
        <f t="shared" si="16"/>
        <v>0</v>
      </c>
      <c r="K248" s="2" t="str">
        <f t="shared" si="17"/>
        <v xml:space="preserve"> </v>
      </c>
      <c r="L248" s="2" t="str">
        <f t="shared" si="18"/>
        <v xml:space="preserve"> </v>
      </c>
      <c r="M248" s="2" t="str">
        <f t="shared" si="19"/>
        <v xml:space="preserve"> </v>
      </c>
    </row>
    <row r="249" spans="1:13" x14ac:dyDescent="0.25">
      <c r="A249" s="43" t="str">
        <f t="shared" si="15"/>
        <v xml:space="preserve"> </v>
      </c>
      <c r="D249" s="42"/>
      <c r="E249" s="42"/>
      <c r="J249" s="17">
        <f t="shared" si="16"/>
        <v>0</v>
      </c>
      <c r="K249" s="2" t="str">
        <f t="shared" si="17"/>
        <v xml:space="preserve"> </v>
      </c>
      <c r="L249" s="2" t="str">
        <f t="shared" si="18"/>
        <v xml:space="preserve"> </v>
      </c>
      <c r="M249" s="2" t="str">
        <f t="shared" si="19"/>
        <v xml:space="preserve"> </v>
      </c>
    </row>
    <row r="250" spans="1:13" x14ac:dyDescent="0.25">
      <c r="A250" s="43" t="str">
        <f t="shared" si="15"/>
        <v xml:space="preserve"> </v>
      </c>
      <c r="D250" s="42"/>
      <c r="E250" s="42"/>
      <c r="J250" s="17">
        <f t="shared" si="16"/>
        <v>0</v>
      </c>
      <c r="K250" s="2" t="str">
        <f t="shared" si="17"/>
        <v xml:space="preserve"> </v>
      </c>
      <c r="L250" s="2" t="str">
        <f t="shared" si="18"/>
        <v xml:space="preserve"> </v>
      </c>
      <c r="M250" s="2" t="str">
        <f t="shared" si="19"/>
        <v xml:space="preserve"> </v>
      </c>
    </row>
    <row r="251" spans="1:13" x14ac:dyDescent="0.25">
      <c r="A251" s="43" t="str">
        <f t="shared" si="15"/>
        <v xml:space="preserve"> </v>
      </c>
      <c r="D251" s="42"/>
      <c r="E251" s="42"/>
      <c r="J251" s="17">
        <f t="shared" si="16"/>
        <v>0</v>
      </c>
      <c r="K251" s="2" t="str">
        <f t="shared" si="17"/>
        <v xml:space="preserve"> </v>
      </c>
      <c r="L251" s="2" t="str">
        <f t="shared" si="18"/>
        <v xml:space="preserve"> </v>
      </c>
      <c r="M251" s="2" t="str">
        <f t="shared" si="19"/>
        <v xml:space="preserve"> </v>
      </c>
    </row>
    <row r="252" spans="1:13" x14ac:dyDescent="0.25">
      <c r="A252" s="43" t="str">
        <f t="shared" si="15"/>
        <v xml:space="preserve"> </v>
      </c>
      <c r="D252" s="42"/>
      <c r="E252" s="42"/>
      <c r="J252" s="17">
        <f t="shared" si="16"/>
        <v>0</v>
      </c>
      <c r="K252" s="2" t="str">
        <f t="shared" si="17"/>
        <v xml:space="preserve"> </v>
      </c>
      <c r="L252" s="2" t="str">
        <f t="shared" si="18"/>
        <v xml:space="preserve"> </v>
      </c>
      <c r="M252" s="2" t="str">
        <f t="shared" si="19"/>
        <v xml:space="preserve"> </v>
      </c>
    </row>
    <row r="253" spans="1:13" x14ac:dyDescent="0.25">
      <c r="A253" s="43" t="str">
        <f t="shared" si="15"/>
        <v xml:space="preserve"> </v>
      </c>
      <c r="D253" s="42"/>
      <c r="E253" s="42"/>
      <c r="J253" s="17">
        <f t="shared" si="16"/>
        <v>0</v>
      </c>
      <c r="K253" s="2" t="str">
        <f t="shared" si="17"/>
        <v xml:space="preserve"> </v>
      </c>
      <c r="L253" s="2" t="str">
        <f t="shared" si="18"/>
        <v xml:space="preserve"> </v>
      </c>
      <c r="M253" s="2" t="str">
        <f t="shared" si="19"/>
        <v xml:space="preserve"> </v>
      </c>
    </row>
    <row r="254" spans="1:13" x14ac:dyDescent="0.25">
      <c r="A254" s="43" t="str">
        <f t="shared" si="15"/>
        <v xml:space="preserve"> </v>
      </c>
      <c r="D254" s="42"/>
      <c r="E254" s="42"/>
      <c r="J254" s="17">
        <f t="shared" si="16"/>
        <v>0</v>
      </c>
      <c r="K254" s="2" t="str">
        <f t="shared" si="17"/>
        <v xml:space="preserve"> </v>
      </c>
      <c r="L254" s="2" t="str">
        <f t="shared" si="18"/>
        <v xml:space="preserve"> </v>
      </c>
      <c r="M254" s="2" t="str">
        <f t="shared" si="19"/>
        <v xml:space="preserve"> </v>
      </c>
    </row>
    <row r="255" spans="1:13" x14ac:dyDescent="0.25">
      <c r="A255" s="43" t="str">
        <f t="shared" si="15"/>
        <v xml:space="preserve"> </v>
      </c>
      <c r="D255" s="42"/>
      <c r="E255" s="42"/>
      <c r="J255" s="17">
        <f t="shared" si="16"/>
        <v>0</v>
      </c>
      <c r="K255" s="2" t="str">
        <f t="shared" si="17"/>
        <v xml:space="preserve"> </v>
      </c>
      <c r="L255" s="2" t="str">
        <f t="shared" si="18"/>
        <v xml:space="preserve"> </v>
      </c>
      <c r="M255" s="2" t="str">
        <f t="shared" si="19"/>
        <v xml:space="preserve"> </v>
      </c>
    </row>
    <row r="256" spans="1:13" x14ac:dyDescent="0.25">
      <c r="A256" s="43" t="str">
        <f t="shared" si="15"/>
        <v xml:space="preserve"> </v>
      </c>
      <c r="D256" s="42"/>
      <c r="E256" s="42"/>
      <c r="J256" s="17">
        <f t="shared" si="16"/>
        <v>0</v>
      </c>
      <c r="K256" s="2" t="str">
        <f t="shared" si="17"/>
        <v xml:space="preserve"> </v>
      </c>
      <c r="L256" s="2" t="str">
        <f t="shared" si="18"/>
        <v xml:space="preserve"> </v>
      </c>
      <c r="M256" s="2" t="str">
        <f t="shared" si="19"/>
        <v xml:space="preserve"> </v>
      </c>
    </row>
    <row r="257" spans="1:13" x14ac:dyDescent="0.25">
      <c r="A257" s="43" t="str">
        <f t="shared" si="15"/>
        <v xml:space="preserve"> </v>
      </c>
      <c r="D257" s="42"/>
      <c r="E257" s="42"/>
      <c r="J257" s="17">
        <f t="shared" si="16"/>
        <v>0</v>
      </c>
      <c r="K257" s="2" t="str">
        <f t="shared" si="17"/>
        <v xml:space="preserve"> </v>
      </c>
      <c r="L257" s="2" t="str">
        <f t="shared" si="18"/>
        <v xml:space="preserve"> </v>
      </c>
      <c r="M257" s="2" t="str">
        <f t="shared" si="19"/>
        <v xml:space="preserve"> </v>
      </c>
    </row>
    <row r="258" spans="1:13" x14ac:dyDescent="0.25">
      <c r="A258" s="43" t="str">
        <f t="shared" si="15"/>
        <v xml:space="preserve"> </v>
      </c>
      <c r="D258" s="42"/>
      <c r="E258" s="42"/>
      <c r="J258" s="17">
        <f t="shared" si="16"/>
        <v>0</v>
      </c>
      <c r="K258" s="2" t="str">
        <f t="shared" si="17"/>
        <v xml:space="preserve"> </v>
      </c>
      <c r="L258" s="2" t="str">
        <f t="shared" si="18"/>
        <v xml:space="preserve"> </v>
      </c>
      <c r="M258" s="2" t="str">
        <f t="shared" si="19"/>
        <v xml:space="preserve"> </v>
      </c>
    </row>
    <row r="259" spans="1:13" x14ac:dyDescent="0.25">
      <c r="A259" s="43" t="str">
        <f t="shared" si="15"/>
        <v xml:space="preserve"> </v>
      </c>
      <c r="D259" s="42"/>
      <c r="E259" s="42"/>
      <c r="J259" s="17">
        <f t="shared" si="16"/>
        <v>0</v>
      </c>
      <c r="K259" s="2" t="str">
        <f t="shared" si="17"/>
        <v xml:space="preserve"> </v>
      </c>
      <c r="L259" s="2" t="str">
        <f t="shared" si="18"/>
        <v xml:space="preserve"> </v>
      </c>
      <c r="M259" s="2" t="str">
        <f t="shared" si="19"/>
        <v xml:space="preserve"> </v>
      </c>
    </row>
    <row r="260" spans="1:13" x14ac:dyDescent="0.25">
      <c r="A260" s="43" t="str">
        <f t="shared" si="15"/>
        <v xml:space="preserve"> </v>
      </c>
      <c r="D260" s="42"/>
      <c r="E260" s="42"/>
      <c r="J260" s="17">
        <f t="shared" si="16"/>
        <v>0</v>
      </c>
      <c r="K260" s="2" t="str">
        <f t="shared" si="17"/>
        <v xml:space="preserve"> </v>
      </c>
      <c r="L260" s="2" t="str">
        <f t="shared" si="18"/>
        <v xml:space="preserve"> </v>
      </c>
      <c r="M260" s="2" t="str">
        <f t="shared" si="19"/>
        <v xml:space="preserve"> </v>
      </c>
    </row>
    <row r="261" spans="1:13" x14ac:dyDescent="0.25">
      <c r="A261" s="43" t="str">
        <f t="shared" si="15"/>
        <v xml:space="preserve"> </v>
      </c>
      <c r="D261" s="42"/>
      <c r="E261" s="42"/>
      <c r="J261" s="17">
        <f t="shared" si="16"/>
        <v>0</v>
      </c>
      <c r="K261" s="2" t="str">
        <f t="shared" si="17"/>
        <v xml:space="preserve"> </v>
      </c>
      <c r="L261" s="2" t="str">
        <f t="shared" si="18"/>
        <v xml:space="preserve"> </v>
      </c>
      <c r="M261" s="2" t="str">
        <f t="shared" si="19"/>
        <v xml:space="preserve"> </v>
      </c>
    </row>
    <row r="262" spans="1:13" x14ac:dyDescent="0.25">
      <c r="A262" s="43" t="str">
        <f t="shared" si="15"/>
        <v xml:space="preserve"> </v>
      </c>
      <c r="D262" s="42"/>
      <c r="E262" s="42"/>
      <c r="J262" s="17">
        <f t="shared" si="16"/>
        <v>0</v>
      </c>
      <c r="K262" s="2" t="str">
        <f t="shared" si="17"/>
        <v xml:space="preserve"> </v>
      </c>
      <c r="L262" s="2" t="str">
        <f t="shared" si="18"/>
        <v xml:space="preserve"> </v>
      </c>
      <c r="M262" s="2" t="str">
        <f t="shared" si="19"/>
        <v xml:space="preserve"> </v>
      </c>
    </row>
    <row r="263" spans="1:13" x14ac:dyDescent="0.25">
      <c r="A263" s="43" t="str">
        <f t="shared" si="15"/>
        <v xml:space="preserve"> </v>
      </c>
      <c r="D263" s="42"/>
      <c r="E263" s="42"/>
      <c r="J263" s="17">
        <f t="shared" si="16"/>
        <v>0</v>
      </c>
      <c r="K263" s="2" t="str">
        <f t="shared" si="17"/>
        <v xml:space="preserve"> </v>
      </c>
      <c r="L263" s="2" t="str">
        <f t="shared" si="18"/>
        <v xml:space="preserve"> </v>
      </c>
      <c r="M263" s="2" t="str">
        <f t="shared" si="19"/>
        <v xml:space="preserve"> </v>
      </c>
    </row>
    <row r="264" spans="1:13" x14ac:dyDescent="0.25">
      <c r="A264" s="43" t="str">
        <f t="shared" si="15"/>
        <v xml:space="preserve"> </v>
      </c>
      <c r="D264" s="42"/>
      <c r="E264" s="42"/>
      <c r="J264" s="17">
        <f t="shared" si="16"/>
        <v>0</v>
      </c>
      <c r="K264" s="2" t="str">
        <f t="shared" si="17"/>
        <v xml:space="preserve"> </v>
      </c>
      <c r="L264" s="2" t="str">
        <f t="shared" si="18"/>
        <v xml:space="preserve"> </v>
      </c>
      <c r="M264" s="2" t="str">
        <f t="shared" si="19"/>
        <v xml:space="preserve"> </v>
      </c>
    </row>
    <row r="265" spans="1:13" x14ac:dyDescent="0.25">
      <c r="A265" s="43" t="str">
        <f t="shared" si="15"/>
        <v xml:space="preserve"> </v>
      </c>
      <c r="D265" s="42"/>
      <c r="E265" s="42"/>
      <c r="J265" s="17">
        <f t="shared" si="16"/>
        <v>0</v>
      </c>
      <c r="K265" s="2" t="str">
        <f t="shared" si="17"/>
        <v xml:space="preserve"> </v>
      </c>
      <c r="L265" s="2" t="str">
        <f t="shared" si="18"/>
        <v xml:space="preserve"> </v>
      </c>
      <c r="M265" s="2" t="str">
        <f t="shared" si="19"/>
        <v xml:space="preserve"> </v>
      </c>
    </row>
    <row r="266" spans="1:13" x14ac:dyDescent="0.25">
      <c r="A266" s="43" t="str">
        <f t="shared" si="15"/>
        <v xml:space="preserve"> </v>
      </c>
      <c r="D266" s="42"/>
      <c r="E266" s="42"/>
      <c r="J266" s="17">
        <f t="shared" si="16"/>
        <v>0</v>
      </c>
      <c r="K266" s="2" t="str">
        <f t="shared" si="17"/>
        <v xml:space="preserve"> </v>
      </c>
      <c r="L266" s="2" t="str">
        <f t="shared" si="18"/>
        <v xml:space="preserve"> </v>
      </c>
      <c r="M266" s="2" t="str">
        <f t="shared" si="19"/>
        <v xml:space="preserve"> </v>
      </c>
    </row>
    <row r="267" spans="1:13" x14ac:dyDescent="0.25">
      <c r="A267" s="43" t="str">
        <f t="shared" si="15"/>
        <v xml:space="preserve"> </v>
      </c>
      <c r="D267" s="42"/>
      <c r="E267" s="42"/>
      <c r="J267" s="17">
        <f t="shared" si="16"/>
        <v>0</v>
      </c>
      <c r="K267" s="2" t="str">
        <f t="shared" si="17"/>
        <v xml:space="preserve"> </v>
      </c>
      <c r="L267" s="2" t="str">
        <f t="shared" si="18"/>
        <v xml:space="preserve"> </v>
      </c>
      <c r="M267" s="2" t="str">
        <f t="shared" si="19"/>
        <v xml:space="preserve"> </v>
      </c>
    </row>
    <row r="268" spans="1:13" x14ac:dyDescent="0.25">
      <c r="A268" s="43" t="str">
        <f t="shared" si="15"/>
        <v xml:space="preserve"> </v>
      </c>
      <c r="D268" s="42"/>
      <c r="E268" s="42"/>
      <c r="J268" s="17">
        <f t="shared" si="16"/>
        <v>0</v>
      </c>
      <c r="K268" s="2" t="str">
        <f t="shared" si="17"/>
        <v xml:space="preserve"> </v>
      </c>
      <c r="L268" s="2" t="str">
        <f t="shared" si="18"/>
        <v xml:space="preserve"> </v>
      </c>
      <c r="M268" s="2" t="str">
        <f t="shared" si="19"/>
        <v xml:space="preserve"> </v>
      </c>
    </row>
    <row r="269" spans="1:13" x14ac:dyDescent="0.25">
      <c r="A269" s="43" t="str">
        <f t="shared" si="15"/>
        <v xml:space="preserve"> </v>
      </c>
      <c r="D269" s="42"/>
      <c r="E269" s="42"/>
      <c r="J269" s="17">
        <f t="shared" si="16"/>
        <v>0</v>
      </c>
      <c r="K269" s="2" t="str">
        <f t="shared" si="17"/>
        <v xml:space="preserve"> </v>
      </c>
      <c r="L269" s="2" t="str">
        <f t="shared" si="18"/>
        <v xml:space="preserve"> </v>
      </c>
      <c r="M269" s="2" t="str">
        <f t="shared" si="19"/>
        <v xml:space="preserve"> </v>
      </c>
    </row>
    <row r="270" spans="1:13" x14ac:dyDescent="0.25">
      <c r="A270" s="43" t="str">
        <f t="shared" si="15"/>
        <v xml:space="preserve"> </v>
      </c>
      <c r="D270" s="42"/>
      <c r="E270" s="42"/>
      <c r="J270" s="17">
        <f t="shared" si="16"/>
        <v>0</v>
      </c>
      <c r="K270" s="2" t="str">
        <f t="shared" si="17"/>
        <v xml:space="preserve"> </v>
      </c>
      <c r="L270" s="2" t="str">
        <f t="shared" si="18"/>
        <v xml:space="preserve"> </v>
      </c>
      <c r="M270" s="2" t="str">
        <f t="shared" si="19"/>
        <v xml:space="preserve"> </v>
      </c>
    </row>
    <row r="271" spans="1:13" x14ac:dyDescent="0.25">
      <c r="A271" s="43" t="str">
        <f t="shared" ref="A271:A334" si="20">IF(COUNTIF(K271:M271,"ERROR")&gt;0,"ERROR"," ")</f>
        <v xml:space="preserve"> </v>
      </c>
      <c r="D271" s="42"/>
      <c r="E271" s="42"/>
      <c r="J271" s="17">
        <f t="shared" ref="J271:J334" si="21">F271-G271+H271-I271</f>
        <v>0</v>
      </c>
      <c r="K271" s="2" t="str">
        <f t="shared" si="17"/>
        <v xml:space="preserve"> </v>
      </c>
      <c r="L271" s="2" t="str">
        <f t="shared" si="18"/>
        <v xml:space="preserve"> </v>
      </c>
      <c r="M271" s="2" t="str">
        <f t="shared" si="19"/>
        <v xml:space="preserve"> </v>
      </c>
    </row>
    <row r="272" spans="1:13" x14ac:dyDescent="0.25">
      <c r="A272" s="43" t="str">
        <f t="shared" si="20"/>
        <v xml:space="preserve"> </v>
      </c>
      <c r="D272" s="42"/>
      <c r="E272" s="42"/>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43" t="str">
        <f t="shared" si="20"/>
        <v xml:space="preserve"> </v>
      </c>
      <c r="D273" s="42"/>
      <c r="E273" s="42"/>
      <c r="J273" s="17">
        <f t="shared" si="21"/>
        <v>0</v>
      </c>
      <c r="K273" s="2" t="str">
        <f t="shared" si="22"/>
        <v xml:space="preserve"> </v>
      </c>
      <c r="L273" s="2" t="str">
        <f t="shared" si="23"/>
        <v xml:space="preserve"> </v>
      </c>
      <c r="M273" s="2" t="str">
        <f t="shared" si="24"/>
        <v xml:space="preserve"> </v>
      </c>
    </row>
    <row r="274" spans="1:13" x14ac:dyDescent="0.25">
      <c r="A274" s="43" t="str">
        <f t="shared" si="20"/>
        <v xml:space="preserve"> </v>
      </c>
      <c r="D274" s="42"/>
      <c r="E274" s="42"/>
      <c r="J274" s="17">
        <f t="shared" si="21"/>
        <v>0</v>
      </c>
      <c r="K274" s="2" t="str">
        <f t="shared" si="22"/>
        <v xml:space="preserve"> </v>
      </c>
      <c r="L274" s="2" t="str">
        <f t="shared" si="23"/>
        <v xml:space="preserve"> </v>
      </c>
      <c r="M274" s="2" t="str">
        <f t="shared" si="24"/>
        <v xml:space="preserve"> </v>
      </c>
    </row>
    <row r="275" spans="1:13" x14ac:dyDescent="0.25">
      <c r="A275" s="43" t="str">
        <f t="shared" si="20"/>
        <v xml:space="preserve"> </v>
      </c>
      <c r="D275" s="42"/>
      <c r="E275" s="42"/>
      <c r="J275" s="17">
        <f t="shared" si="21"/>
        <v>0</v>
      </c>
      <c r="K275" s="2" t="str">
        <f t="shared" si="22"/>
        <v xml:space="preserve"> </v>
      </c>
      <c r="L275" s="2" t="str">
        <f t="shared" si="23"/>
        <v xml:space="preserve"> </v>
      </c>
      <c r="M275" s="2" t="str">
        <f t="shared" si="24"/>
        <v xml:space="preserve"> </v>
      </c>
    </row>
    <row r="276" spans="1:13" x14ac:dyDescent="0.25">
      <c r="A276" s="43" t="str">
        <f t="shared" si="20"/>
        <v xml:space="preserve"> </v>
      </c>
      <c r="D276" s="42"/>
      <c r="E276" s="42"/>
      <c r="J276" s="17">
        <f t="shared" si="21"/>
        <v>0</v>
      </c>
      <c r="K276" s="2" t="str">
        <f t="shared" si="22"/>
        <v xml:space="preserve"> </v>
      </c>
      <c r="L276" s="2" t="str">
        <f t="shared" si="23"/>
        <v xml:space="preserve"> </v>
      </c>
      <c r="M276" s="2" t="str">
        <f t="shared" si="24"/>
        <v xml:space="preserve"> </v>
      </c>
    </row>
    <row r="277" spans="1:13" x14ac:dyDescent="0.25">
      <c r="A277" s="43" t="str">
        <f t="shared" si="20"/>
        <v xml:space="preserve"> </v>
      </c>
      <c r="D277" s="42"/>
      <c r="E277" s="42"/>
      <c r="J277" s="17">
        <f t="shared" si="21"/>
        <v>0</v>
      </c>
      <c r="K277" s="2" t="str">
        <f t="shared" si="22"/>
        <v xml:space="preserve"> </v>
      </c>
      <c r="L277" s="2" t="str">
        <f t="shared" si="23"/>
        <v xml:space="preserve"> </v>
      </c>
      <c r="M277" s="2" t="str">
        <f t="shared" si="24"/>
        <v xml:space="preserve"> </v>
      </c>
    </row>
    <row r="278" spans="1:13" x14ac:dyDescent="0.25">
      <c r="A278" s="43" t="str">
        <f t="shared" si="20"/>
        <v xml:space="preserve"> </v>
      </c>
      <c r="D278" s="42"/>
      <c r="E278" s="42"/>
      <c r="J278" s="17">
        <f t="shared" si="21"/>
        <v>0</v>
      </c>
      <c r="K278" s="2" t="str">
        <f t="shared" si="22"/>
        <v xml:space="preserve"> </v>
      </c>
      <c r="L278" s="2" t="str">
        <f t="shared" si="23"/>
        <v xml:space="preserve"> </v>
      </c>
      <c r="M278" s="2" t="str">
        <f t="shared" si="24"/>
        <v xml:space="preserve"> </v>
      </c>
    </row>
    <row r="279" spans="1:13" x14ac:dyDescent="0.25">
      <c r="A279" s="43" t="str">
        <f t="shared" si="20"/>
        <v xml:space="preserve"> </v>
      </c>
      <c r="D279" s="42"/>
      <c r="E279" s="42"/>
      <c r="J279" s="17">
        <f t="shared" si="21"/>
        <v>0</v>
      </c>
      <c r="K279" s="2" t="str">
        <f t="shared" si="22"/>
        <v xml:space="preserve"> </v>
      </c>
      <c r="L279" s="2" t="str">
        <f t="shared" si="23"/>
        <v xml:space="preserve"> </v>
      </c>
      <c r="M279" s="2" t="str">
        <f t="shared" si="24"/>
        <v xml:space="preserve"> </v>
      </c>
    </row>
    <row r="280" spans="1:13" x14ac:dyDescent="0.25">
      <c r="A280" s="43" t="str">
        <f t="shared" si="20"/>
        <v xml:space="preserve"> </v>
      </c>
      <c r="D280" s="42"/>
      <c r="E280" s="42"/>
      <c r="J280" s="17">
        <f t="shared" si="21"/>
        <v>0</v>
      </c>
      <c r="K280" s="2" t="str">
        <f t="shared" si="22"/>
        <v xml:space="preserve"> </v>
      </c>
      <c r="L280" s="2" t="str">
        <f t="shared" si="23"/>
        <v xml:space="preserve"> </v>
      </c>
      <c r="M280" s="2" t="str">
        <f t="shared" si="24"/>
        <v xml:space="preserve"> </v>
      </c>
    </row>
    <row r="281" spans="1:13" x14ac:dyDescent="0.25">
      <c r="A281" s="43" t="str">
        <f t="shared" si="20"/>
        <v xml:space="preserve"> </v>
      </c>
      <c r="D281" s="42"/>
      <c r="E281" s="42"/>
      <c r="J281" s="17">
        <f t="shared" si="21"/>
        <v>0</v>
      </c>
      <c r="K281" s="2" t="str">
        <f t="shared" si="22"/>
        <v xml:space="preserve"> </v>
      </c>
      <c r="L281" s="2" t="str">
        <f t="shared" si="23"/>
        <v xml:space="preserve"> </v>
      </c>
      <c r="M281" s="2" t="str">
        <f t="shared" si="24"/>
        <v xml:space="preserve"> </v>
      </c>
    </row>
    <row r="282" spans="1:13" x14ac:dyDescent="0.25">
      <c r="A282" s="43" t="str">
        <f t="shared" si="20"/>
        <v xml:space="preserve"> </v>
      </c>
      <c r="D282" s="42"/>
      <c r="E282" s="42"/>
      <c r="J282" s="17">
        <f t="shared" si="21"/>
        <v>0</v>
      </c>
      <c r="K282" s="2" t="str">
        <f t="shared" si="22"/>
        <v xml:space="preserve"> </v>
      </c>
      <c r="L282" s="2" t="str">
        <f t="shared" si="23"/>
        <v xml:space="preserve"> </v>
      </c>
      <c r="M282" s="2" t="str">
        <f t="shared" si="24"/>
        <v xml:space="preserve"> </v>
      </c>
    </row>
    <row r="283" spans="1:13" x14ac:dyDescent="0.25">
      <c r="A283" s="43" t="str">
        <f t="shared" si="20"/>
        <v xml:space="preserve"> </v>
      </c>
      <c r="D283" s="42"/>
      <c r="E283" s="42"/>
      <c r="J283" s="17">
        <f t="shared" si="21"/>
        <v>0</v>
      </c>
      <c r="K283" s="2" t="str">
        <f t="shared" si="22"/>
        <v xml:space="preserve"> </v>
      </c>
      <c r="L283" s="2" t="str">
        <f t="shared" si="23"/>
        <v xml:space="preserve"> </v>
      </c>
      <c r="M283" s="2" t="str">
        <f t="shared" si="24"/>
        <v xml:space="preserve"> </v>
      </c>
    </row>
    <row r="284" spans="1:13" x14ac:dyDescent="0.25">
      <c r="A284" s="43" t="str">
        <f t="shared" si="20"/>
        <v xml:space="preserve"> </v>
      </c>
      <c r="D284" s="42"/>
      <c r="E284" s="42"/>
      <c r="J284" s="17">
        <f t="shared" si="21"/>
        <v>0</v>
      </c>
      <c r="K284" s="2" t="str">
        <f t="shared" si="22"/>
        <v xml:space="preserve"> </v>
      </c>
      <c r="L284" s="2" t="str">
        <f t="shared" si="23"/>
        <v xml:space="preserve"> </v>
      </c>
      <c r="M284" s="2" t="str">
        <f t="shared" si="24"/>
        <v xml:space="preserve"> </v>
      </c>
    </row>
    <row r="285" spans="1:13" x14ac:dyDescent="0.25">
      <c r="A285" s="43" t="str">
        <f t="shared" si="20"/>
        <v xml:space="preserve"> </v>
      </c>
      <c r="D285" s="42"/>
      <c r="E285" s="42"/>
      <c r="J285" s="17">
        <f t="shared" si="21"/>
        <v>0</v>
      </c>
      <c r="K285" s="2" t="str">
        <f t="shared" si="22"/>
        <v xml:space="preserve"> </v>
      </c>
      <c r="L285" s="2" t="str">
        <f t="shared" si="23"/>
        <v xml:space="preserve"> </v>
      </c>
      <c r="M285" s="2" t="str">
        <f t="shared" si="24"/>
        <v xml:space="preserve"> </v>
      </c>
    </row>
    <row r="286" spans="1:13" x14ac:dyDescent="0.25">
      <c r="A286" s="43" t="str">
        <f t="shared" si="20"/>
        <v xml:space="preserve"> </v>
      </c>
      <c r="D286" s="42"/>
      <c r="E286" s="42"/>
      <c r="J286" s="17">
        <f t="shared" si="21"/>
        <v>0</v>
      </c>
      <c r="K286" s="2" t="str">
        <f t="shared" si="22"/>
        <v xml:space="preserve"> </v>
      </c>
      <c r="L286" s="2" t="str">
        <f t="shared" si="23"/>
        <v xml:space="preserve"> </v>
      </c>
      <c r="M286" s="2" t="str">
        <f t="shared" si="24"/>
        <v xml:space="preserve"> </v>
      </c>
    </row>
    <row r="287" spans="1:13" x14ac:dyDescent="0.25">
      <c r="A287" s="43" t="str">
        <f t="shared" si="20"/>
        <v xml:space="preserve"> </v>
      </c>
      <c r="D287" s="42"/>
      <c r="E287" s="42"/>
      <c r="J287" s="17">
        <f t="shared" si="21"/>
        <v>0</v>
      </c>
      <c r="K287" s="2" t="str">
        <f t="shared" si="22"/>
        <v xml:space="preserve"> </v>
      </c>
      <c r="L287" s="2" t="str">
        <f t="shared" si="23"/>
        <v xml:space="preserve"> </v>
      </c>
      <c r="M287" s="2" t="str">
        <f t="shared" si="24"/>
        <v xml:space="preserve"> </v>
      </c>
    </row>
    <row r="288" spans="1:13" x14ac:dyDescent="0.25">
      <c r="A288" s="43" t="str">
        <f t="shared" si="20"/>
        <v xml:space="preserve"> </v>
      </c>
      <c r="D288" s="42"/>
      <c r="E288" s="42"/>
      <c r="J288" s="17">
        <f t="shared" si="21"/>
        <v>0</v>
      </c>
      <c r="K288" s="2" t="str">
        <f t="shared" si="22"/>
        <v xml:space="preserve"> </v>
      </c>
      <c r="L288" s="2" t="str">
        <f t="shared" si="23"/>
        <v xml:space="preserve"> </v>
      </c>
      <c r="M288" s="2" t="str">
        <f t="shared" si="24"/>
        <v xml:space="preserve"> </v>
      </c>
    </row>
    <row r="289" spans="1:13" x14ac:dyDescent="0.25">
      <c r="A289" s="43" t="str">
        <f t="shared" si="20"/>
        <v xml:space="preserve"> </v>
      </c>
      <c r="D289" s="42"/>
      <c r="E289" s="42"/>
      <c r="J289" s="17">
        <f t="shared" si="21"/>
        <v>0</v>
      </c>
      <c r="K289" s="2" t="str">
        <f t="shared" si="22"/>
        <v xml:space="preserve"> </v>
      </c>
      <c r="L289" s="2" t="str">
        <f t="shared" si="23"/>
        <v xml:space="preserve"> </v>
      </c>
      <c r="M289" s="2" t="str">
        <f t="shared" si="24"/>
        <v xml:space="preserve"> </v>
      </c>
    </row>
    <row r="290" spans="1:13" x14ac:dyDescent="0.25">
      <c r="A290" s="43" t="str">
        <f t="shared" si="20"/>
        <v xml:space="preserve"> </v>
      </c>
      <c r="D290" s="42"/>
      <c r="E290" s="42"/>
      <c r="J290" s="17">
        <f t="shared" si="21"/>
        <v>0</v>
      </c>
      <c r="K290" s="2" t="str">
        <f t="shared" si="22"/>
        <v xml:space="preserve"> </v>
      </c>
      <c r="L290" s="2" t="str">
        <f t="shared" si="23"/>
        <v xml:space="preserve"> </v>
      </c>
      <c r="M290" s="2" t="str">
        <f t="shared" si="24"/>
        <v xml:space="preserve"> </v>
      </c>
    </row>
    <row r="291" spans="1:13" x14ac:dyDescent="0.25">
      <c r="A291" s="43" t="str">
        <f t="shared" si="20"/>
        <v xml:space="preserve"> </v>
      </c>
      <c r="D291" s="42"/>
      <c r="E291" s="42"/>
      <c r="J291" s="17">
        <f t="shared" si="21"/>
        <v>0</v>
      </c>
      <c r="K291" s="2" t="str">
        <f t="shared" si="22"/>
        <v xml:space="preserve"> </v>
      </c>
      <c r="L291" s="2" t="str">
        <f t="shared" si="23"/>
        <v xml:space="preserve"> </v>
      </c>
      <c r="M291" s="2" t="str">
        <f t="shared" si="24"/>
        <v xml:space="preserve"> </v>
      </c>
    </row>
    <row r="292" spans="1:13" x14ac:dyDescent="0.25">
      <c r="A292" s="43" t="str">
        <f t="shared" si="20"/>
        <v xml:space="preserve"> </v>
      </c>
      <c r="D292" s="42"/>
      <c r="E292" s="42"/>
      <c r="J292" s="17">
        <f t="shared" si="21"/>
        <v>0</v>
      </c>
      <c r="K292" s="2" t="str">
        <f t="shared" si="22"/>
        <v xml:space="preserve"> </v>
      </c>
      <c r="L292" s="2" t="str">
        <f t="shared" si="23"/>
        <v xml:space="preserve"> </v>
      </c>
      <c r="M292" s="2" t="str">
        <f t="shared" si="24"/>
        <v xml:space="preserve"> </v>
      </c>
    </row>
    <row r="293" spans="1:13" x14ac:dyDescent="0.25">
      <c r="A293" s="43" t="str">
        <f t="shared" si="20"/>
        <v xml:space="preserve"> </v>
      </c>
      <c r="D293" s="42"/>
      <c r="E293" s="42"/>
      <c r="J293" s="17">
        <f t="shared" si="21"/>
        <v>0</v>
      </c>
      <c r="K293" s="2" t="str">
        <f t="shared" si="22"/>
        <v xml:space="preserve"> </v>
      </c>
      <c r="L293" s="2" t="str">
        <f t="shared" si="23"/>
        <v xml:space="preserve"> </v>
      </c>
      <c r="M293" s="2" t="str">
        <f t="shared" si="24"/>
        <v xml:space="preserve"> </v>
      </c>
    </row>
    <row r="294" spans="1:13" x14ac:dyDescent="0.25">
      <c r="A294" s="43" t="str">
        <f t="shared" si="20"/>
        <v xml:space="preserve"> </v>
      </c>
      <c r="D294" s="42"/>
      <c r="E294" s="42"/>
      <c r="J294" s="17">
        <f t="shared" si="21"/>
        <v>0</v>
      </c>
      <c r="K294" s="2" t="str">
        <f t="shared" si="22"/>
        <v xml:space="preserve"> </v>
      </c>
      <c r="L294" s="2" t="str">
        <f t="shared" si="23"/>
        <v xml:space="preserve"> </v>
      </c>
      <c r="M294" s="2" t="str">
        <f t="shared" si="24"/>
        <v xml:space="preserve"> </v>
      </c>
    </row>
    <row r="295" spans="1:13" x14ac:dyDescent="0.25">
      <c r="A295" s="43" t="str">
        <f t="shared" si="20"/>
        <v xml:space="preserve"> </v>
      </c>
      <c r="D295" s="42"/>
      <c r="E295" s="42"/>
      <c r="J295" s="17">
        <f t="shared" si="21"/>
        <v>0</v>
      </c>
      <c r="K295" s="2" t="str">
        <f t="shared" si="22"/>
        <v xml:space="preserve"> </v>
      </c>
      <c r="L295" s="2" t="str">
        <f t="shared" si="23"/>
        <v xml:space="preserve"> </v>
      </c>
      <c r="M295" s="2" t="str">
        <f t="shared" si="24"/>
        <v xml:space="preserve"> </v>
      </c>
    </row>
    <row r="296" spans="1:13" x14ac:dyDescent="0.25">
      <c r="A296" s="43" t="str">
        <f t="shared" si="20"/>
        <v xml:space="preserve"> </v>
      </c>
      <c r="D296" s="42"/>
      <c r="E296" s="42"/>
      <c r="J296" s="17">
        <f t="shared" si="21"/>
        <v>0</v>
      </c>
      <c r="K296" s="2" t="str">
        <f t="shared" si="22"/>
        <v xml:space="preserve"> </v>
      </c>
      <c r="L296" s="2" t="str">
        <f t="shared" si="23"/>
        <v xml:space="preserve"> </v>
      </c>
      <c r="M296" s="2" t="str">
        <f t="shared" si="24"/>
        <v xml:space="preserve"> </v>
      </c>
    </row>
    <row r="297" spans="1:13" x14ac:dyDescent="0.25">
      <c r="A297" s="43" t="str">
        <f t="shared" si="20"/>
        <v xml:space="preserve"> </v>
      </c>
      <c r="D297" s="42"/>
      <c r="E297" s="42"/>
      <c r="J297" s="17">
        <f t="shared" si="21"/>
        <v>0</v>
      </c>
      <c r="K297" s="2" t="str">
        <f t="shared" si="22"/>
        <v xml:space="preserve"> </v>
      </c>
      <c r="L297" s="2" t="str">
        <f t="shared" si="23"/>
        <v xml:space="preserve"> </v>
      </c>
      <c r="M297" s="2" t="str">
        <f t="shared" si="24"/>
        <v xml:space="preserve"> </v>
      </c>
    </row>
    <row r="298" spans="1:13" x14ac:dyDescent="0.25">
      <c r="A298" s="43" t="str">
        <f t="shared" si="20"/>
        <v xml:space="preserve"> </v>
      </c>
      <c r="D298" s="42"/>
      <c r="E298" s="42"/>
      <c r="J298" s="17">
        <f t="shared" si="21"/>
        <v>0</v>
      </c>
      <c r="K298" s="2" t="str">
        <f t="shared" si="22"/>
        <v xml:space="preserve"> </v>
      </c>
      <c r="L298" s="2" t="str">
        <f t="shared" si="23"/>
        <v xml:space="preserve"> </v>
      </c>
      <c r="M298" s="2" t="str">
        <f t="shared" si="24"/>
        <v xml:space="preserve"> </v>
      </c>
    </row>
    <row r="299" spans="1:13" x14ac:dyDescent="0.25">
      <c r="A299" s="43" t="str">
        <f t="shared" si="20"/>
        <v xml:space="preserve"> </v>
      </c>
      <c r="D299" s="42"/>
      <c r="E299" s="42"/>
      <c r="J299" s="17">
        <f t="shared" si="21"/>
        <v>0</v>
      </c>
      <c r="K299" s="2" t="str">
        <f t="shared" si="22"/>
        <v xml:space="preserve"> </v>
      </c>
      <c r="L299" s="2" t="str">
        <f t="shared" si="23"/>
        <v xml:space="preserve"> </v>
      </c>
      <c r="M299" s="2" t="str">
        <f t="shared" si="24"/>
        <v xml:space="preserve"> </v>
      </c>
    </row>
    <row r="300" spans="1:13" x14ac:dyDescent="0.25">
      <c r="A300" s="43" t="str">
        <f t="shared" si="20"/>
        <v xml:space="preserve"> </v>
      </c>
      <c r="D300" s="42"/>
      <c r="E300" s="42"/>
      <c r="J300" s="17">
        <f t="shared" si="21"/>
        <v>0</v>
      </c>
      <c r="K300" s="2" t="str">
        <f t="shared" si="22"/>
        <v xml:space="preserve"> </v>
      </c>
      <c r="L300" s="2" t="str">
        <f t="shared" si="23"/>
        <v xml:space="preserve"> </v>
      </c>
      <c r="M300" s="2" t="str">
        <f t="shared" si="24"/>
        <v xml:space="preserve"> </v>
      </c>
    </row>
    <row r="301" spans="1:13" x14ac:dyDescent="0.25">
      <c r="A301" s="43" t="str">
        <f t="shared" si="20"/>
        <v xml:space="preserve"> </v>
      </c>
      <c r="D301" s="42"/>
      <c r="E301" s="42"/>
      <c r="J301" s="17">
        <f t="shared" si="21"/>
        <v>0</v>
      </c>
      <c r="K301" s="2" t="str">
        <f t="shared" si="22"/>
        <v xml:space="preserve"> </v>
      </c>
      <c r="L301" s="2" t="str">
        <f t="shared" si="23"/>
        <v xml:space="preserve"> </v>
      </c>
      <c r="M301" s="2" t="str">
        <f t="shared" si="24"/>
        <v xml:space="preserve"> </v>
      </c>
    </row>
    <row r="302" spans="1:13" x14ac:dyDescent="0.25">
      <c r="A302" s="43" t="str">
        <f t="shared" si="20"/>
        <v xml:space="preserve"> </v>
      </c>
      <c r="D302" s="42"/>
      <c r="E302" s="42"/>
      <c r="J302" s="17">
        <f t="shared" si="21"/>
        <v>0</v>
      </c>
      <c r="K302" s="2" t="str">
        <f t="shared" si="22"/>
        <v xml:space="preserve"> </v>
      </c>
      <c r="L302" s="2" t="str">
        <f t="shared" si="23"/>
        <v xml:space="preserve"> </v>
      </c>
      <c r="M302" s="2" t="str">
        <f t="shared" si="24"/>
        <v xml:space="preserve"> </v>
      </c>
    </row>
    <row r="303" spans="1:13" x14ac:dyDescent="0.25">
      <c r="A303" s="43" t="str">
        <f t="shared" si="20"/>
        <v xml:space="preserve"> </v>
      </c>
      <c r="D303" s="42"/>
      <c r="E303" s="42"/>
      <c r="J303" s="17">
        <f t="shared" si="21"/>
        <v>0</v>
      </c>
      <c r="K303" s="2" t="str">
        <f t="shared" si="22"/>
        <v xml:space="preserve"> </v>
      </c>
      <c r="L303" s="2" t="str">
        <f t="shared" si="23"/>
        <v xml:space="preserve"> </v>
      </c>
      <c r="M303" s="2" t="str">
        <f t="shared" si="24"/>
        <v xml:space="preserve"> </v>
      </c>
    </row>
    <row r="304" spans="1:13" x14ac:dyDescent="0.25">
      <c r="A304" s="43" t="str">
        <f t="shared" si="20"/>
        <v xml:space="preserve"> </v>
      </c>
      <c r="D304" s="42"/>
      <c r="E304" s="42"/>
      <c r="J304" s="17">
        <f t="shared" si="21"/>
        <v>0</v>
      </c>
      <c r="K304" s="2" t="str">
        <f t="shared" si="22"/>
        <v xml:space="preserve"> </v>
      </c>
      <c r="L304" s="2" t="str">
        <f t="shared" si="23"/>
        <v xml:space="preserve"> </v>
      </c>
      <c r="M304" s="2" t="str">
        <f t="shared" si="24"/>
        <v xml:space="preserve"> </v>
      </c>
    </row>
    <row r="305" spans="1:13" x14ac:dyDescent="0.25">
      <c r="A305" s="43" t="str">
        <f t="shared" si="20"/>
        <v xml:space="preserve"> </v>
      </c>
      <c r="D305" s="42"/>
      <c r="E305" s="42"/>
      <c r="J305" s="17">
        <f t="shared" si="21"/>
        <v>0</v>
      </c>
      <c r="K305" s="2" t="str">
        <f t="shared" si="22"/>
        <v xml:space="preserve"> </v>
      </c>
      <c r="L305" s="2" t="str">
        <f t="shared" si="23"/>
        <v xml:space="preserve"> </v>
      </c>
      <c r="M305" s="2" t="str">
        <f t="shared" si="24"/>
        <v xml:space="preserve"> </v>
      </c>
    </row>
    <row r="306" spans="1:13" x14ac:dyDescent="0.25">
      <c r="A306" s="43" t="str">
        <f t="shared" si="20"/>
        <v xml:space="preserve"> </v>
      </c>
      <c r="D306" s="42"/>
      <c r="E306" s="42"/>
      <c r="J306" s="17">
        <f t="shared" si="21"/>
        <v>0</v>
      </c>
      <c r="K306" s="2" t="str">
        <f t="shared" si="22"/>
        <v xml:space="preserve"> </v>
      </c>
      <c r="L306" s="2" t="str">
        <f t="shared" si="23"/>
        <v xml:space="preserve"> </v>
      </c>
      <c r="M306" s="2" t="str">
        <f t="shared" si="24"/>
        <v xml:space="preserve"> </v>
      </c>
    </row>
    <row r="307" spans="1:13" x14ac:dyDescent="0.25">
      <c r="A307" s="43" t="str">
        <f t="shared" si="20"/>
        <v xml:space="preserve"> </v>
      </c>
      <c r="D307" s="42"/>
      <c r="E307" s="42"/>
      <c r="J307" s="17">
        <f t="shared" si="21"/>
        <v>0</v>
      </c>
      <c r="K307" s="2" t="str">
        <f t="shared" si="22"/>
        <v xml:space="preserve"> </v>
      </c>
      <c r="L307" s="2" t="str">
        <f t="shared" si="23"/>
        <v xml:space="preserve"> </v>
      </c>
      <c r="M307" s="2" t="str">
        <f t="shared" si="24"/>
        <v xml:space="preserve"> </v>
      </c>
    </row>
    <row r="308" spans="1:13" x14ac:dyDescent="0.25">
      <c r="A308" s="43" t="str">
        <f t="shared" si="20"/>
        <v xml:space="preserve"> </v>
      </c>
      <c r="D308" s="42"/>
      <c r="E308" s="42"/>
      <c r="J308" s="17">
        <f t="shared" si="21"/>
        <v>0</v>
      </c>
      <c r="K308" s="2" t="str">
        <f t="shared" si="22"/>
        <v xml:space="preserve"> </v>
      </c>
      <c r="L308" s="2" t="str">
        <f t="shared" si="23"/>
        <v xml:space="preserve"> </v>
      </c>
      <c r="M308" s="2" t="str">
        <f t="shared" si="24"/>
        <v xml:space="preserve"> </v>
      </c>
    </row>
    <row r="309" spans="1:13" x14ac:dyDescent="0.25">
      <c r="A309" s="43" t="str">
        <f t="shared" si="20"/>
        <v xml:space="preserve"> </v>
      </c>
      <c r="D309" s="42"/>
      <c r="E309" s="42"/>
      <c r="J309" s="17">
        <f t="shared" si="21"/>
        <v>0</v>
      </c>
      <c r="K309" s="2" t="str">
        <f t="shared" si="22"/>
        <v xml:space="preserve"> </v>
      </c>
      <c r="L309" s="2" t="str">
        <f t="shared" si="23"/>
        <v xml:space="preserve"> </v>
      </c>
      <c r="M309" s="2" t="str">
        <f t="shared" si="24"/>
        <v xml:space="preserve"> </v>
      </c>
    </row>
    <row r="310" spans="1:13" x14ac:dyDescent="0.25">
      <c r="A310" s="43" t="str">
        <f t="shared" si="20"/>
        <v xml:space="preserve"> </v>
      </c>
      <c r="D310" s="42"/>
      <c r="E310" s="42"/>
      <c r="J310" s="17">
        <f t="shared" si="21"/>
        <v>0</v>
      </c>
      <c r="K310" s="2" t="str">
        <f t="shared" si="22"/>
        <v xml:space="preserve"> </v>
      </c>
      <c r="L310" s="2" t="str">
        <f t="shared" si="23"/>
        <v xml:space="preserve"> </v>
      </c>
      <c r="M310" s="2" t="str">
        <f t="shared" si="24"/>
        <v xml:space="preserve"> </v>
      </c>
    </row>
    <row r="311" spans="1:13" x14ac:dyDescent="0.25">
      <c r="A311" s="43" t="str">
        <f t="shared" si="20"/>
        <v xml:space="preserve"> </v>
      </c>
      <c r="D311" s="42"/>
      <c r="E311" s="42"/>
      <c r="J311" s="17">
        <f t="shared" si="21"/>
        <v>0</v>
      </c>
      <c r="K311" s="2" t="str">
        <f t="shared" si="22"/>
        <v xml:space="preserve"> </v>
      </c>
      <c r="L311" s="2" t="str">
        <f t="shared" si="23"/>
        <v xml:space="preserve"> </v>
      </c>
      <c r="M311" s="2" t="str">
        <f t="shared" si="24"/>
        <v xml:space="preserve"> </v>
      </c>
    </row>
    <row r="312" spans="1:13" x14ac:dyDescent="0.25">
      <c r="A312" s="43" t="str">
        <f t="shared" si="20"/>
        <v xml:space="preserve"> </v>
      </c>
      <c r="D312" s="42"/>
      <c r="E312" s="42"/>
      <c r="J312" s="17">
        <f t="shared" si="21"/>
        <v>0</v>
      </c>
      <c r="K312" s="2" t="str">
        <f t="shared" si="22"/>
        <v xml:space="preserve"> </v>
      </c>
      <c r="L312" s="2" t="str">
        <f t="shared" si="23"/>
        <v xml:space="preserve"> </v>
      </c>
      <c r="M312" s="2" t="str">
        <f t="shared" si="24"/>
        <v xml:space="preserve"> </v>
      </c>
    </row>
    <row r="313" spans="1:13" x14ac:dyDescent="0.25">
      <c r="A313" s="43" t="str">
        <f t="shared" si="20"/>
        <v xml:space="preserve"> </v>
      </c>
      <c r="D313" s="42"/>
      <c r="E313" s="42"/>
      <c r="J313" s="17">
        <f t="shared" si="21"/>
        <v>0</v>
      </c>
      <c r="K313" s="2" t="str">
        <f t="shared" si="22"/>
        <v xml:space="preserve"> </v>
      </c>
      <c r="L313" s="2" t="str">
        <f t="shared" si="23"/>
        <v xml:space="preserve"> </v>
      </c>
      <c r="M313" s="2" t="str">
        <f t="shared" si="24"/>
        <v xml:space="preserve"> </v>
      </c>
    </row>
    <row r="314" spans="1:13" x14ac:dyDescent="0.25">
      <c r="A314" s="43" t="str">
        <f t="shared" si="20"/>
        <v xml:space="preserve"> </v>
      </c>
      <c r="D314" s="42"/>
      <c r="E314" s="42"/>
      <c r="J314" s="17">
        <f t="shared" si="21"/>
        <v>0</v>
      </c>
      <c r="K314" s="2" t="str">
        <f t="shared" si="22"/>
        <v xml:space="preserve"> </v>
      </c>
      <c r="L314" s="2" t="str">
        <f t="shared" si="23"/>
        <v xml:space="preserve"> </v>
      </c>
      <c r="M314" s="2" t="str">
        <f t="shared" si="24"/>
        <v xml:space="preserve"> </v>
      </c>
    </row>
    <row r="315" spans="1:13" x14ac:dyDescent="0.25">
      <c r="A315" s="43" t="str">
        <f t="shared" si="20"/>
        <v xml:space="preserve"> </v>
      </c>
      <c r="D315" s="42"/>
      <c r="E315" s="42"/>
      <c r="J315" s="17">
        <f t="shared" si="21"/>
        <v>0</v>
      </c>
      <c r="K315" s="2" t="str">
        <f t="shared" si="22"/>
        <v xml:space="preserve"> </v>
      </c>
      <c r="L315" s="2" t="str">
        <f t="shared" si="23"/>
        <v xml:space="preserve"> </v>
      </c>
      <c r="M315" s="2" t="str">
        <f t="shared" si="24"/>
        <v xml:space="preserve"> </v>
      </c>
    </row>
    <row r="316" spans="1:13" x14ac:dyDescent="0.25">
      <c r="A316" s="43" t="str">
        <f t="shared" si="20"/>
        <v xml:space="preserve"> </v>
      </c>
      <c r="D316" s="42"/>
      <c r="E316" s="42"/>
      <c r="J316" s="17">
        <f t="shared" si="21"/>
        <v>0</v>
      </c>
      <c r="K316" s="2" t="str">
        <f t="shared" si="22"/>
        <v xml:space="preserve"> </v>
      </c>
      <c r="L316" s="2" t="str">
        <f t="shared" si="23"/>
        <v xml:space="preserve"> </v>
      </c>
      <c r="M316" s="2" t="str">
        <f t="shared" si="24"/>
        <v xml:space="preserve"> </v>
      </c>
    </row>
    <row r="317" spans="1:13" x14ac:dyDescent="0.25">
      <c r="A317" s="43" t="str">
        <f t="shared" si="20"/>
        <v xml:space="preserve"> </v>
      </c>
      <c r="D317" s="42"/>
      <c r="E317" s="42"/>
      <c r="J317" s="17">
        <f t="shared" si="21"/>
        <v>0</v>
      </c>
      <c r="K317" s="2" t="str">
        <f t="shared" si="22"/>
        <v xml:space="preserve"> </v>
      </c>
      <c r="L317" s="2" t="str">
        <f t="shared" si="23"/>
        <v xml:space="preserve"> </v>
      </c>
      <c r="M317" s="2" t="str">
        <f t="shared" si="24"/>
        <v xml:space="preserve"> </v>
      </c>
    </row>
    <row r="318" spans="1:13" x14ac:dyDescent="0.25">
      <c r="A318" s="43" t="str">
        <f t="shared" si="20"/>
        <v xml:space="preserve"> </v>
      </c>
      <c r="D318" s="42"/>
      <c r="E318" s="42"/>
      <c r="J318" s="17">
        <f t="shared" si="21"/>
        <v>0</v>
      </c>
      <c r="K318" s="2" t="str">
        <f t="shared" si="22"/>
        <v xml:space="preserve"> </v>
      </c>
      <c r="L318" s="2" t="str">
        <f t="shared" si="23"/>
        <v xml:space="preserve"> </v>
      </c>
      <c r="M318" s="2" t="str">
        <f t="shared" si="24"/>
        <v xml:space="preserve"> </v>
      </c>
    </row>
    <row r="319" spans="1:13" x14ac:dyDescent="0.25">
      <c r="A319" s="43" t="str">
        <f t="shared" si="20"/>
        <v xml:space="preserve"> </v>
      </c>
      <c r="D319" s="42"/>
      <c r="E319" s="42"/>
      <c r="J319" s="17">
        <f t="shared" si="21"/>
        <v>0</v>
      </c>
      <c r="K319" s="2" t="str">
        <f t="shared" si="22"/>
        <v xml:space="preserve"> </v>
      </c>
      <c r="L319" s="2" t="str">
        <f t="shared" si="23"/>
        <v xml:space="preserve"> </v>
      </c>
      <c r="M319" s="2" t="str">
        <f t="shared" si="24"/>
        <v xml:space="preserve"> </v>
      </c>
    </row>
    <row r="320" spans="1:13" x14ac:dyDescent="0.25">
      <c r="A320" s="43" t="str">
        <f t="shared" si="20"/>
        <v xml:space="preserve"> </v>
      </c>
      <c r="D320" s="42"/>
      <c r="E320" s="42"/>
      <c r="J320" s="17">
        <f t="shared" si="21"/>
        <v>0</v>
      </c>
      <c r="K320" s="2" t="str">
        <f t="shared" si="22"/>
        <v xml:space="preserve"> </v>
      </c>
      <c r="L320" s="2" t="str">
        <f t="shared" si="23"/>
        <v xml:space="preserve"> </v>
      </c>
      <c r="M320" s="2" t="str">
        <f t="shared" si="24"/>
        <v xml:space="preserve"> </v>
      </c>
    </row>
    <row r="321" spans="1:13" x14ac:dyDescent="0.25">
      <c r="A321" s="43" t="str">
        <f t="shared" si="20"/>
        <v xml:space="preserve"> </v>
      </c>
      <c r="D321" s="42"/>
      <c r="E321" s="42"/>
      <c r="J321" s="17">
        <f t="shared" si="21"/>
        <v>0</v>
      </c>
      <c r="K321" s="2" t="str">
        <f t="shared" si="22"/>
        <v xml:space="preserve"> </v>
      </c>
      <c r="L321" s="2" t="str">
        <f t="shared" si="23"/>
        <v xml:space="preserve"> </v>
      </c>
      <c r="M321" s="2" t="str">
        <f t="shared" si="24"/>
        <v xml:space="preserve"> </v>
      </c>
    </row>
    <row r="322" spans="1:13" x14ac:dyDescent="0.25">
      <c r="A322" s="43" t="str">
        <f t="shared" si="20"/>
        <v xml:space="preserve"> </v>
      </c>
      <c r="D322" s="42"/>
      <c r="E322" s="42"/>
      <c r="J322" s="17">
        <f t="shared" si="21"/>
        <v>0</v>
      </c>
      <c r="K322" s="2" t="str">
        <f t="shared" si="22"/>
        <v xml:space="preserve"> </v>
      </c>
      <c r="L322" s="2" t="str">
        <f t="shared" si="23"/>
        <v xml:space="preserve"> </v>
      </c>
      <c r="M322" s="2" t="str">
        <f t="shared" si="24"/>
        <v xml:space="preserve"> </v>
      </c>
    </row>
    <row r="323" spans="1:13" x14ac:dyDescent="0.25">
      <c r="A323" s="43" t="str">
        <f t="shared" si="20"/>
        <v xml:space="preserve"> </v>
      </c>
      <c r="D323" s="42"/>
      <c r="E323" s="42"/>
      <c r="J323" s="17">
        <f t="shared" si="21"/>
        <v>0</v>
      </c>
      <c r="K323" s="2" t="str">
        <f t="shared" si="22"/>
        <v xml:space="preserve"> </v>
      </c>
      <c r="L323" s="2" t="str">
        <f t="shared" si="23"/>
        <v xml:space="preserve"> </v>
      </c>
      <c r="M323" s="2" t="str">
        <f t="shared" si="24"/>
        <v xml:space="preserve"> </v>
      </c>
    </row>
    <row r="324" spans="1:13" x14ac:dyDescent="0.25">
      <c r="A324" s="43" t="str">
        <f t="shared" si="20"/>
        <v xml:space="preserve"> </v>
      </c>
      <c r="D324" s="42"/>
      <c r="E324" s="42"/>
      <c r="J324" s="17">
        <f t="shared" si="21"/>
        <v>0</v>
      </c>
      <c r="K324" s="2" t="str">
        <f t="shared" si="22"/>
        <v xml:space="preserve"> </v>
      </c>
      <c r="L324" s="2" t="str">
        <f t="shared" si="23"/>
        <v xml:space="preserve"> </v>
      </c>
      <c r="M324" s="2" t="str">
        <f t="shared" si="24"/>
        <v xml:space="preserve"> </v>
      </c>
    </row>
    <row r="325" spans="1:13" x14ac:dyDescent="0.25">
      <c r="A325" s="43" t="str">
        <f t="shared" si="20"/>
        <v xml:space="preserve"> </v>
      </c>
      <c r="D325" s="42"/>
      <c r="E325" s="42"/>
      <c r="J325" s="17">
        <f t="shared" si="21"/>
        <v>0</v>
      </c>
      <c r="K325" s="2" t="str">
        <f t="shared" si="22"/>
        <v xml:space="preserve"> </v>
      </c>
      <c r="L325" s="2" t="str">
        <f t="shared" si="23"/>
        <v xml:space="preserve"> </v>
      </c>
      <c r="M325" s="2" t="str">
        <f t="shared" si="24"/>
        <v xml:space="preserve"> </v>
      </c>
    </row>
    <row r="326" spans="1:13" x14ac:dyDescent="0.25">
      <c r="A326" s="43" t="str">
        <f t="shared" si="20"/>
        <v xml:space="preserve"> </v>
      </c>
      <c r="D326" s="42"/>
      <c r="E326" s="42"/>
      <c r="J326" s="17">
        <f t="shared" si="21"/>
        <v>0</v>
      </c>
      <c r="K326" s="2" t="str">
        <f t="shared" si="22"/>
        <v xml:space="preserve"> </v>
      </c>
      <c r="L326" s="2" t="str">
        <f t="shared" si="23"/>
        <v xml:space="preserve"> </v>
      </c>
      <c r="M326" s="2" t="str">
        <f t="shared" si="24"/>
        <v xml:space="preserve"> </v>
      </c>
    </row>
    <row r="327" spans="1:13" x14ac:dyDescent="0.25">
      <c r="A327" s="43" t="str">
        <f t="shared" si="20"/>
        <v xml:space="preserve"> </v>
      </c>
      <c r="D327" s="42"/>
      <c r="E327" s="42"/>
      <c r="J327" s="17">
        <f t="shared" si="21"/>
        <v>0</v>
      </c>
      <c r="K327" s="2" t="str">
        <f t="shared" si="22"/>
        <v xml:space="preserve"> </v>
      </c>
      <c r="L327" s="2" t="str">
        <f t="shared" si="23"/>
        <v xml:space="preserve"> </v>
      </c>
      <c r="M327" s="2" t="str">
        <f t="shared" si="24"/>
        <v xml:space="preserve"> </v>
      </c>
    </row>
    <row r="328" spans="1:13" x14ac:dyDescent="0.25">
      <c r="A328" s="43" t="str">
        <f t="shared" si="20"/>
        <v xml:space="preserve"> </v>
      </c>
      <c r="D328" s="42"/>
      <c r="E328" s="42"/>
      <c r="J328" s="17">
        <f t="shared" si="21"/>
        <v>0</v>
      </c>
      <c r="K328" s="2" t="str">
        <f t="shared" si="22"/>
        <v xml:space="preserve"> </v>
      </c>
      <c r="L328" s="2" t="str">
        <f t="shared" si="23"/>
        <v xml:space="preserve"> </v>
      </c>
      <c r="M328" s="2" t="str">
        <f t="shared" si="24"/>
        <v xml:space="preserve"> </v>
      </c>
    </row>
    <row r="329" spans="1:13" x14ac:dyDescent="0.25">
      <c r="A329" s="43" t="str">
        <f t="shared" si="20"/>
        <v xml:space="preserve"> </v>
      </c>
      <c r="D329" s="42"/>
      <c r="E329" s="42"/>
      <c r="J329" s="17">
        <f t="shared" si="21"/>
        <v>0</v>
      </c>
      <c r="K329" s="2" t="str">
        <f t="shared" si="22"/>
        <v xml:space="preserve"> </v>
      </c>
      <c r="L329" s="2" t="str">
        <f t="shared" si="23"/>
        <v xml:space="preserve"> </v>
      </c>
      <c r="M329" s="2" t="str">
        <f t="shared" si="24"/>
        <v xml:space="preserve"> </v>
      </c>
    </row>
    <row r="330" spans="1:13" x14ac:dyDescent="0.25">
      <c r="A330" s="43" t="str">
        <f t="shared" si="20"/>
        <v xml:space="preserve"> </v>
      </c>
      <c r="D330" s="42"/>
      <c r="E330" s="42"/>
      <c r="J330" s="17">
        <f t="shared" si="21"/>
        <v>0</v>
      </c>
      <c r="K330" s="2" t="str">
        <f t="shared" si="22"/>
        <v xml:space="preserve"> </v>
      </c>
      <c r="L330" s="2" t="str">
        <f t="shared" si="23"/>
        <v xml:space="preserve"> </v>
      </c>
      <c r="M330" s="2" t="str">
        <f t="shared" si="24"/>
        <v xml:space="preserve"> </v>
      </c>
    </row>
    <row r="331" spans="1:13" x14ac:dyDescent="0.25">
      <c r="A331" s="43" t="str">
        <f t="shared" si="20"/>
        <v xml:space="preserve"> </v>
      </c>
      <c r="D331" s="42"/>
      <c r="E331" s="42"/>
      <c r="J331" s="17">
        <f t="shared" si="21"/>
        <v>0</v>
      </c>
      <c r="K331" s="2" t="str">
        <f t="shared" si="22"/>
        <v xml:space="preserve"> </v>
      </c>
      <c r="L331" s="2" t="str">
        <f t="shared" si="23"/>
        <v xml:space="preserve"> </v>
      </c>
      <c r="M331" s="2" t="str">
        <f t="shared" si="24"/>
        <v xml:space="preserve"> </v>
      </c>
    </row>
    <row r="332" spans="1:13" x14ac:dyDescent="0.25">
      <c r="A332" s="43" t="str">
        <f t="shared" si="20"/>
        <v xml:space="preserve"> </v>
      </c>
      <c r="D332" s="42"/>
      <c r="E332" s="42"/>
      <c r="J332" s="17">
        <f t="shared" si="21"/>
        <v>0</v>
      </c>
      <c r="K332" s="2" t="str">
        <f t="shared" si="22"/>
        <v xml:space="preserve"> </v>
      </c>
      <c r="L332" s="2" t="str">
        <f t="shared" si="23"/>
        <v xml:space="preserve"> </v>
      </c>
      <c r="M332" s="2" t="str">
        <f t="shared" si="24"/>
        <v xml:space="preserve"> </v>
      </c>
    </row>
    <row r="333" spans="1:13" x14ac:dyDescent="0.25">
      <c r="A333" s="43" t="str">
        <f t="shared" si="20"/>
        <v xml:space="preserve"> </v>
      </c>
      <c r="D333" s="42"/>
      <c r="E333" s="42"/>
      <c r="J333" s="17">
        <f t="shared" si="21"/>
        <v>0</v>
      </c>
      <c r="K333" s="2" t="str">
        <f t="shared" si="22"/>
        <v xml:space="preserve"> </v>
      </c>
      <c r="L333" s="2" t="str">
        <f t="shared" si="23"/>
        <v xml:space="preserve"> </v>
      </c>
      <c r="M333" s="2" t="str">
        <f t="shared" si="24"/>
        <v xml:space="preserve"> </v>
      </c>
    </row>
    <row r="334" spans="1:13" x14ac:dyDescent="0.25">
      <c r="A334" s="43" t="str">
        <f t="shared" si="20"/>
        <v xml:space="preserve"> </v>
      </c>
      <c r="D334" s="42"/>
      <c r="E334" s="42"/>
      <c r="J334" s="17">
        <f t="shared" si="21"/>
        <v>0</v>
      </c>
      <c r="K334" s="2" t="str">
        <f t="shared" si="22"/>
        <v xml:space="preserve"> </v>
      </c>
      <c r="L334" s="2" t="str">
        <f t="shared" si="23"/>
        <v xml:space="preserve"> </v>
      </c>
      <c r="M334" s="2" t="str">
        <f t="shared" si="24"/>
        <v xml:space="preserve"> </v>
      </c>
    </row>
    <row r="335" spans="1:13" x14ac:dyDescent="0.25">
      <c r="A335" s="43" t="str">
        <f t="shared" ref="A335:A398" si="25">IF(COUNTIF(K335:M335,"ERROR")&gt;0,"ERROR"," ")</f>
        <v xml:space="preserve"> </v>
      </c>
      <c r="D335" s="42"/>
      <c r="E335" s="42"/>
      <c r="J335" s="17">
        <f t="shared" ref="J335:J396" si="26">F335-G335+H335-I335</f>
        <v>0</v>
      </c>
      <c r="K335" s="2" t="str">
        <f t="shared" si="22"/>
        <v xml:space="preserve"> </v>
      </c>
      <c r="L335" s="2" t="str">
        <f t="shared" si="23"/>
        <v xml:space="preserve"> </v>
      </c>
      <c r="M335" s="2" t="str">
        <f t="shared" si="24"/>
        <v xml:space="preserve"> </v>
      </c>
    </row>
    <row r="336" spans="1:13" x14ac:dyDescent="0.25">
      <c r="A336" s="43" t="str">
        <f t="shared" si="25"/>
        <v xml:space="preserve"> </v>
      </c>
      <c r="D336" s="42"/>
      <c r="E336" s="42"/>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43" t="str">
        <f t="shared" si="25"/>
        <v xml:space="preserve"> </v>
      </c>
      <c r="D337" s="42"/>
      <c r="E337" s="42"/>
      <c r="J337" s="17">
        <f t="shared" si="26"/>
        <v>0</v>
      </c>
      <c r="K337" s="2" t="str">
        <f t="shared" si="27"/>
        <v xml:space="preserve"> </v>
      </c>
      <c r="L337" s="2" t="str">
        <f t="shared" si="28"/>
        <v xml:space="preserve"> </v>
      </c>
      <c r="M337" s="2" t="str">
        <f t="shared" si="29"/>
        <v xml:space="preserve"> </v>
      </c>
    </row>
    <row r="338" spans="1:13" x14ac:dyDescent="0.25">
      <c r="A338" s="43" t="str">
        <f t="shared" si="25"/>
        <v xml:space="preserve"> </v>
      </c>
      <c r="D338" s="42"/>
      <c r="E338" s="42"/>
      <c r="J338" s="17">
        <f t="shared" si="26"/>
        <v>0</v>
      </c>
      <c r="K338" s="2" t="str">
        <f t="shared" si="27"/>
        <v xml:space="preserve"> </v>
      </c>
      <c r="L338" s="2" t="str">
        <f t="shared" si="28"/>
        <v xml:space="preserve"> </v>
      </c>
      <c r="M338" s="2" t="str">
        <f t="shared" si="29"/>
        <v xml:space="preserve"> </v>
      </c>
    </row>
    <row r="339" spans="1:13" x14ac:dyDescent="0.25">
      <c r="A339" s="43" t="str">
        <f t="shared" si="25"/>
        <v xml:space="preserve"> </v>
      </c>
      <c r="D339" s="42"/>
      <c r="E339" s="42"/>
      <c r="J339" s="17">
        <f t="shared" si="26"/>
        <v>0</v>
      </c>
      <c r="K339" s="2" t="str">
        <f t="shared" si="27"/>
        <v xml:space="preserve"> </v>
      </c>
      <c r="L339" s="2" t="str">
        <f t="shared" si="28"/>
        <v xml:space="preserve"> </v>
      </c>
      <c r="M339" s="2" t="str">
        <f t="shared" si="29"/>
        <v xml:space="preserve"> </v>
      </c>
    </row>
    <row r="340" spans="1:13" x14ac:dyDescent="0.25">
      <c r="A340" s="43" t="str">
        <f t="shared" si="25"/>
        <v xml:space="preserve"> </v>
      </c>
      <c r="D340" s="42"/>
      <c r="E340" s="42"/>
      <c r="J340" s="17">
        <f t="shared" si="26"/>
        <v>0</v>
      </c>
      <c r="K340" s="2" t="str">
        <f t="shared" si="27"/>
        <v xml:space="preserve"> </v>
      </c>
      <c r="L340" s="2" t="str">
        <f t="shared" si="28"/>
        <v xml:space="preserve"> </v>
      </c>
      <c r="M340" s="2" t="str">
        <f t="shared" si="29"/>
        <v xml:space="preserve"> </v>
      </c>
    </row>
    <row r="341" spans="1:13" x14ac:dyDescent="0.25">
      <c r="A341" s="43" t="str">
        <f t="shared" si="25"/>
        <v xml:space="preserve"> </v>
      </c>
      <c r="D341" s="42"/>
      <c r="E341" s="42"/>
      <c r="J341" s="17">
        <f t="shared" si="26"/>
        <v>0</v>
      </c>
      <c r="K341" s="2" t="str">
        <f t="shared" si="27"/>
        <v xml:space="preserve"> </v>
      </c>
      <c r="L341" s="2" t="str">
        <f t="shared" si="28"/>
        <v xml:space="preserve"> </v>
      </c>
      <c r="M341" s="2" t="str">
        <f t="shared" si="29"/>
        <v xml:space="preserve"> </v>
      </c>
    </row>
    <row r="342" spans="1:13" x14ac:dyDescent="0.25">
      <c r="A342" s="43" t="str">
        <f t="shared" si="25"/>
        <v xml:space="preserve"> </v>
      </c>
      <c r="D342" s="42"/>
      <c r="E342" s="42"/>
      <c r="J342" s="17">
        <f t="shared" si="26"/>
        <v>0</v>
      </c>
      <c r="K342" s="2" t="str">
        <f t="shared" si="27"/>
        <v xml:space="preserve"> </v>
      </c>
      <c r="L342" s="2" t="str">
        <f t="shared" si="28"/>
        <v xml:space="preserve"> </v>
      </c>
      <c r="M342" s="2" t="str">
        <f t="shared" si="29"/>
        <v xml:space="preserve"> </v>
      </c>
    </row>
    <row r="343" spans="1:13" x14ac:dyDescent="0.25">
      <c r="A343" s="43" t="str">
        <f t="shared" si="25"/>
        <v xml:space="preserve"> </v>
      </c>
      <c r="D343" s="42"/>
      <c r="E343" s="42"/>
      <c r="J343" s="17">
        <f t="shared" si="26"/>
        <v>0</v>
      </c>
      <c r="K343" s="2" t="str">
        <f t="shared" si="27"/>
        <v xml:space="preserve"> </v>
      </c>
      <c r="L343" s="2" t="str">
        <f t="shared" si="28"/>
        <v xml:space="preserve"> </v>
      </c>
      <c r="M343" s="2" t="str">
        <f t="shared" si="29"/>
        <v xml:space="preserve"> </v>
      </c>
    </row>
    <row r="344" spans="1:13" x14ac:dyDescent="0.25">
      <c r="A344" s="43" t="str">
        <f t="shared" si="25"/>
        <v xml:space="preserve"> </v>
      </c>
      <c r="D344" s="42"/>
      <c r="E344" s="42"/>
      <c r="J344" s="17">
        <f t="shared" si="26"/>
        <v>0</v>
      </c>
      <c r="K344" s="2" t="str">
        <f t="shared" si="27"/>
        <v xml:space="preserve"> </v>
      </c>
      <c r="L344" s="2" t="str">
        <f t="shared" si="28"/>
        <v xml:space="preserve"> </v>
      </c>
      <c r="M344" s="2" t="str">
        <f t="shared" si="29"/>
        <v xml:space="preserve"> </v>
      </c>
    </row>
    <row r="345" spans="1:13" x14ac:dyDescent="0.25">
      <c r="A345" s="43" t="str">
        <f t="shared" si="25"/>
        <v xml:space="preserve"> </v>
      </c>
      <c r="D345" s="42"/>
      <c r="E345" s="42"/>
      <c r="J345" s="17">
        <f t="shared" si="26"/>
        <v>0</v>
      </c>
      <c r="K345" s="2" t="str">
        <f t="shared" si="27"/>
        <v xml:space="preserve"> </v>
      </c>
      <c r="L345" s="2" t="str">
        <f t="shared" si="28"/>
        <v xml:space="preserve"> </v>
      </c>
      <c r="M345" s="2" t="str">
        <f t="shared" si="29"/>
        <v xml:space="preserve"> </v>
      </c>
    </row>
    <row r="346" spans="1:13" x14ac:dyDescent="0.25">
      <c r="A346" s="43" t="str">
        <f t="shared" si="25"/>
        <v xml:space="preserve"> </v>
      </c>
      <c r="D346" s="42"/>
      <c r="E346" s="42"/>
      <c r="J346" s="17">
        <f t="shared" si="26"/>
        <v>0</v>
      </c>
      <c r="K346" s="2" t="str">
        <f t="shared" si="27"/>
        <v xml:space="preserve"> </v>
      </c>
      <c r="L346" s="2" t="str">
        <f t="shared" si="28"/>
        <v xml:space="preserve"> </v>
      </c>
      <c r="M346" s="2" t="str">
        <f t="shared" si="29"/>
        <v xml:space="preserve"> </v>
      </c>
    </row>
    <row r="347" spans="1:13" x14ac:dyDescent="0.25">
      <c r="A347" s="43" t="str">
        <f t="shared" si="25"/>
        <v xml:space="preserve"> </v>
      </c>
      <c r="D347" s="42"/>
      <c r="E347" s="42"/>
      <c r="J347" s="17">
        <f t="shared" si="26"/>
        <v>0</v>
      </c>
      <c r="K347" s="2" t="str">
        <f t="shared" si="27"/>
        <v xml:space="preserve"> </v>
      </c>
      <c r="L347" s="2" t="str">
        <f t="shared" si="28"/>
        <v xml:space="preserve"> </v>
      </c>
      <c r="M347" s="2" t="str">
        <f t="shared" si="29"/>
        <v xml:space="preserve"> </v>
      </c>
    </row>
    <row r="348" spans="1:13" x14ac:dyDescent="0.25">
      <c r="A348" s="43" t="str">
        <f t="shared" si="25"/>
        <v xml:space="preserve"> </v>
      </c>
      <c r="D348" s="42"/>
      <c r="E348" s="42"/>
      <c r="J348" s="17">
        <f t="shared" si="26"/>
        <v>0</v>
      </c>
      <c r="K348" s="2" t="str">
        <f t="shared" si="27"/>
        <v xml:space="preserve"> </v>
      </c>
      <c r="L348" s="2" t="str">
        <f t="shared" si="28"/>
        <v xml:space="preserve"> </v>
      </c>
      <c r="M348" s="2" t="str">
        <f t="shared" si="29"/>
        <v xml:space="preserve"> </v>
      </c>
    </row>
    <row r="349" spans="1:13" x14ac:dyDescent="0.25">
      <c r="A349" s="43" t="str">
        <f t="shared" si="25"/>
        <v xml:space="preserve"> </v>
      </c>
      <c r="D349" s="42"/>
      <c r="E349" s="42"/>
      <c r="J349" s="17">
        <f t="shared" si="26"/>
        <v>0</v>
      </c>
      <c r="K349" s="2" t="str">
        <f t="shared" si="27"/>
        <v xml:space="preserve"> </v>
      </c>
      <c r="L349" s="2" t="str">
        <f t="shared" si="28"/>
        <v xml:space="preserve"> </v>
      </c>
      <c r="M349" s="2" t="str">
        <f t="shared" si="29"/>
        <v xml:space="preserve"> </v>
      </c>
    </row>
    <row r="350" spans="1:13" x14ac:dyDescent="0.25">
      <c r="A350" s="43" t="str">
        <f t="shared" si="25"/>
        <v xml:space="preserve"> </v>
      </c>
      <c r="D350" s="42"/>
      <c r="E350" s="42"/>
      <c r="J350" s="17">
        <f t="shared" si="26"/>
        <v>0</v>
      </c>
      <c r="K350" s="2" t="str">
        <f t="shared" si="27"/>
        <v xml:space="preserve"> </v>
      </c>
      <c r="L350" s="2" t="str">
        <f t="shared" si="28"/>
        <v xml:space="preserve"> </v>
      </c>
      <c r="M350" s="2" t="str">
        <f t="shared" si="29"/>
        <v xml:space="preserve"> </v>
      </c>
    </row>
    <row r="351" spans="1:13" x14ac:dyDescent="0.25">
      <c r="A351" s="43" t="str">
        <f t="shared" si="25"/>
        <v xml:space="preserve"> </v>
      </c>
      <c r="D351" s="42"/>
      <c r="E351" s="42"/>
      <c r="J351" s="17">
        <f t="shared" si="26"/>
        <v>0</v>
      </c>
      <c r="K351" s="2" t="str">
        <f t="shared" si="27"/>
        <v xml:space="preserve"> </v>
      </c>
      <c r="L351" s="2" t="str">
        <f t="shared" si="28"/>
        <v xml:space="preserve"> </v>
      </c>
      <c r="M351" s="2" t="str">
        <f t="shared" si="29"/>
        <v xml:space="preserve"> </v>
      </c>
    </row>
    <row r="352" spans="1:13" x14ac:dyDescent="0.25">
      <c r="A352" s="43" t="str">
        <f t="shared" si="25"/>
        <v xml:space="preserve"> </v>
      </c>
      <c r="D352" s="42"/>
      <c r="E352" s="42"/>
      <c r="J352" s="17">
        <f t="shared" si="26"/>
        <v>0</v>
      </c>
      <c r="K352" s="2" t="str">
        <f t="shared" si="27"/>
        <v xml:space="preserve"> </v>
      </c>
      <c r="L352" s="2" t="str">
        <f t="shared" si="28"/>
        <v xml:space="preserve"> </v>
      </c>
      <c r="M352" s="2" t="str">
        <f t="shared" si="29"/>
        <v xml:space="preserve"> </v>
      </c>
    </row>
    <row r="353" spans="1:13" x14ac:dyDescent="0.25">
      <c r="A353" s="43" t="str">
        <f t="shared" si="25"/>
        <v xml:space="preserve"> </v>
      </c>
      <c r="D353" s="42"/>
      <c r="E353" s="42"/>
      <c r="J353" s="17">
        <f t="shared" si="26"/>
        <v>0</v>
      </c>
      <c r="K353" s="2" t="str">
        <f t="shared" si="27"/>
        <v xml:space="preserve"> </v>
      </c>
      <c r="L353" s="2" t="str">
        <f t="shared" si="28"/>
        <v xml:space="preserve"> </v>
      </c>
      <c r="M353" s="2" t="str">
        <f t="shared" si="29"/>
        <v xml:space="preserve"> </v>
      </c>
    </row>
    <row r="354" spans="1:13" x14ac:dyDescent="0.25">
      <c r="A354" s="43" t="str">
        <f t="shared" si="25"/>
        <v xml:space="preserve"> </v>
      </c>
      <c r="D354" s="42"/>
      <c r="E354" s="42"/>
      <c r="J354" s="17">
        <f t="shared" si="26"/>
        <v>0</v>
      </c>
      <c r="K354" s="2" t="str">
        <f t="shared" si="27"/>
        <v xml:space="preserve"> </v>
      </c>
      <c r="L354" s="2" t="str">
        <f t="shared" si="28"/>
        <v xml:space="preserve"> </v>
      </c>
      <c r="M354" s="2" t="str">
        <f t="shared" si="29"/>
        <v xml:space="preserve"> </v>
      </c>
    </row>
    <row r="355" spans="1:13" x14ac:dyDescent="0.25">
      <c r="A355" s="43" t="str">
        <f t="shared" si="25"/>
        <v xml:space="preserve"> </v>
      </c>
      <c r="D355" s="42"/>
      <c r="E355" s="42"/>
      <c r="J355" s="17">
        <f t="shared" si="26"/>
        <v>0</v>
      </c>
      <c r="K355" s="2" t="str">
        <f t="shared" si="27"/>
        <v xml:space="preserve"> </v>
      </c>
      <c r="L355" s="2" t="str">
        <f t="shared" si="28"/>
        <v xml:space="preserve"> </v>
      </c>
      <c r="M355" s="2" t="str">
        <f t="shared" si="29"/>
        <v xml:space="preserve"> </v>
      </c>
    </row>
    <row r="356" spans="1:13" x14ac:dyDescent="0.25">
      <c r="A356" s="43" t="str">
        <f t="shared" si="25"/>
        <v xml:space="preserve"> </v>
      </c>
      <c r="D356" s="42"/>
      <c r="E356" s="42"/>
      <c r="J356" s="17">
        <f t="shared" si="26"/>
        <v>0</v>
      </c>
      <c r="K356" s="2" t="str">
        <f t="shared" si="27"/>
        <v xml:space="preserve"> </v>
      </c>
      <c r="L356" s="2" t="str">
        <f t="shared" si="28"/>
        <v xml:space="preserve"> </v>
      </c>
      <c r="M356" s="2" t="str">
        <f t="shared" si="29"/>
        <v xml:space="preserve"> </v>
      </c>
    </row>
    <row r="357" spans="1:13" x14ac:dyDescent="0.25">
      <c r="A357" s="43" t="str">
        <f t="shared" si="25"/>
        <v xml:space="preserve"> </v>
      </c>
      <c r="D357" s="42"/>
      <c r="E357" s="42"/>
      <c r="J357" s="17">
        <f t="shared" si="26"/>
        <v>0</v>
      </c>
      <c r="K357" s="2" t="str">
        <f t="shared" si="27"/>
        <v xml:space="preserve"> </v>
      </c>
      <c r="L357" s="2" t="str">
        <f t="shared" si="28"/>
        <v xml:space="preserve"> </v>
      </c>
      <c r="M357" s="2" t="str">
        <f t="shared" si="29"/>
        <v xml:space="preserve"> </v>
      </c>
    </row>
    <row r="358" spans="1:13" x14ac:dyDescent="0.25">
      <c r="A358" s="43" t="str">
        <f t="shared" si="25"/>
        <v xml:space="preserve"> </v>
      </c>
      <c r="D358" s="42"/>
      <c r="E358" s="42"/>
      <c r="J358" s="17">
        <f t="shared" si="26"/>
        <v>0</v>
      </c>
      <c r="K358" s="2" t="str">
        <f t="shared" si="27"/>
        <v xml:space="preserve"> </v>
      </c>
      <c r="L358" s="2" t="str">
        <f t="shared" si="28"/>
        <v xml:space="preserve"> </v>
      </c>
      <c r="M358" s="2" t="str">
        <f t="shared" si="29"/>
        <v xml:space="preserve"> </v>
      </c>
    </row>
    <row r="359" spans="1:13" x14ac:dyDescent="0.25">
      <c r="A359" s="43" t="str">
        <f t="shared" si="25"/>
        <v xml:space="preserve"> </v>
      </c>
      <c r="D359" s="42"/>
      <c r="E359" s="42"/>
      <c r="J359" s="17">
        <f t="shared" si="26"/>
        <v>0</v>
      </c>
      <c r="K359" s="2" t="str">
        <f t="shared" si="27"/>
        <v xml:space="preserve"> </v>
      </c>
      <c r="L359" s="2" t="str">
        <f t="shared" si="28"/>
        <v xml:space="preserve"> </v>
      </c>
      <c r="M359" s="2" t="str">
        <f t="shared" si="29"/>
        <v xml:space="preserve"> </v>
      </c>
    </row>
    <row r="360" spans="1:13" x14ac:dyDescent="0.25">
      <c r="A360" s="43" t="str">
        <f t="shared" si="25"/>
        <v xml:space="preserve"> </v>
      </c>
      <c r="D360" s="42"/>
      <c r="E360" s="42"/>
      <c r="J360" s="17">
        <f t="shared" si="26"/>
        <v>0</v>
      </c>
      <c r="K360" s="2" t="str">
        <f t="shared" si="27"/>
        <v xml:space="preserve"> </v>
      </c>
      <c r="L360" s="2" t="str">
        <f t="shared" si="28"/>
        <v xml:space="preserve"> </v>
      </c>
      <c r="M360" s="2" t="str">
        <f t="shared" si="29"/>
        <v xml:space="preserve"> </v>
      </c>
    </row>
    <row r="361" spans="1:13" x14ac:dyDescent="0.25">
      <c r="A361" s="43" t="str">
        <f t="shared" si="25"/>
        <v xml:space="preserve"> </v>
      </c>
      <c r="D361" s="42"/>
      <c r="E361" s="42"/>
      <c r="J361" s="17">
        <f t="shared" si="26"/>
        <v>0</v>
      </c>
      <c r="K361" s="2" t="str">
        <f t="shared" si="27"/>
        <v xml:space="preserve"> </v>
      </c>
      <c r="L361" s="2" t="str">
        <f t="shared" si="28"/>
        <v xml:space="preserve"> </v>
      </c>
      <c r="M361" s="2" t="str">
        <f t="shared" si="29"/>
        <v xml:space="preserve"> </v>
      </c>
    </row>
    <row r="362" spans="1:13" x14ac:dyDescent="0.25">
      <c r="A362" s="43" t="str">
        <f t="shared" si="25"/>
        <v xml:space="preserve"> </v>
      </c>
      <c r="D362" s="42"/>
      <c r="E362" s="42"/>
      <c r="J362" s="17">
        <f t="shared" si="26"/>
        <v>0</v>
      </c>
      <c r="K362" s="2" t="str">
        <f t="shared" si="27"/>
        <v xml:space="preserve"> </v>
      </c>
      <c r="L362" s="2" t="str">
        <f t="shared" si="28"/>
        <v xml:space="preserve"> </v>
      </c>
      <c r="M362" s="2" t="str">
        <f t="shared" si="29"/>
        <v xml:space="preserve"> </v>
      </c>
    </row>
    <row r="363" spans="1:13" x14ac:dyDescent="0.25">
      <c r="A363" s="43" t="str">
        <f t="shared" si="25"/>
        <v xml:space="preserve"> </v>
      </c>
      <c r="D363" s="42"/>
      <c r="E363" s="42"/>
      <c r="J363" s="17">
        <f t="shared" si="26"/>
        <v>0</v>
      </c>
      <c r="K363" s="2" t="str">
        <f t="shared" si="27"/>
        <v xml:space="preserve"> </v>
      </c>
      <c r="L363" s="2" t="str">
        <f t="shared" si="28"/>
        <v xml:space="preserve"> </v>
      </c>
      <c r="M363" s="2" t="str">
        <f t="shared" si="29"/>
        <v xml:space="preserve"> </v>
      </c>
    </row>
    <row r="364" spans="1:13" x14ac:dyDescent="0.25">
      <c r="A364" s="43" t="str">
        <f t="shared" si="25"/>
        <v xml:space="preserve"> </v>
      </c>
      <c r="D364" s="42"/>
      <c r="E364" s="42"/>
      <c r="J364" s="17">
        <f t="shared" si="26"/>
        <v>0</v>
      </c>
      <c r="K364" s="2" t="str">
        <f t="shared" si="27"/>
        <v xml:space="preserve"> </v>
      </c>
      <c r="L364" s="2" t="str">
        <f t="shared" si="28"/>
        <v xml:space="preserve"> </v>
      </c>
      <c r="M364" s="2" t="str">
        <f t="shared" si="29"/>
        <v xml:space="preserve"> </v>
      </c>
    </row>
    <row r="365" spans="1:13" x14ac:dyDescent="0.25">
      <c r="A365" s="43" t="str">
        <f t="shared" si="25"/>
        <v xml:space="preserve"> </v>
      </c>
      <c r="D365" s="42"/>
      <c r="E365" s="42"/>
      <c r="J365" s="17">
        <f t="shared" si="26"/>
        <v>0</v>
      </c>
      <c r="K365" s="2" t="str">
        <f t="shared" si="27"/>
        <v xml:space="preserve"> </v>
      </c>
      <c r="L365" s="2" t="str">
        <f t="shared" si="28"/>
        <v xml:space="preserve"> </v>
      </c>
      <c r="M365" s="2" t="str">
        <f t="shared" si="29"/>
        <v xml:space="preserve"> </v>
      </c>
    </row>
    <row r="366" spans="1:13" x14ac:dyDescent="0.25">
      <c r="A366" s="43" t="str">
        <f t="shared" si="25"/>
        <v xml:space="preserve"> </v>
      </c>
      <c r="D366" s="42"/>
      <c r="E366" s="42"/>
      <c r="J366" s="17">
        <f t="shared" si="26"/>
        <v>0</v>
      </c>
      <c r="K366" s="2" t="str">
        <f t="shared" si="27"/>
        <v xml:space="preserve"> </v>
      </c>
      <c r="L366" s="2" t="str">
        <f t="shared" si="28"/>
        <v xml:space="preserve"> </v>
      </c>
      <c r="M366" s="2" t="str">
        <f t="shared" si="29"/>
        <v xml:space="preserve"> </v>
      </c>
    </row>
    <row r="367" spans="1:13" x14ac:dyDescent="0.25">
      <c r="A367" s="43" t="str">
        <f t="shared" si="25"/>
        <v xml:space="preserve"> </v>
      </c>
      <c r="D367" s="42"/>
      <c r="E367" s="42"/>
      <c r="J367" s="17">
        <f t="shared" si="26"/>
        <v>0</v>
      </c>
      <c r="K367" s="2" t="str">
        <f t="shared" si="27"/>
        <v xml:space="preserve"> </v>
      </c>
      <c r="L367" s="2" t="str">
        <f t="shared" si="28"/>
        <v xml:space="preserve"> </v>
      </c>
      <c r="M367" s="2" t="str">
        <f t="shared" si="29"/>
        <v xml:space="preserve"> </v>
      </c>
    </row>
    <row r="368" spans="1:13" x14ac:dyDescent="0.25">
      <c r="A368" s="43" t="str">
        <f t="shared" si="25"/>
        <v xml:space="preserve"> </v>
      </c>
      <c r="D368" s="42"/>
      <c r="E368" s="42"/>
      <c r="J368" s="17">
        <f t="shared" si="26"/>
        <v>0</v>
      </c>
      <c r="K368" s="2" t="str">
        <f t="shared" si="27"/>
        <v xml:space="preserve"> </v>
      </c>
      <c r="L368" s="2" t="str">
        <f t="shared" si="28"/>
        <v xml:space="preserve"> </v>
      </c>
      <c r="M368" s="2" t="str">
        <f t="shared" si="29"/>
        <v xml:space="preserve"> </v>
      </c>
    </row>
    <row r="369" spans="1:13" x14ac:dyDescent="0.25">
      <c r="A369" s="43" t="str">
        <f t="shared" si="25"/>
        <v xml:space="preserve"> </v>
      </c>
      <c r="D369" s="42"/>
      <c r="E369" s="42"/>
      <c r="J369" s="17">
        <f t="shared" si="26"/>
        <v>0</v>
      </c>
      <c r="K369" s="2" t="str">
        <f t="shared" si="27"/>
        <v xml:space="preserve"> </v>
      </c>
      <c r="L369" s="2" t="str">
        <f t="shared" si="28"/>
        <v xml:space="preserve"> </v>
      </c>
      <c r="M369" s="2" t="str">
        <f t="shared" si="29"/>
        <v xml:space="preserve"> </v>
      </c>
    </row>
    <row r="370" spans="1:13" x14ac:dyDescent="0.25">
      <c r="A370" s="43" t="str">
        <f t="shared" si="25"/>
        <v xml:space="preserve"> </v>
      </c>
      <c r="D370" s="42"/>
      <c r="E370" s="42"/>
      <c r="J370" s="17">
        <f t="shared" si="26"/>
        <v>0</v>
      </c>
      <c r="K370" s="2" t="str">
        <f t="shared" si="27"/>
        <v xml:space="preserve"> </v>
      </c>
      <c r="L370" s="2" t="str">
        <f t="shared" si="28"/>
        <v xml:space="preserve"> </v>
      </c>
      <c r="M370" s="2" t="str">
        <f t="shared" si="29"/>
        <v xml:space="preserve"> </v>
      </c>
    </row>
    <row r="371" spans="1:13" x14ac:dyDescent="0.25">
      <c r="A371" s="43" t="str">
        <f t="shared" si="25"/>
        <v xml:space="preserve"> </v>
      </c>
      <c r="D371" s="42"/>
      <c r="E371" s="42"/>
      <c r="J371" s="17">
        <f t="shared" si="26"/>
        <v>0</v>
      </c>
      <c r="K371" s="2" t="str">
        <f t="shared" si="27"/>
        <v xml:space="preserve"> </v>
      </c>
      <c r="L371" s="2" t="str">
        <f t="shared" si="28"/>
        <v xml:space="preserve"> </v>
      </c>
      <c r="M371" s="2" t="str">
        <f t="shared" si="29"/>
        <v xml:space="preserve"> </v>
      </c>
    </row>
    <row r="372" spans="1:13" x14ac:dyDescent="0.25">
      <c r="A372" s="43" t="str">
        <f t="shared" si="25"/>
        <v xml:space="preserve"> </v>
      </c>
      <c r="D372" s="42"/>
      <c r="E372" s="42"/>
      <c r="J372" s="17">
        <f t="shared" si="26"/>
        <v>0</v>
      </c>
      <c r="K372" s="2" t="str">
        <f t="shared" si="27"/>
        <v xml:space="preserve"> </v>
      </c>
      <c r="L372" s="2" t="str">
        <f t="shared" si="28"/>
        <v xml:space="preserve"> </v>
      </c>
      <c r="M372" s="2" t="str">
        <f t="shared" si="29"/>
        <v xml:space="preserve"> </v>
      </c>
    </row>
    <row r="373" spans="1:13" x14ac:dyDescent="0.25">
      <c r="A373" s="43" t="str">
        <f t="shared" si="25"/>
        <v xml:space="preserve"> </v>
      </c>
      <c r="D373" s="42"/>
      <c r="E373" s="42"/>
      <c r="J373" s="17">
        <f t="shared" si="26"/>
        <v>0</v>
      </c>
      <c r="K373" s="2" t="str">
        <f t="shared" si="27"/>
        <v xml:space="preserve"> </v>
      </c>
      <c r="L373" s="2" t="str">
        <f t="shared" si="28"/>
        <v xml:space="preserve"> </v>
      </c>
      <c r="M373" s="2" t="str">
        <f t="shared" si="29"/>
        <v xml:space="preserve"> </v>
      </c>
    </row>
    <row r="374" spans="1:13" x14ac:dyDescent="0.25">
      <c r="A374" s="43" t="str">
        <f t="shared" si="25"/>
        <v xml:space="preserve"> </v>
      </c>
      <c r="D374" s="42"/>
      <c r="E374" s="42"/>
      <c r="J374" s="17">
        <f t="shared" si="26"/>
        <v>0</v>
      </c>
      <c r="K374" s="2" t="str">
        <f t="shared" si="27"/>
        <v xml:space="preserve"> </v>
      </c>
      <c r="L374" s="2" t="str">
        <f t="shared" si="28"/>
        <v xml:space="preserve"> </v>
      </c>
      <c r="M374" s="2" t="str">
        <f t="shared" si="29"/>
        <v xml:space="preserve"> </v>
      </c>
    </row>
    <row r="375" spans="1:13" x14ac:dyDescent="0.25">
      <c r="A375" s="43" t="str">
        <f t="shared" si="25"/>
        <v xml:space="preserve"> </v>
      </c>
      <c r="D375" s="42"/>
      <c r="E375" s="42"/>
      <c r="J375" s="17">
        <f t="shared" si="26"/>
        <v>0</v>
      </c>
      <c r="K375" s="2" t="str">
        <f t="shared" si="27"/>
        <v xml:space="preserve"> </v>
      </c>
      <c r="L375" s="2" t="str">
        <f t="shared" si="28"/>
        <v xml:space="preserve"> </v>
      </c>
      <c r="M375" s="2" t="str">
        <f t="shared" si="29"/>
        <v xml:space="preserve"> </v>
      </c>
    </row>
    <row r="376" spans="1:13" x14ac:dyDescent="0.25">
      <c r="A376" s="43" t="str">
        <f t="shared" si="25"/>
        <v xml:space="preserve"> </v>
      </c>
      <c r="D376" s="42"/>
      <c r="E376" s="42"/>
      <c r="J376" s="17">
        <f t="shared" si="26"/>
        <v>0</v>
      </c>
      <c r="K376" s="2" t="str">
        <f t="shared" si="27"/>
        <v xml:space="preserve"> </v>
      </c>
      <c r="L376" s="2" t="str">
        <f t="shared" si="28"/>
        <v xml:space="preserve"> </v>
      </c>
      <c r="M376" s="2" t="str">
        <f t="shared" si="29"/>
        <v xml:space="preserve"> </v>
      </c>
    </row>
    <row r="377" spans="1:13" x14ac:dyDescent="0.25">
      <c r="A377" s="43" t="str">
        <f t="shared" si="25"/>
        <v xml:space="preserve"> </v>
      </c>
      <c r="D377" s="42"/>
      <c r="E377" s="42"/>
      <c r="J377" s="17">
        <f t="shared" si="26"/>
        <v>0</v>
      </c>
      <c r="K377" s="2" t="str">
        <f t="shared" si="27"/>
        <v xml:space="preserve"> </v>
      </c>
      <c r="L377" s="2" t="str">
        <f t="shared" si="28"/>
        <v xml:space="preserve"> </v>
      </c>
      <c r="M377" s="2" t="str">
        <f t="shared" si="29"/>
        <v xml:space="preserve"> </v>
      </c>
    </row>
    <row r="378" spans="1:13" x14ac:dyDescent="0.25">
      <c r="A378" s="43" t="str">
        <f t="shared" si="25"/>
        <v xml:space="preserve"> </v>
      </c>
      <c r="D378" s="42"/>
      <c r="E378" s="42"/>
      <c r="J378" s="17">
        <f t="shared" si="26"/>
        <v>0</v>
      </c>
      <c r="K378" s="2" t="str">
        <f t="shared" si="27"/>
        <v xml:space="preserve"> </v>
      </c>
      <c r="L378" s="2" t="str">
        <f t="shared" si="28"/>
        <v xml:space="preserve"> </v>
      </c>
      <c r="M378" s="2" t="str">
        <f t="shared" si="29"/>
        <v xml:space="preserve"> </v>
      </c>
    </row>
    <row r="379" spans="1:13" x14ac:dyDescent="0.25">
      <c r="A379" s="43" t="str">
        <f t="shared" si="25"/>
        <v xml:space="preserve"> </v>
      </c>
      <c r="D379" s="42"/>
      <c r="E379" s="42"/>
      <c r="J379" s="17">
        <f t="shared" si="26"/>
        <v>0</v>
      </c>
      <c r="K379" s="2" t="str">
        <f t="shared" si="27"/>
        <v xml:space="preserve"> </v>
      </c>
      <c r="L379" s="2" t="str">
        <f t="shared" si="28"/>
        <v xml:space="preserve"> </v>
      </c>
      <c r="M379" s="2" t="str">
        <f t="shared" si="29"/>
        <v xml:space="preserve"> </v>
      </c>
    </row>
    <row r="380" spans="1:13" x14ac:dyDescent="0.25">
      <c r="A380" s="43" t="str">
        <f t="shared" si="25"/>
        <v xml:space="preserve"> </v>
      </c>
      <c r="D380" s="42"/>
      <c r="E380" s="42"/>
      <c r="J380" s="17">
        <f t="shared" si="26"/>
        <v>0</v>
      </c>
      <c r="K380" s="2" t="str">
        <f t="shared" si="27"/>
        <v xml:space="preserve"> </v>
      </c>
      <c r="L380" s="2" t="str">
        <f t="shared" si="28"/>
        <v xml:space="preserve"> </v>
      </c>
      <c r="M380" s="2" t="str">
        <f t="shared" si="29"/>
        <v xml:space="preserve"> </v>
      </c>
    </row>
    <row r="381" spans="1:13" x14ac:dyDescent="0.25">
      <c r="A381" s="43" t="str">
        <f t="shared" si="25"/>
        <v xml:space="preserve"> </v>
      </c>
      <c r="D381" s="42"/>
      <c r="E381" s="42"/>
      <c r="J381" s="17">
        <f t="shared" si="26"/>
        <v>0</v>
      </c>
      <c r="K381" s="2" t="str">
        <f t="shared" si="27"/>
        <v xml:space="preserve"> </v>
      </c>
      <c r="L381" s="2" t="str">
        <f t="shared" si="28"/>
        <v xml:space="preserve"> </v>
      </c>
      <c r="M381" s="2" t="str">
        <f t="shared" si="29"/>
        <v xml:space="preserve"> </v>
      </c>
    </row>
    <row r="382" spans="1:13" x14ac:dyDescent="0.25">
      <c r="A382" s="43" t="str">
        <f t="shared" si="25"/>
        <v xml:space="preserve"> </v>
      </c>
      <c r="D382" s="42"/>
      <c r="E382" s="42"/>
      <c r="J382" s="17">
        <f t="shared" si="26"/>
        <v>0</v>
      </c>
      <c r="K382" s="2" t="str">
        <f t="shared" si="27"/>
        <v xml:space="preserve"> </v>
      </c>
      <c r="L382" s="2" t="str">
        <f t="shared" si="28"/>
        <v xml:space="preserve"> </v>
      </c>
      <c r="M382" s="2" t="str">
        <f t="shared" si="29"/>
        <v xml:space="preserve"> </v>
      </c>
    </row>
    <row r="383" spans="1:13" x14ac:dyDescent="0.25">
      <c r="A383" s="43" t="str">
        <f t="shared" si="25"/>
        <v xml:space="preserve"> </v>
      </c>
      <c r="D383" s="42"/>
      <c r="E383" s="42"/>
      <c r="J383" s="17">
        <f t="shared" si="26"/>
        <v>0</v>
      </c>
      <c r="K383" s="2" t="str">
        <f t="shared" si="27"/>
        <v xml:space="preserve"> </v>
      </c>
      <c r="L383" s="2" t="str">
        <f t="shared" si="28"/>
        <v xml:space="preserve"> </v>
      </c>
      <c r="M383" s="2" t="str">
        <f t="shared" si="29"/>
        <v xml:space="preserve"> </v>
      </c>
    </row>
    <row r="384" spans="1:13" x14ac:dyDescent="0.25">
      <c r="A384" s="43" t="str">
        <f t="shared" si="25"/>
        <v xml:space="preserve"> </v>
      </c>
      <c r="D384" s="42"/>
      <c r="E384" s="42"/>
      <c r="J384" s="17">
        <f t="shared" si="26"/>
        <v>0</v>
      </c>
      <c r="K384" s="2" t="str">
        <f t="shared" si="27"/>
        <v xml:space="preserve"> </v>
      </c>
      <c r="L384" s="2" t="str">
        <f t="shared" si="28"/>
        <v xml:space="preserve"> </v>
      </c>
      <c r="M384" s="2" t="str">
        <f t="shared" si="29"/>
        <v xml:space="preserve"> </v>
      </c>
    </row>
    <row r="385" spans="1:13" x14ac:dyDescent="0.25">
      <c r="A385" s="43" t="str">
        <f t="shared" si="25"/>
        <v xml:space="preserve"> </v>
      </c>
      <c r="D385" s="42"/>
      <c r="E385" s="42"/>
      <c r="J385" s="17">
        <f t="shared" si="26"/>
        <v>0</v>
      </c>
      <c r="K385" s="2" t="str">
        <f t="shared" si="27"/>
        <v xml:space="preserve"> </v>
      </c>
      <c r="L385" s="2" t="str">
        <f t="shared" si="28"/>
        <v xml:space="preserve"> </v>
      </c>
      <c r="M385" s="2" t="str">
        <f t="shared" si="29"/>
        <v xml:space="preserve"> </v>
      </c>
    </row>
    <row r="386" spans="1:13" x14ac:dyDescent="0.25">
      <c r="A386" s="43" t="str">
        <f t="shared" si="25"/>
        <v xml:space="preserve"> </v>
      </c>
      <c r="D386" s="42"/>
      <c r="E386" s="42"/>
      <c r="J386" s="17">
        <f t="shared" si="26"/>
        <v>0</v>
      </c>
      <c r="K386" s="2" t="str">
        <f t="shared" si="27"/>
        <v xml:space="preserve"> </v>
      </c>
      <c r="L386" s="2" t="str">
        <f t="shared" si="28"/>
        <v xml:space="preserve"> </v>
      </c>
      <c r="M386" s="2" t="str">
        <f t="shared" si="29"/>
        <v xml:space="preserve"> </v>
      </c>
    </row>
    <row r="387" spans="1:13" x14ac:dyDescent="0.25">
      <c r="A387" s="43" t="str">
        <f t="shared" si="25"/>
        <v xml:space="preserve"> </v>
      </c>
      <c r="D387" s="42"/>
      <c r="E387" s="42"/>
      <c r="J387" s="17">
        <f t="shared" si="26"/>
        <v>0</v>
      </c>
      <c r="K387" s="2" t="str">
        <f t="shared" si="27"/>
        <v xml:space="preserve"> </v>
      </c>
      <c r="L387" s="2" t="str">
        <f t="shared" si="28"/>
        <v xml:space="preserve"> </v>
      </c>
      <c r="M387" s="2" t="str">
        <f t="shared" si="29"/>
        <v xml:space="preserve"> </v>
      </c>
    </row>
    <row r="388" spans="1:13" x14ac:dyDescent="0.25">
      <c r="A388" s="43" t="str">
        <f t="shared" si="25"/>
        <v xml:space="preserve"> </v>
      </c>
      <c r="D388" s="42"/>
      <c r="E388" s="42"/>
      <c r="J388" s="17">
        <f t="shared" si="26"/>
        <v>0</v>
      </c>
      <c r="K388" s="2" t="str">
        <f t="shared" si="27"/>
        <v xml:space="preserve"> </v>
      </c>
      <c r="L388" s="2" t="str">
        <f t="shared" si="28"/>
        <v xml:space="preserve"> </v>
      </c>
      <c r="M388" s="2" t="str">
        <f t="shared" si="29"/>
        <v xml:space="preserve"> </v>
      </c>
    </row>
    <row r="389" spans="1:13" x14ac:dyDescent="0.25">
      <c r="A389" s="43" t="str">
        <f t="shared" si="25"/>
        <v xml:space="preserve"> </v>
      </c>
      <c r="D389" s="42"/>
      <c r="E389" s="42"/>
      <c r="J389" s="17">
        <f t="shared" si="26"/>
        <v>0</v>
      </c>
      <c r="K389" s="2" t="str">
        <f t="shared" si="27"/>
        <v xml:space="preserve"> </v>
      </c>
      <c r="L389" s="2" t="str">
        <f t="shared" si="28"/>
        <v xml:space="preserve"> </v>
      </c>
      <c r="M389" s="2" t="str">
        <f t="shared" si="29"/>
        <v xml:space="preserve"> </v>
      </c>
    </row>
    <row r="390" spans="1:13" x14ac:dyDescent="0.25">
      <c r="A390" s="43" t="str">
        <f t="shared" si="25"/>
        <v xml:space="preserve"> </v>
      </c>
      <c r="D390" s="42"/>
      <c r="E390" s="42"/>
      <c r="J390" s="17">
        <f t="shared" si="26"/>
        <v>0</v>
      </c>
      <c r="K390" s="2" t="str">
        <f t="shared" si="27"/>
        <v xml:space="preserve"> </v>
      </c>
      <c r="L390" s="2" t="str">
        <f t="shared" si="28"/>
        <v xml:space="preserve"> </v>
      </c>
      <c r="M390" s="2" t="str">
        <f t="shared" si="29"/>
        <v xml:space="preserve"> </v>
      </c>
    </row>
    <row r="391" spans="1:13" x14ac:dyDescent="0.25">
      <c r="A391" s="43" t="str">
        <f t="shared" si="25"/>
        <v xml:space="preserve"> </v>
      </c>
      <c r="D391" s="42"/>
      <c r="E391" s="42"/>
      <c r="J391" s="17">
        <f t="shared" si="26"/>
        <v>0</v>
      </c>
      <c r="K391" s="2" t="str">
        <f t="shared" si="27"/>
        <v xml:space="preserve"> </v>
      </c>
      <c r="L391" s="2" t="str">
        <f t="shared" si="28"/>
        <v xml:space="preserve"> </v>
      </c>
      <c r="M391" s="2" t="str">
        <f t="shared" si="29"/>
        <v xml:space="preserve"> </v>
      </c>
    </row>
    <row r="392" spans="1:13" x14ac:dyDescent="0.25">
      <c r="A392" s="43" t="str">
        <f t="shared" si="25"/>
        <v xml:space="preserve"> </v>
      </c>
      <c r="D392" s="42"/>
      <c r="E392" s="42"/>
      <c r="J392" s="17">
        <f t="shared" si="26"/>
        <v>0</v>
      </c>
      <c r="K392" s="2" t="str">
        <f t="shared" si="27"/>
        <v xml:space="preserve"> </v>
      </c>
      <c r="L392" s="2" t="str">
        <f t="shared" si="28"/>
        <v xml:space="preserve"> </v>
      </c>
      <c r="M392" s="2" t="str">
        <f t="shared" si="29"/>
        <v xml:space="preserve"> </v>
      </c>
    </row>
    <row r="393" spans="1:13" x14ac:dyDescent="0.25">
      <c r="A393" s="43" t="str">
        <f t="shared" si="25"/>
        <v xml:space="preserve"> </v>
      </c>
      <c r="D393" s="42"/>
      <c r="E393" s="42"/>
      <c r="J393" s="17">
        <f t="shared" si="26"/>
        <v>0</v>
      </c>
      <c r="K393" s="2" t="str">
        <f t="shared" si="27"/>
        <v xml:space="preserve"> </v>
      </c>
      <c r="L393" s="2" t="str">
        <f t="shared" si="28"/>
        <v xml:space="preserve"> </v>
      </c>
      <c r="M393" s="2" t="str">
        <f t="shared" si="29"/>
        <v xml:space="preserve"> </v>
      </c>
    </row>
    <row r="394" spans="1:13" x14ac:dyDescent="0.25">
      <c r="A394" s="43" t="str">
        <f t="shared" si="25"/>
        <v xml:space="preserve"> </v>
      </c>
      <c r="D394" s="42"/>
      <c r="E394" s="42"/>
      <c r="J394" s="17">
        <f t="shared" si="26"/>
        <v>0</v>
      </c>
      <c r="K394" s="2" t="str">
        <f t="shared" si="27"/>
        <v xml:space="preserve"> </v>
      </c>
      <c r="L394" s="2" t="str">
        <f t="shared" si="28"/>
        <v xml:space="preserve"> </v>
      </c>
      <c r="M394" s="2" t="str">
        <f t="shared" si="29"/>
        <v xml:space="preserve"> </v>
      </c>
    </row>
    <row r="395" spans="1:13" x14ac:dyDescent="0.25">
      <c r="A395" s="43" t="str">
        <f t="shared" si="25"/>
        <v xml:space="preserve"> </v>
      </c>
      <c r="D395" s="42"/>
      <c r="E395" s="42"/>
      <c r="J395" s="17">
        <f t="shared" si="26"/>
        <v>0</v>
      </c>
      <c r="K395" s="2" t="str">
        <f t="shared" si="27"/>
        <v xml:space="preserve"> </v>
      </c>
      <c r="L395" s="2" t="str">
        <f t="shared" si="28"/>
        <v xml:space="preserve"> </v>
      </c>
      <c r="M395" s="2" t="str">
        <f t="shared" si="29"/>
        <v xml:space="preserve"> </v>
      </c>
    </row>
    <row r="396" spans="1:13" x14ac:dyDescent="0.25">
      <c r="A396" s="43" t="str">
        <f t="shared" si="25"/>
        <v xml:space="preserve"> </v>
      </c>
      <c r="D396" s="42"/>
      <c r="E396" s="42"/>
      <c r="J396" s="17">
        <f t="shared" si="26"/>
        <v>0</v>
      </c>
      <c r="K396" s="2" t="str">
        <f t="shared" si="27"/>
        <v xml:space="preserve"> </v>
      </c>
      <c r="L396" s="2" t="str">
        <f t="shared" si="28"/>
        <v xml:space="preserve"> </v>
      </c>
      <c r="M396" s="2" t="str">
        <f t="shared" si="29"/>
        <v xml:space="preserve"> </v>
      </c>
    </row>
    <row r="397" spans="1:13" x14ac:dyDescent="0.25">
      <c r="A397" s="43" t="str">
        <f t="shared" si="25"/>
        <v xml:space="preserve"> </v>
      </c>
      <c r="D397" s="42"/>
      <c r="E397" s="42"/>
      <c r="J397" s="17">
        <f t="shared" ref="J397:J450" si="30">F397-G397+H397-I397</f>
        <v>0</v>
      </c>
      <c r="K397" s="2" t="str">
        <f t="shared" si="27"/>
        <v xml:space="preserve"> </v>
      </c>
      <c r="L397" s="2" t="str">
        <f t="shared" si="28"/>
        <v xml:space="preserve"> </v>
      </c>
      <c r="M397" s="2" t="str">
        <f t="shared" si="29"/>
        <v xml:space="preserve"> </v>
      </c>
    </row>
    <row r="398" spans="1:13" x14ac:dyDescent="0.25">
      <c r="A398" s="43" t="str">
        <f t="shared" si="25"/>
        <v xml:space="preserve"> </v>
      </c>
      <c r="D398" s="42"/>
      <c r="E398" s="42"/>
      <c r="J398" s="17">
        <f t="shared" si="30"/>
        <v>0</v>
      </c>
      <c r="K398" s="2" t="str">
        <f t="shared" si="27"/>
        <v xml:space="preserve"> </v>
      </c>
      <c r="L398" s="2" t="str">
        <f t="shared" si="28"/>
        <v xml:space="preserve"> </v>
      </c>
      <c r="M398" s="2" t="str">
        <f t="shared" si="29"/>
        <v xml:space="preserve"> </v>
      </c>
    </row>
    <row r="399" spans="1:13" x14ac:dyDescent="0.25">
      <c r="A399" s="43" t="str">
        <f t="shared" ref="A399:A462" si="31">IF(COUNTIF(K399:M399,"ERROR")&gt;0,"ERROR"," ")</f>
        <v xml:space="preserve"> </v>
      </c>
      <c r="D399" s="42"/>
      <c r="E399" s="42"/>
      <c r="J399" s="17">
        <f t="shared" si="30"/>
        <v>0</v>
      </c>
      <c r="K399" s="2" t="str">
        <f t="shared" si="27"/>
        <v xml:space="preserve"> </v>
      </c>
      <c r="L399" s="2" t="str">
        <f t="shared" si="28"/>
        <v xml:space="preserve"> </v>
      </c>
      <c r="M399" s="2" t="str">
        <f t="shared" si="29"/>
        <v xml:space="preserve"> </v>
      </c>
    </row>
    <row r="400" spans="1:13" x14ac:dyDescent="0.25">
      <c r="A400" s="43" t="str">
        <f t="shared" si="31"/>
        <v xml:space="preserve"> </v>
      </c>
      <c r="D400" s="42"/>
      <c r="E400" s="42"/>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43" t="str">
        <f t="shared" si="31"/>
        <v xml:space="preserve"> </v>
      </c>
      <c r="D401" s="42"/>
      <c r="E401" s="42"/>
      <c r="J401" s="17">
        <f t="shared" si="30"/>
        <v>0</v>
      </c>
      <c r="K401" s="2" t="str">
        <f t="shared" si="32"/>
        <v xml:space="preserve"> </v>
      </c>
      <c r="L401" s="2" t="str">
        <f t="shared" si="33"/>
        <v xml:space="preserve"> </v>
      </c>
      <c r="M401" s="2" t="str">
        <f t="shared" si="34"/>
        <v xml:space="preserve"> </v>
      </c>
    </row>
    <row r="402" spans="1:13" x14ac:dyDescent="0.25">
      <c r="A402" s="43" t="str">
        <f t="shared" si="31"/>
        <v xml:space="preserve"> </v>
      </c>
      <c r="D402" s="42"/>
      <c r="E402" s="42"/>
      <c r="J402" s="17">
        <f t="shared" si="30"/>
        <v>0</v>
      </c>
      <c r="K402" s="2" t="str">
        <f t="shared" si="32"/>
        <v xml:space="preserve"> </v>
      </c>
      <c r="L402" s="2" t="str">
        <f t="shared" si="33"/>
        <v xml:space="preserve"> </v>
      </c>
      <c r="M402" s="2" t="str">
        <f t="shared" si="34"/>
        <v xml:space="preserve"> </v>
      </c>
    </row>
    <row r="403" spans="1:13" x14ac:dyDescent="0.25">
      <c r="A403" s="43" t="str">
        <f t="shared" si="31"/>
        <v xml:space="preserve"> </v>
      </c>
      <c r="D403" s="42"/>
      <c r="E403" s="42"/>
      <c r="J403" s="17">
        <f t="shared" si="30"/>
        <v>0</v>
      </c>
      <c r="K403" s="2" t="str">
        <f t="shared" si="32"/>
        <v xml:space="preserve"> </v>
      </c>
      <c r="L403" s="2" t="str">
        <f t="shared" si="33"/>
        <v xml:space="preserve"> </v>
      </c>
      <c r="M403" s="2" t="str">
        <f t="shared" si="34"/>
        <v xml:space="preserve"> </v>
      </c>
    </row>
    <row r="404" spans="1:13" x14ac:dyDescent="0.25">
      <c r="A404" s="43" t="str">
        <f t="shared" si="31"/>
        <v xml:space="preserve"> </v>
      </c>
      <c r="D404" s="42"/>
      <c r="E404" s="42"/>
      <c r="J404" s="17">
        <f t="shared" si="30"/>
        <v>0</v>
      </c>
      <c r="K404" s="2" t="str">
        <f t="shared" si="32"/>
        <v xml:space="preserve"> </v>
      </c>
      <c r="L404" s="2" t="str">
        <f t="shared" si="33"/>
        <v xml:space="preserve"> </v>
      </c>
      <c r="M404" s="2" t="str">
        <f t="shared" si="34"/>
        <v xml:space="preserve"> </v>
      </c>
    </row>
    <row r="405" spans="1:13" x14ac:dyDescent="0.25">
      <c r="A405" s="43" t="str">
        <f t="shared" si="31"/>
        <v xml:space="preserve"> </v>
      </c>
      <c r="D405" s="42"/>
      <c r="E405" s="42"/>
      <c r="J405" s="17">
        <f t="shared" si="30"/>
        <v>0</v>
      </c>
      <c r="K405" s="2" t="str">
        <f t="shared" si="32"/>
        <v xml:space="preserve"> </v>
      </c>
      <c r="L405" s="2" t="str">
        <f t="shared" si="33"/>
        <v xml:space="preserve"> </v>
      </c>
      <c r="M405" s="2" t="str">
        <f t="shared" si="34"/>
        <v xml:space="preserve"> </v>
      </c>
    </row>
    <row r="406" spans="1:13" x14ac:dyDescent="0.25">
      <c r="A406" s="43" t="str">
        <f t="shared" si="31"/>
        <v xml:space="preserve"> </v>
      </c>
      <c r="D406" s="42"/>
      <c r="E406" s="42"/>
      <c r="J406" s="17">
        <f t="shared" si="30"/>
        <v>0</v>
      </c>
      <c r="K406" s="2" t="str">
        <f t="shared" si="32"/>
        <v xml:space="preserve"> </v>
      </c>
      <c r="L406" s="2" t="str">
        <f t="shared" si="33"/>
        <v xml:space="preserve"> </v>
      </c>
      <c r="M406" s="2" t="str">
        <f t="shared" si="34"/>
        <v xml:space="preserve"> </v>
      </c>
    </row>
    <row r="407" spans="1:13" x14ac:dyDescent="0.25">
      <c r="A407" s="43" t="str">
        <f t="shared" si="31"/>
        <v xml:space="preserve"> </v>
      </c>
      <c r="D407" s="42"/>
      <c r="E407" s="42"/>
      <c r="J407" s="17">
        <f t="shared" si="30"/>
        <v>0</v>
      </c>
      <c r="K407" s="2" t="str">
        <f t="shared" si="32"/>
        <v xml:space="preserve"> </v>
      </c>
      <c r="L407" s="2" t="str">
        <f t="shared" si="33"/>
        <v xml:space="preserve"> </v>
      </c>
      <c r="M407" s="2" t="str">
        <f t="shared" si="34"/>
        <v xml:space="preserve"> </v>
      </c>
    </row>
    <row r="408" spans="1:13" x14ac:dyDescent="0.25">
      <c r="A408" s="43" t="str">
        <f t="shared" si="31"/>
        <v xml:space="preserve"> </v>
      </c>
      <c r="D408" s="42"/>
      <c r="E408" s="42"/>
      <c r="J408" s="17">
        <f t="shared" si="30"/>
        <v>0</v>
      </c>
      <c r="K408" s="2" t="str">
        <f t="shared" si="32"/>
        <v xml:space="preserve"> </v>
      </c>
      <c r="L408" s="2" t="str">
        <f t="shared" si="33"/>
        <v xml:space="preserve"> </v>
      </c>
      <c r="M408" s="2" t="str">
        <f t="shared" si="34"/>
        <v xml:space="preserve"> </v>
      </c>
    </row>
    <row r="409" spans="1:13" x14ac:dyDescent="0.25">
      <c r="A409" s="43" t="str">
        <f t="shared" si="31"/>
        <v xml:space="preserve"> </v>
      </c>
      <c r="D409" s="42"/>
      <c r="E409" s="42"/>
      <c r="J409" s="17">
        <f t="shared" si="30"/>
        <v>0</v>
      </c>
      <c r="K409" s="2" t="str">
        <f t="shared" si="32"/>
        <v xml:space="preserve"> </v>
      </c>
      <c r="L409" s="2" t="str">
        <f t="shared" si="33"/>
        <v xml:space="preserve"> </v>
      </c>
      <c r="M409" s="2" t="str">
        <f t="shared" si="34"/>
        <v xml:space="preserve"> </v>
      </c>
    </row>
    <row r="410" spans="1:13" x14ac:dyDescent="0.25">
      <c r="A410" s="43" t="str">
        <f t="shared" si="31"/>
        <v xml:space="preserve"> </v>
      </c>
      <c r="D410" s="42"/>
      <c r="E410" s="42"/>
      <c r="J410" s="17">
        <f t="shared" si="30"/>
        <v>0</v>
      </c>
      <c r="K410" s="2" t="str">
        <f t="shared" si="32"/>
        <v xml:space="preserve"> </v>
      </c>
      <c r="L410" s="2" t="str">
        <f t="shared" si="33"/>
        <v xml:space="preserve"> </v>
      </c>
      <c r="M410" s="2" t="str">
        <f t="shared" si="34"/>
        <v xml:space="preserve"> </v>
      </c>
    </row>
    <row r="411" spans="1:13" x14ac:dyDescent="0.25">
      <c r="A411" s="43" t="str">
        <f t="shared" si="31"/>
        <v xml:space="preserve"> </v>
      </c>
      <c r="D411" s="42"/>
      <c r="E411" s="42"/>
      <c r="J411" s="17">
        <f t="shared" si="30"/>
        <v>0</v>
      </c>
      <c r="K411" s="2" t="str">
        <f t="shared" si="32"/>
        <v xml:space="preserve"> </v>
      </c>
      <c r="L411" s="2" t="str">
        <f t="shared" si="33"/>
        <v xml:space="preserve"> </v>
      </c>
      <c r="M411" s="2" t="str">
        <f t="shared" si="34"/>
        <v xml:space="preserve"> </v>
      </c>
    </row>
    <row r="412" spans="1:13" x14ac:dyDescent="0.25">
      <c r="A412" s="43" t="str">
        <f t="shared" si="31"/>
        <v xml:space="preserve"> </v>
      </c>
      <c r="D412" s="42"/>
      <c r="E412" s="42"/>
      <c r="J412" s="17">
        <f t="shared" si="30"/>
        <v>0</v>
      </c>
      <c r="K412" s="2" t="str">
        <f t="shared" si="32"/>
        <v xml:space="preserve"> </v>
      </c>
      <c r="L412" s="2" t="str">
        <f t="shared" si="33"/>
        <v xml:space="preserve"> </v>
      </c>
      <c r="M412" s="2" t="str">
        <f t="shared" si="34"/>
        <v xml:space="preserve"> </v>
      </c>
    </row>
    <row r="413" spans="1:13" x14ac:dyDescent="0.25">
      <c r="A413" s="43" t="str">
        <f t="shared" si="31"/>
        <v xml:space="preserve"> </v>
      </c>
      <c r="D413" s="42"/>
      <c r="E413" s="42"/>
      <c r="J413" s="17">
        <f t="shared" si="30"/>
        <v>0</v>
      </c>
      <c r="K413" s="2" t="str">
        <f t="shared" si="32"/>
        <v xml:space="preserve"> </v>
      </c>
      <c r="L413" s="2" t="str">
        <f t="shared" si="33"/>
        <v xml:space="preserve"> </v>
      </c>
      <c r="M413" s="2" t="str">
        <f t="shared" si="34"/>
        <v xml:space="preserve"> </v>
      </c>
    </row>
    <row r="414" spans="1:13" x14ac:dyDescent="0.25">
      <c r="A414" s="43" t="str">
        <f t="shared" si="31"/>
        <v xml:space="preserve"> </v>
      </c>
      <c r="D414" s="42"/>
      <c r="E414" s="42"/>
      <c r="J414" s="17">
        <f t="shared" si="30"/>
        <v>0</v>
      </c>
      <c r="K414" s="2" t="str">
        <f t="shared" si="32"/>
        <v xml:space="preserve"> </v>
      </c>
      <c r="L414" s="2" t="str">
        <f t="shared" si="33"/>
        <v xml:space="preserve"> </v>
      </c>
      <c r="M414" s="2" t="str">
        <f t="shared" si="34"/>
        <v xml:space="preserve"> </v>
      </c>
    </row>
    <row r="415" spans="1:13" x14ac:dyDescent="0.25">
      <c r="A415" s="43" t="str">
        <f t="shared" si="31"/>
        <v xml:space="preserve"> </v>
      </c>
      <c r="D415" s="42"/>
      <c r="E415" s="42"/>
      <c r="J415" s="17">
        <f t="shared" si="30"/>
        <v>0</v>
      </c>
      <c r="K415" s="2" t="str">
        <f t="shared" si="32"/>
        <v xml:space="preserve"> </v>
      </c>
      <c r="L415" s="2" t="str">
        <f t="shared" si="33"/>
        <v xml:space="preserve"> </v>
      </c>
      <c r="M415" s="2" t="str">
        <f t="shared" si="34"/>
        <v xml:space="preserve"> </v>
      </c>
    </row>
    <row r="416" spans="1:13" x14ac:dyDescent="0.25">
      <c r="A416" s="43" t="str">
        <f t="shared" si="31"/>
        <v xml:space="preserve"> </v>
      </c>
      <c r="D416" s="42"/>
      <c r="E416" s="42"/>
      <c r="J416" s="17">
        <f t="shared" si="30"/>
        <v>0</v>
      </c>
      <c r="K416" s="2" t="str">
        <f t="shared" si="32"/>
        <v xml:space="preserve"> </v>
      </c>
      <c r="L416" s="2" t="str">
        <f t="shared" si="33"/>
        <v xml:space="preserve"> </v>
      </c>
      <c r="M416" s="2" t="str">
        <f t="shared" si="34"/>
        <v xml:space="preserve"> </v>
      </c>
    </row>
    <row r="417" spans="1:13" x14ac:dyDescent="0.25">
      <c r="A417" s="43" t="str">
        <f t="shared" si="31"/>
        <v xml:space="preserve"> </v>
      </c>
      <c r="D417" s="42"/>
      <c r="E417" s="42"/>
      <c r="J417" s="17">
        <f t="shared" si="30"/>
        <v>0</v>
      </c>
      <c r="K417" s="2" t="str">
        <f t="shared" si="32"/>
        <v xml:space="preserve"> </v>
      </c>
      <c r="L417" s="2" t="str">
        <f t="shared" si="33"/>
        <v xml:space="preserve"> </v>
      </c>
      <c r="M417" s="2" t="str">
        <f t="shared" si="34"/>
        <v xml:space="preserve"> </v>
      </c>
    </row>
    <row r="418" spans="1:13" x14ac:dyDescent="0.25">
      <c r="A418" s="43" t="str">
        <f t="shared" si="31"/>
        <v xml:space="preserve"> </v>
      </c>
      <c r="D418" s="42"/>
      <c r="E418" s="42"/>
      <c r="J418" s="17">
        <f t="shared" si="30"/>
        <v>0</v>
      </c>
      <c r="K418" s="2" t="str">
        <f t="shared" si="32"/>
        <v xml:space="preserve"> </v>
      </c>
      <c r="L418" s="2" t="str">
        <f t="shared" si="33"/>
        <v xml:space="preserve"> </v>
      </c>
      <c r="M418" s="2" t="str">
        <f t="shared" si="34"/>
        <v xml:space="preserve"> </v>
      </c>
    </row>
    <row r="419" spans="1:13" x14ac:dyDescent="0.25">
      <c r="A419" s="43" t="str">
        <f t="shared" si="31"/>
        <v xml:space="preserve"> </v>
      </c>
      <c r="D419" s="42"/>
      <c r="E419" s="42"/>
      <c r="J419" s="17">
        <f t="shared" si="30"/>
        <v>0</v>
      </c>
      <c r="K419" s="2" t="str">
        <f t="shared" si="32"/>
        <v xml:space="preserve"> </v>
      </c>
      <c r="L419" s="2" t="str">
        <f t="shared" si="33"/>
        <v xml:space="preserve"> </v>
      </c>
      <c r="M419" s="2" t="str">
        <f t="shared" si="34"/>
        <v xml:space="preserve"> </v>
      </c>
    </row>
    <row r="420" spans="1:13" x14ac:dyDescent="0.25">
      <c r="A420" s="43" t="str">
        <f t="shared" si="31"/>
        <v xml:space="preserve"> </v>
      </c>
      <c r="D420" s="42"/>
      <c r="E420" s="42"/>
      <c r="J420" s="17">
        <f t="shared" si="30"/>
        <v>0</v>
      </c>
      <c r="K420" s="2" t="str">
        <f t="shared" si="32"/>
        <v xml:space="preserve"> </v>
      </c>
      <c r="L420" s="2" t="str">
        <f t="shared" si="33"/>
        <v xml:space="preserve"> </v>
      </c>
      <c r="M420" s="2" t="str">
        <f t="shared" si="34"/>
        <v xml:space="preserve"> </v>
      </c>
    </row>
    <row r="421" spans="1:13" x14ac:dyDescent="0.25">
      <c r="A421" s="43" t="str">
        <f t="shared" si="31"/>
        <v xml:space="preserve"> </v>
      </c>
      <c r="D421" s="42"/>
      <c r="E421" s="42"/>
      <c r="J421" s="17">
        <f t="shared" si="30"/>
        <v>0</v>
      </c>
      <c r="K421" s="2" t="str">
        <f t="shared" si="32"/>
        <v xml:space="preserve"> </v>
      </c>
      <c r="L421" s="2" t="str">
        <f t="shared" si="33"/>
        <v xml:space="preserve"> </v>
      </c>
      <c r="M421" s="2" t="str">
        <f t="shared" si="34"/>
        <v xml:space="preserve"> </v>
      </c>
    </row>
    <row r="422" spans="1:13" x14ac:dyDescent="0.25">
      <c r="A422" s="43" t="str">
        <f t="shared" si="31"/>
        <v xml:space="preserve"> </v>
      </c>
      <c r="D422" s="42"/>
      <c r="E422" s="42"/>
      <c r="J422" s="17">
        <f t="shared" si="30"/>
        <v>0</v>
      </c>
      <c r="K422" s="2" t="str">
        <f t="shared" si="32"/>
        <v xml:space="preserve"> </v>
      </c>
      <c r="L422" s="2" t="str">
        <f t="shared" si="33"/>
        <v xml:space="preserve"> </v>
      </c>
      <c r="M422" s="2" t="str">
        <f t="shared" si="34"/>
        <v xml:space="preserve"> </v>
      </c>
    </row>
    <row r="423" spans="1:13" x14ac:dyDescent="0.25">
      <c r="A423" s="43" t="str">
        <f t="shared" si="31"/>
        <v xml:space="preserve"> </v>
      </c>
      <c r="D423" s="42"/>
      <c r="E423" s="42"/>
      <c r="J423" s="17">
        <f t="shared" si="30"/>
        <v>0</v>
      </c>
      <c r="K423" s="2" t="str">
        <f t="shared" si="32"/>
        <v xml:space="preserve"> </v>
      </c>
      <c r="L423" s="2" t="str">
        <f t="shared" si="33"/>
        <v xml:space="preserve"> </v>
      </c>
      <c r="M423" s="2" t="str">
        <f t="shared" si="34"/>
        <v xml:space="preserve"> </v>
      </c>
    </row>
    <row r="424" spans="1:13" x14ac:dyDescent="0.25">
      <c r="A424" s="43" t="str">
        <f t="shared" si="31"/>
        <v xml:space="preserve"> </v>
      </c>
      <c r="D424" s="42"/>
      <c r="E424" s="42"/>
      <c r="J424" s="17">
        <f t="shared" si="30"/>
        <v>0</v>
      </c>
      <c r="K424" s="2" t="str">
        <f t="shared" si="32"/>
        <v xml:space="preserve"> </v>
      </c>
      <c r="L424" s="2" t="str">
        <f t="shared" si="33"/>
        <v xml:space="preserve"> </v>
      </c>
      <c r="M424" s="2" t="str">
        <f t="shared" si="34"/>
        <v xml:space="preserve"> </v>
      </c>
    </row>
    <row r="425" spans="1:13" x14ac:dyDescent="0.25">
      <c r="A425" s="43" t="str">
        <f t="shared" si="31"/>
        <v xml:space="preserve"> </v>
      </c>
      <c r="D425" s="42"/>
      <c r="E425" s="42"/>
      <c r="J425" s="17">
        <f t="shared" si="30"/>
        <v>0</v>
      </c>
      <c r="K425" s="2" t="str">
        <f t="shared" si="32"/>
        <v xml:space="preserve"> </v>
      </c>
      <c r="L425" s="2" t="str">
        <f t="shared" si="33"/>
        <v xml:space="preserve"> </v>
      </c>
      <c r="M425" s="2" t="str">
        <f t="shared" si="34"/>
        <v xml:space="preserve"> </v>
      </c>
    </row>
    <row r="426" spans="1:13" x14ac:dyDescent="0.25">
      <c r="A426" s="43" t="str">
        <f t="shared" si="31"/>
        <v xml:space="preserve"> </v>
      </c>
      <c r="D426" s="42"/>
      <c r="E426" s="42"/>
      <c r="J426" s="17">
        <f t="shared" si="30"/>
        <v>0</v>
      </c>
      <c r="K426" s="2" t="str">
        <f t="shared" si="32"/>
        <v xml:space="preserve"> </v>
      </c>
      <c r="L426" s="2" t="str">
        <f t="shared" si="33"/>
        <v xml:space="preserve"> </v>
      </c>
      <c r="M426" s="2" t="str">
        <f t="shared" si="34"/>
        <v xml:space="preserve"> </v>
      </c>
    </row>
    <row r="427" spans="1:13" x14ac:dyDescent="0.25">
      <c r="A427" s="43" t="str">
        <f t="shared" si="31"/>
        <v xml:space="preserve"> </v>
      </c>
      <c r="D427" s="42"/>
      <c r="E427" s="42"/>
      <c r="J427" s="17">
        <f t="shared" si="30"/>
        <v>0</v>
      </c>
      <c r="K427" s="2" t="str">
        <f t="shared" si="32"/>
        <v xml:space="preserve"> </v>
      </c>
      <c r="L427" s="2" t="str">
        <f t="shared" si="33"/>
        <v xml:space="preserve"> </v>
      </c>
      <c r="M427" s="2" t="str">
        <f t="shared" si="34"/>
        <v xml:space="preserve"> </v>
      </c>
    </row>
    <row r="428" spans="1:13" x14ac:dyDescent="0.25">
      <c r="A428" s="43" t="str">
        <f t="shared" si="31"/>
        <v xml:space="preserve"> </v>
      </c>
      <c r="D428" s="42"/>
      <c r="E428" s="42"/>
      <c r="J428" s="17">
        <f t="shared" si="30"/>
        <v>0</v>
      </c>
      <c r="K428" s="2" t="str">
        <f t="shared" si="32"/>
        <v xml:space="preserve"> </v>
      </c>
      <c r="L428" s="2" t="str">
        <f t="shared" si="33"/>
        <v xml:space="preserve"> </v>
      </c>
      <c r="M428" s="2" t="str">
        <f t="shared" si="34"/>
        <v xml:space="preserve"> </v>
      </c>
    </row>
    <row r="429" spans="1:13" x14ac:dyDescent="0.25">
      <c r="A429" s="43" t="str">
        <f t="shared" si="31"/>
        <v xml:space="preserve"> </v>
      </c>
      <c r="D429" s="42"/>
      <c r="E429" s="42"/>
      <c r="J429" s="17">
        <f t="shared" si="30"/>
        <v>0</v>
      </c>
      <c r="K429" s="2" t="str">
        <f t="shared" si="32"/>
        <v xml:space="preserve"> </v>
      </c>
      <c r="L429" s="2" t="str">
        <f t="shared" si="33"/>
        <v xml:space="preserve"> </v>
      </c>
      <c r="M429" s="2" t="str">
        <f t="shared" si="34"/>
        <v xml:space="preserve"> </v>
      </c>
    </row>
    <row r="430" spans="1:13" x14ac:dyDescent="0.25">
      <c r="A430" s="43" t="str">
        <f t="shared" si="31"/>
        <v xml:space="preserve"> </v>
      </c>
      <c r="D430" s="42"/>
      <c r="E430" s="42"/>
      <c r="J430" s="17">
        <f t="shared" si="30"/>
        <v>0</v>
      </c>
      <c r="K430" s="2" t="str">
        <f t="shared" si="32"/>
        <v xml:space="preserve"> </v>
      </c>
      <c r="L430" s="2" t="str">
        <f t="shared" si="33"/>
        <v xml:space="preserve"> </v>
      </c>
      <c r="M430" s="2" t="str">
        <f t="shared" si="34"/>
        <v xml:space="preserve"> </v>
      </c>
    </row>
    <row r="431" spans="1:13" x14ac:dyDescent="0.25">
      <c r="A431" s="43" t="str">
        <f t="shared" si="31"/>
        <v xml:space="preserve"> </v>
      </c>
      <c r="D431" s="42"/>
      <c r="E431" s="42"/>
      <c r="J431" s="17">
        <f t="shared" si="30"/>
        <v>0</v>
      </c>
      <c r="K431" s="2" t="str">
        <f t="shared" si="32"/>
        <v xml:space="preserve"> </v>
      </c>
      <c r="L431" s="2" t="str">
        <f t="shared" si="33"/>
        <v xml:space="preserve"> </v>
      </c>
      <c r="M431" s="2" t="str">
        <f t="shared" si="34"/>
        <v xml:space="preserve"> </v>
      </c>
    </row>
    <row r="432" spans="1:13" x14ac:dyDescent="0.25">
      <c r="A432" s="43" t="str">
        <f t="shared" si="31"/>
        <v xml:space="preserve"> </v>
      </c>
      <c r="D432" s="42"/>
      <c r="E432" s="42"/>
      <c r="J432" s="17">
        <f t="shared" si="30"/>
        <v>0</v>
      </c>
      <c r="K432" s="2" t="str">
        <f t="shared" si="32"/>
        <v xml:space="preserve"> </v>
      </c>
      <c r="L432" s="2" t="str">
        <f t="shared" si="33"/>
        <v xml:space="preserve"> </v>
      </c>
      <c r="M432" s="2" t="str">
        <f t="shared" si="34"/>
        <v xml:space="preserve"> </v>
      </c>
    </row>
    <row r="433" spans="1:13" x14ac:dyDescent="0.25">
      <c r="A433" s="43" t="str">
        <f t="shared" si="31"/>
        <v xml:space="preserve"> </v>
      </c>
      <c r="D433" s="42"/>
      <c r="E433" s="42"/>
      <c r="J433" s="17">
        <f t="shared" si="30"/>
        <v>0</v>
      </c>
      <c r="K433" s="2" t="str">
        <f t="shared" si="32"/>
        <v xml:space="preserve"> </v>
      </c>
      <c r="L433" s="2" t="str">
        <f t="shared" si="33"/>
        <v xml:space="preserve"> </v>
      </c>
      <c r="M433" s="2" t="str">
        <f t="shared" si="34"/>
        <v xml:space="preserve"> </v>
      </c>
    </row>
    <row r="434" spans="1:13" x14ac:dyDescent="0.25">
      <c r="A434" s="43" t="str">
        <f t="shared" si="31"/>
        <v xml:space="preserve"> </v>
      </c>
      <c r="D434" s="42"/>
      <c r="E434" s="42"/>
      <c r="J434" s="17">
        <f t="shared" si="30"/>
        <v>0</v>
      </c>
      <c r="K434" s="2" t="str">
        <f t="shared" si="32"/>
        <v xml:space="preserve"> </v>
      </c>
      <c r="L434" s="2" t="str">
        <f t="shared" si="33"/>
        <v xml:space="preserve"> </v>
      </c>
      <c r="M434" s="2" t="str">
        <f t="shared" si="34"/>
        <v xml:space="preserve"> </v>
      </c>
    </row>
    <row r="435" spans="1:13" x14ac:dyDescent="0.25">
      <c r="A435" s="43" t="str">
        <f t="shared" si="31"/>
        <v xml:space="preserve"> </v>
      </c>
      <c r="D435" s="42"/>
      <c r="E435" s="42"/>
      <c r="J435" s="17">
        <f t="shared" si="30"/>
        <v>0</v>
      </c>
      <c r="K435" s="2" t="str">
        <f t="shared" si="32"/>
        <v xml:space="preserve"> </v>
      </c>
      <c r="L435" s="2" t="str">
        <f t="shared" si="33"/>
        <v xml:space="preserve"> </v>
      </c>
      <c r="M435" s="2" t="str">
        <f t="shared" si="34"/>
        <v xml:space="preserve"> </v>
      </c>
    </row>
    <row r="436" spans="1:13" x14ac:dyDescent="0.25">
      <c r="A436" s="43" t="str">
        <f t="shared" si="31"/>
        <v xml:space="preserve"> </v>
      </c>
      <c r="D436" s="42"/>
      <c r="E436" s="42"/>
      <c r="J436" s="17">
        <f t="shared" si="30"/>
        <v>0</v>
      </c>
      <c r="K436" s="2" t="str">
        <f t="shared" si="32"/>
        <v xml:space="preserve"> </v>
      </c>
      <c r="L436" s="2" t="str">
        <f t="shared" si="33"/>
        <v xml:space="preserve"> </v>
      </c>
      <c r="M436" s="2" t="str">
        <f t="shared" si="34"/>
        <v xml:space="preserve"> </v>
      </c>
    </row>
    <row r="437" spans="1:13" x14ac:dyDescent="0.25">
      <c r="A437" s="43" t="str">
        <f t="shared" si="31"/>
        <v xml:space="preserve"> </v>
      </c>
      <c r="D437" s="42"/>
      <c r="E437" s="42"/>
      <c r="J437" s="17">
        <f t="shared" si="30"/>
        <v>0</v>
      </c>
      <c r="K437" s="2" t="str">
        <f t="shared" si="32"/>
        <v xml:space="preserve"> </v>
      </c>
      <c r="L437" s="2" t="str">
        <f t="shared" si="33"/>
        <v xml:space="preserve"> </v>
      </c>
      <c r="M437" s="2" t="str">
        <f t="shared" si="34"/>
        <v xml:space="preserve"> </v>
      </c>
    </row>
    <row r="438" spans="1:13" x14ac:dyDescent="0.25">
      <c r="A438" s="43" t="str">
        <f t="shared" si="31"/>
        <v xml:space="preserve"> </v>
      </c>
      <c r="D438" s="42"/>
      <c r="E438" s="42"/>
      <c r="J438" s="17">
        <f t="shared" si="30"/>
        <v>0</v>
      </c>
      <c r="K438" s="2" t="str">
        <f t="shared" si="32"/>
        <v xml:space="preserve"> </v>
      </c>
      <c r="L438" s="2" t="str">
        <f t="shared" si="33"/>
        <v xml:space="preserve"> </v>
      </c>
      <c r="M438" s="2" t="str">
        <f t="shared" si="34"/>
        <v xml:space="preserve"> </v>
      </c>
    </row>
    <row r="439" spans="1:13" x14ac:dyDescent="0.25">
      <c r="A439" s="43" t="str">
        <f t="shared" si="31"/>
        <v xml:space="preserve"> </v>
      </c>
      <c r="D439" s="42"/>
      <c r="E439" s="42"/>
      <c r="J439" s="17">
        <f t="shared" si="30"/>
        <v>0</v>
      </c>
      <c r="K439" s="2" t="str">
        <f t="shared" si="32"/>
        <v xml:space="preserve"> </v>
      </c>
      <c r="L439" s="2" t="str">
        <f t="shared" si="33"/>
        <v xml:space="preserve"> </v>
      </c>
      <c r="M439" s="2" t="str">
        <f t="shared" si="34"/>
        <v xml:space="preserve"> </v>
      </c>
    </row>
    <row r="440" spans="1:13" x14ac:dyDescent="0.25">
      <c r="A440" s="43" t="str">
        <f t="shared" si="31"/>
        <v xml:space="preserve"> </v>
      </c>
      <c r="D440" s="42"/>
      <c r="E440" s="42"/>
      <c r="J440" s="17">
        <f t="shared" si="30"/>
        <v>0</v>
      </c>
      <c r="K440" s="2" t="str">
        <f t="shared" si="32"/>
        <v xml:space="preserve"> </v>
      </c>
      <c r="L440" s="2" t="str">
        <f t="shared" si="33"/>
        <v xml:space="preserve"> </v>
      </c>
      <c r="M440" s="2" t="str">
        <f t="shared" si="34"/>
        <v xml:space="preserve"> </v>
      </c>
    </row>
    <row r="441" spans="1:13" x14ac:dyDescent="0.25">
      <c r="A441" s="43" t="str">
        <f t="shared" si="31"/>
        <v xml:space="preserve"> </v>
      </c>
      <c r="D441" s="42"/>
      <c r="E441" s="42"/>
      <c r="J441" s="17">
        <f t="shared" si="30"/>
        <v>0</v>
      </c>
      <c r="K441" s="2" t="str">
        <f t="shared" si="32"/>
        <v xml:space="preserve"> </v>
      </c>
      <c r="L441" s="2" t="str">
        <f t="shared" si="33"/>
        <v xml:space="preserve"> </v>
      </c>
      <c r="M441" s="2" t="str">
        <f t="shared" si="34"/>
        <v xml:space="preserve"> </v>
      </c>
    </row>
    <row r="442" spans="1:13" x14ac:dyDescent="0.25">
      <c r="A442" s="43" t="str">
        <f t="shared" si="31"/>
        <v xml:space="preserve"> </v>
      </c>
      <c r="D442" s="42"/>
      <c r="E442" s="42"/>
      <c r="J442" s="17">
        <f t="shared" si="30"/>
        <v>0</v>
      </c>
      <c r="K442" s="2" t="str">
        <f t="shared" si="32"/>
        <v xml:space="preserve"> </v>
      </c>
      <c r="L442" s="2" t="str">
        <f t="shared" si="33"/>
        <v xml:space="preserve"> </v>
      </c>
      <c r="M442" s="2" t="str">
        <f t="shared" si="34"/>
        <v xml:space="preserve"> </v>
      </c>
    </row>
    <row r="443" spans="1:13" x14ac:dyDescent="0.25">
      <c r="A443" s="43" t="str">
        <f t="shared" si="31"/>
        <v xml:space="preserve"> </v>
      </c>
      <c r="D443" s="42"/>
      <c r="E443" s="42"/>
      <c r="J443" s="17">
        <f t="shared" si="30"/>
        <v>0</v>
      </c>
      <c r="K443" s="2" t="str">
        <f t="shared" si="32"/>
        <v xml:space="preserve"> </v>
      </c>
      <c r="L443" s="2" t="str">
        <f t="shared" si="33"/>
        <v xml:space="preserve"> </v>
      </c>
      <c r="M443" s="2" t="str">
        <f t="shared" si="34"/>
        <v xml:space="preserve"> </v>
      </c>
    </row>
    <row r="444" spans="1:13" x14ac:dyDescent="0.25">
      <c r="A444" s="43" t="str">
        <f t="shared" si="31"/>
        <v xml:space="preserve"> </v>
      </c>
      <c r="D444" s="42"/>
      <c r="E444" s="42"/>
      <c r="J444" s="17">
        <f t="shared" si="30"/>
        <v>0</v>
      </c>
      <c r="K444" s="2" t="str">
        <f t="shared" si="32"/>
        <v xml:space="preserve"> </v>
      </c>
      <c r="L444" s="2" t="str">
        <f t="shared" si="33"/>
        <v xml:space="preserve"> </v>
      </c>
      <c r="M444" s="2" t="str">
        <f t="shared" si="34"/>
        <v xml:space="preserve"> </v>
      </c>
    </row>
    <row r="445" spans="1:13" x14ac:dyDescent="0.25">
      <c r="A445" s="43" t="str">
        <f t="shared" si="31"/>
        <v xml:space="preserve"> </v>
      </c>
      <c r="D445" s="42"/>
      <c r="E445" s="42"/>
      <c r="J445" s="17">
        <f t="shared" si="30"/>
        <v>0</v>
      </c>
      <c r="K445" s="2" t="str">
        <f t="shared" si="32"/>
        <v xml:space="preserve"> </v>
      </c>
      <c r="L445" s="2" t="str">
        <f t="shared" si="33"/>
        <v xml:space="preserve"> </v>
      </c>
      <c r="M445" s="2" t="str">
        <f t="shared" si="34"/>
        <v xml:space="preserve"> </v>
      </c>
    </row>
    <row r="446" spans="1:13" x14ac:dyDescent="0.25">
      <c r="A446" s="43" t="str">
        <f t="shared" si="31"/>
        <v xml:space="preserve"> </v>
      </c>
      <c r="D446" s="42"/>
      <c r="E446" s="42"/>
      <c r="J446" s="17">
        <f t="shared" si="30"/>
        <v>0</v>
      </c>
      <c r="K446" s="2" t="str">
        <f t="shared" si="32"/>
        <v xml:space="preserve"> </v>
      </c>
      <c r="L446" s="2" t="str">
        <f t="shared" si="33"/>
        <v xml:space="preserve"> </v>
      </c>
      <c r="M446" s="2" t="str">
        <f t="shared" si="34"/>
        <v xml:space="preserve"> </v>
      </c>
    </row>
    <row r="447" spans="1:13" x14ac:dyDescent="0.25">
      <c r="A447" s="43" t="str">
        <f t="shared" si="31"/>
        <v xml:space="preserve"> </v>
      </c>
      <c r="D447" s="42"/>
      <c r="E447" s="42"/>
      <c r="J447" s="17">
        <f t="shared" si="30"/>
        <v>0</v>
      </c>
      <c r="K447" s="2" t="str">
        <f t="shared" si="32"/>
        <v xml:space="preserve"> </v>
      </c>
      <c r="L447" s="2" t="str">
        <f t="shared" si="33"/>
        <v xml:space="preserve"> </v>
      </c>
      <c r="M447" s="2" t="str">
        <f t="shared" si="34"/>
        <v xml:space="preserve"> </v>
      </c>
    </row>
    <row r="448" spans="1:13" x14ac:dyDescent="0.25">
      <c r="A448" s="43" t="str">
        <f t="shared" si="31"/>
        <v xml:space="preserve"> </v>
      </c>
      <c r="D448" s="42"/>
      <c r="E448" s="42"/>
      <c r="J448" s="17">
        <f t="shared" si="30"/>
        <v>0</v>
      </c>
      <c r="K448" s="2" t="str">
        <f t="shared" si="32"/>
        <v xml:space="preserve"> </v>
      </c>
      <c r="L448" s="2" t="str">
        <f t="shared" si="33"/>
        <v xml:space="preserve"> </v>
      </c>
      <c r="M448" s="2" t="str">
        <f t="shared" si="34"/>
        <v xml:space="preserve"> </v>
      </c>
    </row>
    <row r="449" spans="1:13" x14ac:dyDescent="0.25">
      <c r="A449" s="43" t="str">
        <f t="shared" si="31"/>
        <v xml:space="preserve"> </v>
      </c>
      <c r="D449" s="42"/>
      <c r="E449" s="42"/>
      <c r="J449" s="17">
        <f t="shared" si="30"/>
        <v>0</v>
      </c>
      <c r="K449" s="2" t="str">
        <f t="shared" si="32"/>
        <v xml:space="preserve"> </v>
      </c>
      <c r="L449" s="2" t="str">
        <f t="shared" si="33"/>
        <v xml:space="preserve"> </v>
      </c>
      <c r="M449" s="2" t="str">
        <f t="shared" si="34"/>
        <v xml:space="preserve"> </v>
      </c>
    </row>
    <row r="450" spans="1:13" x14ac:dyDescent="0.25">
      <c r="A450" s="43" t="str">
        <f t="shared" si="31"/>
        <v xml:space="preserve"> </v>
      </c>
      <c r="D450" s="42"/>
      <c r="E450" s="42"/>
      <c r="J450" s="17">
        <f t="shared" si="30"/>
        <v>0</v>
      </c>
      <c r="K450" s="2" t="str">
        <f t="shared" si="32"/>
        <v xml:space="preserve"> </v>
      </c>
      <c r="L450" s="2" t="str">
        <f t="shared" si="33"/>
        <v xml:space="preserve"> </v>
      </c>
      <c r="M450" s="2" t="str">
        <f t="shared" si="34"/>
        <v xml:space="preserve"> </v>
      </c>
    </row>
    <row r="451" spans="1:13" x14ac:dyDescent="0.25">
      <c r="A451" s="43" t="str">
        <f t="shared" si="31"/>
        <v xml:space="preserve"> </v>
      </c>
      <c r="D451" s="42"/>
      <c r="E451" s="42"/>
      <c r="J451" s="17">
        <f t="shared" ref="J451:J482" si="35">F451-G451+H451-I451</f>
        <v>0</v>
      </c>
      <c r="K451" s="2" t="str">
        <f t="shared" si="32"/>
        <v xml:space="preserve"> </v>
      </c>
      <c r="L451" s="2" t="str">
        <f t="shared" si="33"/>
        <v xml:space="preserve"> </v>
      </c>
      <c r="M451" s="2" t="str">
        <f t="shared" si="34"/>
        <v xml:space="preserve"> </v>
      </c>
    </row>
    <row r="452" spans="1:13" x14ac:dyDescent="0.25">
      <c r="A452" s="43" t="str">
        <f t="shared" si="31"/>
        <v xml:space="preserve"> </v>
      </c>
      <c r="D452" s="42"/>
      <c r="E452" s="42"/>
      <c r="J452" s="17">
        <f t="shared" si="35"/>
        <v>0</v>
      </c>
      <c r="K452" s="2" t="str">
        <f t="shared" si="32"/>
        <v xml:space="preserve"> </v>
      </c>
      <c r="L452" s="2" t="str">
        <f t="shared" si="33"/>
        <v xml:space="preserve"> </v>
      </c>
      <c r="M452" s="2" t="str">
        <f t="shared" si="34"/>
        <v xml:space="preserve"> </v>
      </c>
    </row>
    <row r="453" spans="1:13" x14ac:dyDescent="0.25">
      <c r="A453" s="43" t="str">
        <f t="shared" si="31"/>
        <v xml:space="preserve"> </v>
      </c>
      <c r="D453" s="42"/>
      <c r="E453" s="42"/>
      <c r="J453" s="17">
        <f t="shared" si="35"/>
        <v>0</v>
      </c>
      <c r="K453" s="2" t="str">
        <f t="shared" si="32"/>
        <v xml:space="preserve"> </v>
      </c>
      <c r="L453" s="2" t="str">
        <f t="shared" si="33"/>
        <v xml:space="preserve"> </v>
      </c>
      <c r="M453" s="2" t="str">
        <f t="shared" si="34"/>
        <v xml:space="preserve"> </v>
      </c>
    </row>
    <row r="454" spans="1:13" x14ac:dyDescent="0.25">
      <c r="A454" s="43" t="str">
        <f t="shared" si="31"/>
        <v xml:space="preserve"> </v>
      </c>
      <c r="D454" s="42"/>
      <c r="E454" s="42"/>
      <c r="J454" s="17">
        <f t="shared" si="35"/>
        <v>0</v>
      </c>
      <c r="K454" s="2" t="str">
        <f t="shared" si="32"/>
        <v xml:space="preserve"> </v>
      </c>
      <c r="L454" s="2" t="str">
        <f t="shared" si="33"/>
        <v xml:space="preserve"> </v>
      </c>
      <c r="M454" s="2" t="str">
        <f t="shared" si="34"/>
        <v xml:space="preserve"> </v>
      </c>
    </row>
    <row r="455" spans="1:13" x14ac:dyDescent="0.25">
      <c r="A455" s="43" t="str">
        <f t="shared" si="31"/>
        <v xml:space="preserve"> </v>
      </c>
      <c r="D455" s="42"/>
      <c r="E455" s="42"/>
      <c r="J455" s="17">
        <f t="shared" si="35"/>
        <v>0</v>
      </c>
      <c r="K455" s="2" t="str">
        <f t="shared" si="32"/>
        <v xml:space="preserve"> </v>
      </c>
      <c r="L455" s="2" t="str">
        <f t="shared" si="33"/>
        <v xml:space="preserve"> </v>
      </c>
      <c r="M455" s="2" t="str">
        <f t="shared" si="34"/>
        <v xml:space="preserve"> </v>
      </c>
    </row>
    <row r="456" spans="1:13" x14ac:dyDescent="0.25">
      <c r="A456" s="43" t="str">
        <f t="shared" si="31"/>
        <v xml:space="preserve"> </v>
      </c>
      <c r="D456" s="42"/>
      <c r="E456" s="42"/>
      <c r="J456" s="17">
        <f t="shared" si="35"/>
        <v>0</v>
      </c>
      <c r="K456" s="2" t="str">
        <f t="shared" si="32"/>
        <v xml:space="preserve"> </v>
      </c>
      <c r="L456" s="2" t="str">
        <f t="shared" si="33"/>
        <v xml:space="preserve"> </v>
      </c>
      <c r="M456" s="2" t="str">
        <f t="shared" si="34"/>
        <v xml:space="preserve"> </v>
      </c>
    </row>
    <row r="457" spans="1:13" x14ac:dyDescent="0.25">
      <c r="A457" s="43" t="str">
        <f t="shared" si="31"/>
        <v xml:space="preserve"> </v>
      </c>
      <c r="D457" s="42"/>
      <c r="E457" s="42"/>
      <c r="J457" s="17">
        <f t="shared" si="35"/>
        <v>0</v>
      </c>
      <c r="K457" s="2" t="str">
        <f t="shared" si="32"/>
        <v xml:space="preserve"> </v>
      </c>
      <c r="L457" s="2" t="str">
        <f t="shared" si="33"/>
        <v xml:space="preserve"> </v>
      </c>
      <c r="M457" s="2" t="str">
        <f t="shared" si="34"/>
        <v xml:space="preserve"> </v>
      </c>
    </row>
    <row r="458" spans="1:13" x14ac:dyDescent="0.25">
      <c r="A458" s="43" t="str">
        <f t="shared" si="31"/>
        <v xml:space="preserve"> </v>
      </c>
      <c r="D458" s="42"/>
      <c r="E458" s="42"/>
      <c r="J458" s="17">
        <f t="shared" si="35"/>
        <v>0</v>
      </c>
      <c r="K458" s="2" t="str">
        <f t="shared" si="32"/>
        <v xml:space="preserve"> </v>
      </c>
      <c r="L458" s="2" t="str">
        <f t="shared" si="33"/>
        <v xml:space="preserve"> </v>
      </c>
      <c r="M458" s="2" t="str">
        <f t="shared" si="34"/>
        <v xml:space="preserve"> </v>
      </c>
    </row>
    <row r="459" spans="1:13" x14ac:dyDescent="0.25">
      <c r="A459" s="43" t="str">
        <f t="shared" si="31"/>
        <v xml:space="preserve"> </v>
      </c>
      <c r="D459" s="42"/>
      <c r="E459" s="42"/>
      <c r="J459" s="17">
        <f t="shared" si="35"/>
        <v>0</v>
      </c>
      <c r="K459" s="2" t="str">
        <f t="shared" si="32"/>
        <v xml:space="preserve"> </v>
      </c>
      <c r="L459" s="2" t="str">
        <f t="shared" si="33"/>
        <v xml:space="preserve"> </v>
      </c>
      <c r="M459" s="2" t="str">
        <f t="shared" si="34"/>
        <v xml:space="preserve"> </v>
      </c>
    </row>
    <row r="460" spans="1:13" x14ac:dyDescent="0.25">
      <c r="A460" s="43" t="str">
        <f t="shared" si="31"/>
        <v xml:space="preserve"> </v>
      </c>
      <c r="D460" s="42"/>
      <c r="E460" s="42"/>
      <c r="J460" s="17">
        <f t="shared" si="35"/>
        <v>0</v>
      </c>
      <c r="K460" s="2" t="str">
        <f t="shared" si="32"/>
        <v xml:space="preserve"> </v>
      </c>
      <c r="L460" s="2" t="str">
        <f t="shared" si="33"/>
        <v xml:space="preserve"> </v>
      </c>
      <c r="M460" s="2" t="str">
        <f t="shared" si="34"/>
        <v xml:space="preserve"> </v>
      </c>
    </row>
    <row r="461" spans="1:13" x14ac:dyDescent="0.25">
      <c r="A461" s="43" t="str">
        <f t="shared" si="31"/>
        <v xml:space="preserve"> </v>
      </c>
      <c r="D461" s="42"/>
      <c r="E461" s="42"/>
      <c r="J461" s="17">
        <f t="shared" si="35"/>
        <v>0</v>
      </c>
      <c r="K461" s="2" t="str">
        <f t="shared" si="32"/>
        <v xml:space="preserve"> </v>
      </c>
      <c r="L461" s="2" t="str">
        <f t="shared" si="33"/>
        <v xml:space="preserve"> </v>
      </c>
      <c r="M461" s="2" t="str">
        <f t="shared" si="34"/>
        <v xml:space="preserve"> </v>
      </c>
    </row>
    <row r="462" spans="1:13" x14ac:dyDescent="0.25">
      <c r="A462" s="43" t="str">
        <f t="shared" si="31"/>
        <v xml:space="preserve"> </v>
      </c>
      <c r="D462" s="42"/>
      <c r="E462" s="42"/>
      <c r="J462" s="17">
        <f t="shared" si="35"/>
        <v>0</v>
      </c>
      <c r="K462" s="2" t="str">
        <f t="shared" si="32"/>
        <v xml:space="preserve"> </v>
      </c>
      <c r="L462" s="2" t="str">
        <f t="shared" si="33"/>
        <v xml:space="preserve"> </v>
      </c>
      <c r="M462" s="2" t="str">
        <f t="shared" si="34"/>
        <v xml:space="preserve"> </v>
      </c>
    </row>
    <row r="463" spans="1:13" x14ac:dyDescent="0.25">
      <c r="A463" s="43" t="str">
        <f t="shared" ref="A463:A482" si="36">IF(COUNTIF(K463:M463,"ERROR")&gt;0,"ERROR"," ")</f>
        <v xml:space="preserve"> </v>
      </c>
      <c r="D463" s="42"/>
      <c r="E463" s="42"/>
      <c r="J463" s="17">
        <f t="shared" si="35"/>
        <v>0</v>
      </c>
      <c r="K463" s="2" t="str">
        <f t="shared" si="32"/>
        <v xml:space="preserve"> </v>
      </c>
      <c r="L463" s="2" t="str">
        <f t="shared" si="33"/>
        <v xml:space="preserve"> </v>
      </c>
      <c r="M463" s="2" t="str">
        <f t="shared" si="34"/>
        <v xml:space="preserve"> </v>
      </c>
    </row>
    <row r="464" spans="1:13" x14ac:dyDescent="0.25">
      <c r="A464" s="43" t="str">
        <f t="shared" si="36"/>
        <v xml:space="preserve"> </v>
      </c>
      <c r="D464" s="42"/>
      <c r="E464" s="42"/>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43" t="str">
        <f t="shared" si="36"/>
        <v xml:space="preserve"> </v>
      </c>
      <c r="D465" s="42"/>
      <c r="E465" s="42"/>
      <c r="J465" s="17">
        <f t="shared" si="35"/>
        <v>0</v>
      </c>
      <c r="K465" s="2" t="str">
        <f t="shared" si="37"/>
        <v xml:space="preserve"> </v>
      </c>
      <c r="L465" s="2" t="str">
        <f t="shared" si="38"/>
        <v xml:space="preserve"> </v>
      </c>
      <c r="M465" s="2" t="str">
        <f t="shared" si="39"/>
        <v xml:space="preserve"> </v>
      </c>
    </row>
    <row r="466" spans="1:13" x14ac:dyDescent="0.25">
      <c r="A466" s="43" t="str">
        <f t="shared" si="36"/>
        <v xml:space="preserve"> </v>
      </c>
      <c r="D466" s="42"/>
      <c r="E466" s="42"/>
      <c r="J466" s="17">
        <f t="shared" si="35"/>
        <v>0</v>
      </c>
      <c r="K466" s="2" t="str">
        <f t="shared" si="37"/>
        <v xml:space="preserve"> </v>
      </c>
      <c r="L466" s="2" t="str">
        <f t="shared" si="38"/>
        <v xml:space="preserve"> </v>
      </c>
      <c r="M466" s="2" t="str">
        <f t="shared" si="39"/>
        <v xml:space="preserve"> </v>
      </c>
    </row>
    <row r="467" spans="1:13" x14ac:dyDescent="0.25">
      <c r="A467" s="43" t="str">
        <f t="shared" si="36"/>
        <v xml:space="preserve"> </v>
      </c>
      <c r="D467" s="42"/>
      <c r="E467" s="42"/>
      <c r="J467" s="17">
        <f t="shared" si="35"/>
        <v>0</v>
      </c>
      <c r="K467" s="2" t="str">
        <f t="shared" si="37"/>
        <v xml:space="preserve"> </v>
      </c>
      <c r="L467" s="2" t="str">
        <f t="shared" si="38"/>
        <v xml:space="preserve"> </v>
      </c>
      <c r="M467" s="2" t="str">
        <f t="shared" si="39"/>
        <v xml:space="preserve"> </v>
      </c>
    </row>
    <row r="468" spans="1:13" x14ac:dyDescent="0.25">
      <c r="A468" s="43" t="str">
        <f t="shared" si="36"/>
        <v xml:space="preserve"> </v>
      </c>
      <c r="D468" s="42"/>
      <c r="E468" s="42"/>
      <c r="J468" s="17">
        <f t="shared" si="35"/>
        <v>0</v>
      </c>
      <c r="K468" s="2" t="str">
        <f t="shared" si="37"/>
        <v xml:space="preserve"> </v>
      </c>
      <c r="L468" s="2" t="str">
        <f t="shared" si="38"/>
        <v xml:space="preserve"> </v>
      </c>
      <c r="M468" s="2" t="str">
        <f t="shared" si="39"/>
        <v xml:space="preserve"> </v>
      </c>
    </row>
    <row r="469" spans="1:13" x14ac:dyDescent="0.25">
      <c r="A469" s="43" t="str">
        <f t="shared" si="36"/>
        <v xml:space="preserve"> </v>
      </c>
      <c r="D469" s="42"/>
      <c r="E469" s="42"/>
      <c r="J469" s="17">
        <f t="shared" si="35"/>
        <v>0</v>
      </c>
      <c r="K469" s="2" t="str">
        <f t="shared" si="37"/>
        <v xml:space="preserve"> </v>
      </c>
      <c r="L469" s="2" t="str">
        <f t="shared" si="38"/>
        <v xml:space="preserve"> </v>
      </c>
      <c r="M469" s="2" t="str">
        <f t="shared" si="39"/>
        <v xml:space="preserve"> </v>
      </c>
    </row>
    <row r="470" spans="1:13" x14ac:dyDescent="0.25">
      <c r="A470" s="43" t="str">
        <f t="shared" si="36"/>
        <v xml:space="preserve"> </v>
      </c>
      <c r="D470" s="42"/>
      <c r="E470" s="42"/>
      <c r="J470" s="17">
        <f t="shared" si="35"/>
        <v>0</v>
      </c>
      <c r="K470" s="2" t="str">
        <f t="shared" si="37"/>
        <v xml:space="preserve"> </v>
      </c>
      <c r="L470" s="2" t="str">
        <f t="shared" si="38"/>
        <v xml:space="preserve"> </v>
      </c>
      <c r="M470" s="2" t="str">
        <f t="shared" si="39"/>
        <v xml:space="preserve"> </v>
      </c>
    </row>
    <row r="471" spans="1:13" x14ac:dyDescent="0.25">
      <c r="A471" s="43" t="str">
        <f t="shared" si="36"/>
        <v xml:space="preserve"> </v>
      </c>
      <c r="D471" s="42"/>
      <c r="E471" s="42"/>
      <c r="J471" s="17">
        <f t="shared" si="35"/>
        <v>0</v>
      </c>
      <c r="K471" s="2" t="str">
        <f t="shared" si="37"/>
        <v xml:space="preserve"> </v>
      </c>
      <c r="L471" s="2" t="str">
        <f t="shared" si="38"/>
        <v xml:space="preserve"> </v>
      </c>
      <c r="M471" s="2" t="str">
        <f t="shared" si="39"/>
        <v xml:space="preserve"> </v>
      </c>
    </row>
    <row r="472" spans="1:13" x14ac:dyDescent="0.25">
      <c r="A472" s="43" t="str">
        <f t="shared" si="36"/>
        <v xml:space="preserve"> </v>
      </c>
      <c r="D472" s="42"/>
      <c r="E472" s="42"/>
      <c r="J472" s="17">
        <f t="shared" si="35"/>
        <v>0</v>
      </c>
      <c r="K472" s="2" t="str">
        <f t="shared" si="37"/>
        <v xml:space="preserve"> </v>
      </c>
      <c r="L472" s="2" t="str">
        <f t="shared" si="38"/>
        <v xml:space="preserve"> </v>
      </c>
      <c r="M472" s="2" t="str">
        <f t="shared" si="39"/>
        <v xml:space="preserve"> </v>
      </c>
    </row>
    <row r="473" spans="1:13" x14ac:dyDescent="0.25">
      <c r="A473" s="43" t="str">
        <f t="shared" si="36"/>
        <v xml:space="preserve"> </v>
      </c>
      <c r="D473" s="42"/>
      <c r="E473" s="42"/>
      <c r="J473" s="17">
        <f t="shared" si="35"/>
        <v>0</v>
      </c>
      <c r="K473" s="2" t="str">
        <f t="shared" si="37"/>
        <v xml:space="preserve"> </v>
      </c>
      <c r="L473" s="2" t="str">
        <f t="shared" si="38"/>
        <v xml:space="preserve"> </v>
      </c>
      <c r="M473" s="2" t="str">
        <f t="shared" si="39"/>
        <v xml:space="preserve"> </v>
      </c>
    </row>
    <row r="474" spans="1:13" x14ac:dyDescent="0.25">
      <c r="A474" s="43" t="str">
        <f t="shared" si="36"/>
        <v xml:space="preserve"> </v>
      </c>
      <c r="D474" s="42"/>
      <c r="E474" s="42"/>
      <c r="J474" s="17">
        <f t="shared" si="35"/>
        <v>0</v>
      </c>
      <c r="K474" s="2" t="str">
        <f t="shared" si="37"/>
        <v xml:space="preserve"> </v>
      </c>
      <c r="L474" s="2" t="str">
        <f t="shared" si="38"/>
        <v xml:space="preserve"> </v>
      </c>
      <c r="M474" s="2" t="str">
        <f t="shared" si="39"/>
        <v xml:space="preserve"> </v>
      </c>
    </row>
    <row r="475" spans="1:13" x14ac:dyDescent="0.25">
      <c r="A475" s="43" t="str">
        <f t="shared" si="36"/>
        <v xml:space="preserve"> </v>
      </c>
      <c r="D475" s="42"/>
      <c r="E475" s="42"/>
      <c r="J475" s="17">
        <f t="shared" si="35"/>
        <v>0</v>
      </c>
      <c r="K475" s="2" t="str">
        <f t="shared" si="37"/>
        <v xml:space="preserve"> </v>
      </c>
      <c r="L475" s="2" t="str">
        <f t="shared" si="38"/>
        <v xml:space="preserve"> </v>
      </c>
      <c r="M475" s="2" t="str">
        <f t="shared" si="39"/>
        <v xml:space="preserve"> </v>
      </c>
    </row>
    <row r="476" spans="1:13" x14ac:dyDescent="0.25">
      <c r="A476" s="43" t="str">
        <f t="shared" si="36"/>
        <v xml:space="preserve"> </v>
      </c>
      <c r="D476" s="42"/>
      <c r="E476" s="42"/>
      <c r="J476" s="17">
        <f t="shared" si="35"/>
        <v>0</v>
      </c>
      <c r="K476" s="2" t="str">
        <f t="shared" si="37"/>
        <v xml:space="preserve"> </v>
      </c>
      <c r="L476" s="2" t="str">
        <f t="shared" si="38"/>
        <v xml:space="preserve"> </v>
      </c>
      <c r="M476" s="2" t="str">
        <f t="shared" si="39"/>
        <v xml:space="preserve"> </v>
      </c>
    </row>
    <row r="477" spans="1:13" x14ac:dyDescent="0.25">
      <c r="A477" s="43" t="str">
        <f t="shared" si="36"/>
        <v xml:space="preserve"> </v>
      </c>
      <c r="D477" s="42"/>
      <c r="E477" s="42"/>
      <c r="J477" s="17">
        <f t="shared" si="35"/>
        <v>0</v>
      </c>
      <c r="K477" s="2" t="str">
        <f t="shared" si="37"/>
        <v xml:space="preserve"> </v>
      </c>
      <c r="L477" s="2" t="str">
        <f t="shared" si="38"/>
        <v xml:space="preserve"> </v>
      </c>
      <c r="M477" s="2" t="str">
        <f t="shared" si="39"/>
        <v xml:space="preserve"> </v>
      </c>
    </row>
    <row r="478" spans="1:13" x14ac:dyDescent="0.25">
      <c r="A478" s="43" t="str">
        <f t="shared" si="36"/>
        <v xml:space="preserve"> </v>
      </c>
      <c r="D478" s="42"/>
      <c r="E478" s="42"/>
      <c r="J478" s="17">
        <f t="shared" si="35"/>
        <v>0</v>
      </c>
      <c r="K478" s="2" t="str">
        <f t="shared" si="37"/>
        <v xml:space="preserve"> </v>
      </c>
      <c r="L478" s="2" t="str">
        <f t="shared" si="38"/>
        <v xml:space="preserve"> </v>
      </c>
      <c r="M478" s="2" t="str">
        <f t="shared" si="39"/>
        <v xml:space="preserve"> </v>
      </c>
    </row>
    <row r="479" spans="1:13" x14ac:dyDescent="0.25">
      <c r="A479" s="43" t="str">
        <f t="shared" si="36"/>
        <v xml:space="preserve"> </v>
      </c>
      <c r="D479" s="42"/>
      <c r="E479" s="42"/>
      <c r="J479" s="17">
        <f t="shared" si="35"/>
        <v>0</v>
      </c>
      <c r="K479" s="2" t="str">
        <f t="shared" si="37"/>
        <v xml:space="preserve"> </v>
      </c>
      <c r="L479" s="2" t="str">
        <f t="shared" si="38"/>
        <v xml:space="preserve"> </v>
      </c>
      <c r="M479" s="2" t="str">
        <f t="shared" si="39"/>
        <v xml:space="preserve"> </v>
      </c>
    </row>
    <row r="480" spans="1:13" x14ac:dyDescent="0.25">
      <c r="A480" s="43" t="str">
        <f t="shared" si="36"/>
        <v xml:space="preserve"> </v>
      </c>
      <c r="D480" s="42"/>
      <c r="E480" s="42"/>
      <c r="J480" s="17">
        <f t="shared" si="35"/>
        <v>0</v>
      </c>
      <c r="K480" s="2" t="str">
        <f t="shared" si="37"/>
        <v xml:space="preserve"> </v>
      </c>
      <c r="L480" s="2" t="str">
        <f t="shared" si="38"/>
        <v xml:space="preserve"> </v>
      </c>
      <c r="M480" s="2" t="str">
        <f t="shared" si="39"/>
        <v xml:space="preserve"> </v>
      </c>
    </row>
    <row r="481" spans="1:13" x14ac:dyDescent="0.25">
      <c r="A481" s="43" t="str">
        <f t="shared" si="36"/>
        <v xml:space="preserve"> </v>
      </c>
      <c r="D481" s="42"/>
      <c r="E481" s="42"/>
      <c r="J481" s="17">
        <f t="shared" si="35"/>
        <v>0</v>
      </c>
      <c r="K481" s="2" t="str">
        <f t="shared" si="37"/>
        <v xml:space="preserve"> </v>
      </c>
      <c r="L481" s="2" t="str">
        <f t="shared" si="38"/>
        <v xml:space="preserve"> </v>
      </c>
      <c r="M481" s="2" t="str">
        <f t="shared" si="39"/>
        <v xml:space="preserve"> </v>
      </c>
    </row>
    <row r="482" spans="1:13" x14ac:dyDescent="0.25">
      <c r="A482" s="43" t="str">
        <f t="shared" si="36"/>
        <v xml:space="preserve"> </v>
      </c>
      <c r="D482" s="42"/>
      <c r="E482" s="42"/>
      <c r="J482" s="17">
        <f t="shared" si="35"/>
        <v>0</v>
      </c>
      <c r="K482" s="2" t="str">
        <f t="shared" si="37"/>
        <v xml:space="preserve"> </v>
      </c>
      <c r="L482" s="2" t="str">
        <f t="shared" si="38"/>
        <v xml:space="preserve"> </v>
      </c>
      <c r="M482" s="2" t="str">
        <f t="shared" si="39"/>
        <v xml:space="preserve"> </v>
      </c>
    </row>
    <row r="483" spans="1:13" x14ac:dyDescent="0.25">
      <c r="A483" s="43"/>
    </row>
    <row r="484" spans="1:13" ht="16.5" thickBot="1" x14ac:dyDescent="0.3">
      <c r="A484" s="43"/>
      <c r="F484" s="19">
        <f>SUM(F14:F483)</f>
        <v>0</v>
      </c>
      <c r="G484" s="19">
        <f>SUM(G14:G483)</f>
        <v>0</v>
      </c>
      <c r="H484" s="19">
        <f>SUM(H14:H483)</f>
        <v>0</v>
      </c>
      <c r="I484" s="19">
        <f>SUM(I14:I483)</f>
        <v>0</v>
      </c>
    </row>
    <row r="485" spans="1:13" ht="16.5" thickTop="1" x14ac:dyDescent="0.25">
      <c r="A485" s="43"/>
    </row>
    <row r="486" spans="1:13" x14ac:dyDescent="0.25">
      <c r="A486" s="43"/>
      <c r="C486" s="2" t="s">
        <v>354</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3"/>
    </row>
    <row r="2" spans="1:5" x14ac:dyDescent="0.2">
      <c r="A2" s="13"/>
    </row>
    <row r="3" spans="1:5" x14ac:dyDescent="0.2">
      <c r="A3" s="13"/>
      <c r="B3" s="13"/>
      <c r="C3" s="13"/>
      <c r="D3" s="13"/>
      <c r="E3" s="13"/>
    </row>
    <row r="4" spans="1:5" x14ac:dyDescent="0.2">
      <c r="A4" s="13"/>
      <c r="B4" s="13"/>
      <c r="C4" s="13"/>
      <c r="D4" s="13"/>
    </row>
    <row r="5" spans="1:5" x14ac:dyDescent="0.2">
      <c r="A5" s="13"/>
      <c r="B5" s="13"/>
      <c r="C5" s="13"/>
      <c r="D5" s="13"/>
    </row>
    <row r="6" spans="1:5" x14ac:dyDescent="0.2">
      <c r="A6" s="13"/>
      <c r="B6" s="13"/>
      <c r="C6" s="13"/>
      <c r="D6" s="13"/>
    </row>
    <row r="7" spans="1:5" x14ac:dyDescent="0.2">
      <c r="A7" s="13"/>
      <c r="B7" s="13"/>
      <c r="C7" s="13"/>
      <c r="D7" s="13"/>
    </row>
    <row r="8" spans="1:5" x14ac:dyDescent="0.2">
      <c r="A8" s="13"/>
      <c r="B8" s="13"/>
      <c r="C8" s="13"/>
    </row>
    <row r="9" spans="1:5" x14ac:dyDescent="0.2">
      <c r="A9" s="13"/>
      <c r="B9" s="13"/>
      <c r="C9" s="13"/>
    </row>
    <row r="10" spans="1:5" x14ac:dyDescent="0.2">
      <c r="A10" s="13"/>
      <c r="B10" s="13"/>
      <c r="C10" s="13"/>
    </row>
    <row r="11" spans="1:5" x14ac:dyDescent="0.2">
      <c r="A11" s="13"/>
      <c r="B11" s="13"/>
      <c r="C11" s="13"/>
    </row>
    <row r="12" spans="1:5" x14ac:dyDescent="0.2">
      <c r="A12" s="13"/>
      <c r="B12" s="13"/>
      <c r="C12" s="13"/>
    </row>
    <row r="13" spans="1:5" x14ac:dyDescent="0.2">
      <c r="A13" s="13"/>
      <c r="B13" s="13"/>
      <c r="C13" s="13"/>
    </row>
    <row r="14" spans="1:5" x14ac:dyDescent="0.2">
      <c r="A14" s="13"/>
      <c r="B14" s="13"/>
      <c r="C14" s="13"/>
      <c r="D14" s="13"/>
    </row>
    <row r="15" spans="1:5" x14ac:dyDescent="0.2">
      <c r="A15" s="13"/>
      <c r="B15" s="13"/>
      <c r="C15" s="13"/>
    </row>
    <row r="16" spans="1:5" x14ac:dyDescent="0.2">
      <c r="A16" s="13"/>
      <c r="B16" s="13"/>
      <c r="C16" s="13"/>
    </row>
    <row r="17" spans="1:4" x14ac:dyDescent="0.2">
      <c r="A17" s="13"/>
      <c r="B17" s="13"/>
      <c r="C17" s="13"/>
    </row>
    <row r="18" spans="1:4" x14ac:dyDescent="0.2">
      <c r="A18" s="13"/>
      <c r="B18" s="13"/>
      <c r="C18" s="13"/>
    </row>
    <row r="19" spans="1:4" x14ac:dyDescent="0.2">
      <c r="A19" s="13"/>
      <c r="B19" s="13"/>
      <c r="C19" s="13"/>
    </row>
    <row r="20" spans="1:4" x14ac:dyDescent="0.2">
      <c r="A20" s="13"/>
      <c r="B20" s="13"/>
      <c r="C20" s="13"/>
      <c r="D20" s="13"/>
    </row>
    <row r="21" spans="1:4" x14ac:dyDescent="0.2">
      <c r="A21" s="13"/>
      <c r="B21" s="13"/>
      <c r="C21" s="13"/>
    </row>
    <row r="22" spans="1:4" x14ac:dyDescent="0.2">
      <c r="A22" s="13"/>
      <c r="B22" s="13"/>
      <c r="C22" s="13"/>
    </row>
    <row r="23" spans="1:4" x14ac:dyDescent="0.2">
      <c r="A23" s="13"/>
      <c r="B23" s="13"/>
      <c r="C23" s="13"/>
    </row>
    <row r="24" spans="1:4" x14ac:dyDescent="0.2">
      <c r="A24" s="13"/>
      <c r="B24" s="13"/>
      <c r="C24" s="13"/>
    </row>
    <row r="25" spans="1:4" x14ac:dyDescent="0.2">
      <c r="A25" s="13"/>
      <c r="B25" s="13"/>
      <c r="C25" s="13"/>
    </row>
    <row r="26" spans="1:4" x14ac:dyDescent="0.2">
      <c r="A26" s="13"/>
      <c r="B26" s="13"/>
      <c r="C26" s="13"/>
    </row>
    <row r="27" spans="1:4" x14ac:dyDescent="0.2">
      <c r="A27" s="13"/>
      <c r="B27" s="13"/>
      <c r="C27" s="13"/>
    </row>
    <row r="28" spans="1:4" x14ac:dyDescent="0.2">
      <c r="A28" s="13"/>
      <c r="B28" s="13"/>
      <c r="C28" s="13"/>
    </row>
    <row r="29" spans="1:4" x14ac:dyDescent="0.2">
      <c r="A29" s="13"/>
      <c r="B29" s="13"/>
      <c r="C29" s="13"/>
    </row>
    <row r="30" spans="1:4" x14ac:dyDescent="0.2">
      <c r="A30" s="13"/>
      <c r="B30" s="13"/>
      <c r="C30" s="13"/>
    </row>
    <row r="31" spans="1:4" x14ac:dyDescent="0.2">
      <c r="A31" s="13"/>
      <c r="B31" s="13"/>
      <c r="C31" s="13"/>
    </row>
    <row r="32" spans="1:4" x14ac:dyDescent="0.2">
      <c r="A32" s="13"/>
      <c r="B32" s="13"/>
      <c r="C32" s="13"/>
    </row>
    <row r="33" spans="1:4" x14ac:dyDescent="0.2">
      <c r="A33" s="13"/>
      <c r="B33" s="13"/>
      <c r="C33" s="13"/>
    </row>
    <row r="34" spans="1:4" x14ac:dyDescent="0.2">
      <c r="A34" s="13"/>
      <c r="B34" s="13"/>
      <c r="C34" s="13"/>
    </row>
    <row r="35" spans="1:4" x14ac:dyDescent="0.2">
      <c r="A35" s="13"/>
      <c r="B35" s="13"/>
      <c r="C35" s="13"/>
    </row>
    <row r="36" spans="1:4" x14ac:dyDescent="0.2">
      <c r="A36" s="13"/>
      <c r="B36" s="13"/>
      <c r="C36" s="13"/>
    </row>
    <row r="37" spans="1:4" x14ac:dyDescent="0.2">
      <c r="A37" s="13"/>
      <c r="B37" s="13"/>
      <c r="C37" s="13"/>
      <c r="D37" s="13"/>
    </row>
    <row r="38" spans="1:4" x14ac:dyDescent="0.2">
      <c r="A38" s="13"/>
      <c r="B38" s="13"/>
      <c r="C38" s="13"/>
      <c r="D38" s="13"/>
    </row>
    <row r="39" spans="1:4" x14ac:dyDescent="0.2">
      <c r="A39" s="13"/>
      <c r="B39" s="13"/>
      <c r="C39" s="13"/>
      <c r="D39" s="13"/>
    </row>
    <row r="40" spans="1:4" x14ac:dyDescent="0.2">
      <c r="A40" s="13"/>
      <c r="B40" s="13"/>
      <c r="C40" s="13"/>
      <c r="D40" s="13"/>
    </row>
    <row r="41" spans="1:4" x14ac:dyDescent="0.2">
      <c r="A41" s="13"/>
      <c r="B41" s="13"/>
      <c r="C41" s="13"/>
    </row>
    <row r="42" spans="1:4" x14ac:dyDescent="0.2">
      <c r="A42" s="13"/>
      <c r="B42" s="13"/>
      <c r="C42" s="13"/>
    </row>
    <row r="43" spans="1:4" x14ac:dyDescent="0.2">
      <c r="A43" s="13"/>
      <c r="B43" s="13"/>
      <c r="C43" s="13"/>
      <c r="D43" s="13"/>
    </row>
    <row r="44" spans="1:4" x14ac:dyDescent="0.2">
      <c r="A44" s="13"/>
      <c r="B44" s="13"/>
      <c r="C44" s="13"/>
    </row>
    <row r="45" spans="1:4" x14ac:dyDescent="0.2">
      <c r="A45" s="13"/>
      <c r="B45" s="13"/>
      <c r="C45" s="13"/>
    </row>
    <row r="46" spans="1:4" x14ac:dyDescent="0.2">
      <c r="A46" s="13"/>
      <c r="B46" s="13"/>
      <c r="C46" s="13"/>
      <c r="D46" s="13"/>
    </row>
    <row r="47" spans="1:4" x14ac:dyDescent="0.2">
      <c r="A47" s="13"/>
      <c r="B47" s="13"/>
      <c r="C47" s="13"/>
      <c r="D47" s="13"/>
    </row>
    <row r="48" spans="1:4" x14ac:dyDescent="0.2">
      <c r="A48" s="13"/>
      <c r="B48" s="13"/>
      <c r="C48" s="13"/>
    </row>
    <row r="49" spans="1:4" x14ac:dyDescent="0.2">
      <c r="A49" s="13"/>
      <c r="B49" s="13"/>
      <c r="C49" s="13"/>
    </row>
    <row r="50" spans="1:4" x14ac:dyDescent="0.2">
      <c r="A50" s="13"/>
      <c r="B50" s="13"/>
      <c r="C50" s="13"/>
      <c r="D50" s="13"/>
    </row>
    <row r="51" spans="1:4" x14ac:dyDescent="0.2">
      <c r="A51" s="13"/>
      <c r="B51" s="13"/>
      <c r="C51" s="13"/>
    </row>
    <row r="52" spans="1:4" x14ac:dyDescent="0.2">
      <c r="A52" s="13"/>
      <c r="B52" s="13"/>
      <c r="C52" s="13"/>
    </row>
    <row r="53" spans="1:4" x14ac:dyDescent="0.2">
      <c r="A53" s="13"/>
      <c r="B53" s="13"/>
      <c r="C53" s="13"/>
      <c r="D53" s="13"/>
    </row>
    <row r="54" spans="1:4" x14ac:dyDescent="0.2">
      <c r="A54" s="13"/>
      <c r="B54" s="13"/>
      <c r="C54" s="13"/>
      <c r="D54" s="13"/>
    </row>
    <row r="55" spans="1:4" x14ac:dyDescent="0.2">
      <c r="A55" s="13"/>
      <c r="B55" s="13"/>
      <c r="C55" s="13"/>
    </row>
    <row r="56" spans="1:4" x14ac:dyDescent="0.2">
      <c r="A56" s="13"/>
      <c r="B56" s="13"/>
      <c r="C56" s="13"/>
      <c r="D56" s="13"/>
    </row>
    <row r="57" spans="1:4" x14ac:dyDescent="0.2">
      <c r="A57" s="13"/>
      <c r="B57" s="13"/>
      <c r="C57" s="13"/>
    </row>
    <row r="58" spans="1:4" x14ac:dyDescent="0.2">
      <c r="A58" s="13"/>
      <c r="B58" s="13"/>
      <c r="C58" s="13"/>
      <c r="D58" s="13"/>
    </row>
    <row r="59" spans="1:4" x14ac:dyDescent="0.2">
      <c r="A59" s="13"/>
      <c r="B59" s="13"/>
      <c r="C59" s="13"/>
    </row>
    <row r="60" spans="1:4" x14ac:dyDescent="0.2">
      <c r="A60" s="13"/>
      <c r="B60" s="13"/>
      <c r="C60" s="13"/>
      <c r="D60" s="13"/>
    </row>
    <row r="61" spans="1:4" x14ac:dyDescent="0.2">
      <c r="A61" s="13"/>
      <c r="B61" s="13"/>
      <c r="C61" s="13"/>
    </row>
    <row r="62" spans="1:4" x14ac:dyDescent="0.2">
      <c r="A62" s="13"/>
      <c r="B62" s="13"/>
      <c r="C62" s="13"/>
    </row>
    <row r="63" spans="1:4" x14ac:dyDescent="0.2">
      <c r="A63" s="13"/>
      <c r="B63" s="13"/>
      <c r="C63" s="13"/>
    </row>
    <row r="64" spans="1:4" x14ac:dyDescent="0.2">
      <c r="A64" s="13"/>
      <c r="B64" s="13"/>
      <c r="C64" s="13"/>
      <c r="D64" s="13"/>
    </row>
    <row r="65" spans="1:4" x14ac:dyDescent="0.2">
      <c r="A65" s="13"/>
      <c r="B65" s="13"/>
      <c r="C65" s="13"/>
      <c r="D65" s="13"/>
    </row>
    <row r="66" spans="1:4" x14ac:dyDescent="0.2">
      <c r="A66" s="13"/>
      <c r="B66" s="13"/>
      <c r="C66" s="13"/>
    </row>
    <row r="67" spans="1:4" x14ac:dyDescent="0.2">
      <c r="A67" s="13"/>
      <c r="B67" s="13"/>
      <c r="C67" s="13"/>
    </row>
    <row r="68" spans="1:4" x14ac:dyDescent="0.2">
      <c r="A68" s="13"/>
      <c r="B68" s="13"/>
      <c r="C68" s="13"/>
      <c r="D68" s="13"/>
    </row>
    <row r="69" spans="1:4" x14ac:dyDescent="0.2">
      <c r="A69" s="13"/>
      <c r="B69" s="13"/>
      <c r="C69" s="13"/>
      <c r="D69" s="13"/>
    </row>
    <row r="70" spans="1:4" x14ac:dyDescent="0.2">
      <c r="A70" s="13"/>
      <c r="B70" s="13"/>
      <c r="C70" s="13"/>
    </row>
    <row r="71" spans="1:4" x14ac:dyDescent="0.2">
      <c r="A71" s="13"/>
      <c r="B71" s="13"/>
      <c r="C71" s="13"/>
    </row>
    <row r="72" spans="1:4" x14ac:dyDescent="0.2">
      <c r="A72" s="13"/>
      <c r="B72" s="13"/>
      <c r="C72" s="13"/>
      <c r="D72" s="13"/>
    </row>
    <row r="73" spans="1:4" x14ac:dyDescent="0.2">
      <c r="A73" s="13"/>
      <c r="B73" s="13"/>
      <c r="C73" s="13"/>
    </row>
    <row r="74" spans="1:4" x14ac:dyDescent="0.2">
      <c r="A74" s="13"/>
      <c r="B74" s="13"/>
      <c r="C74" s="13"/>
    </row>
    <row r="75" spans="1:4" x14ac:dyDescent="0.2">
      <c r="A75" s="13"/>
      <c r="B75" s="13"/>
      <c r="C75" s="13"/>
    </row>
    <row r="76" spans="1:4" x14ac:dyDescent="0.2">
      <c r="A76" s="13"/>
      <c r="B76" s="13"/>
      <c r="C76" s="13"/>
    </row>
    <row r="77" spans="1:4" x14ac:dyDescent="0.2">
      <c r="A77" s="13"/>
      <c r="B77" s="13"/>
      <c r="C77" s="13"/>
    </row>
    <row r="78" spans="1:4" x14ac:dyDescent="0.2">
      <c r="A78" s="13"/>
      <c r="B78" s="13"/>
      <c r="C78" s="13"/>
    </row>
    <row r="79" spans="1:4" x14ac:dyDescent="0.2">
      <c r="A79" s="13"/>
      <c r="B79" s="13"/>
      <c r="C79" s="13"/>
    </row>
    <row r="80" spans="1:4" x14ac:dyDescent="0.2">
      <c r="A80" s="13"/>
      <c r="B80" s="13"/>
      <c r="C80" s="13"/>
    </row>
    <row r="81" spans="1:4" x14ac:dyDescent="0.2">
      <c r="A81" s="13"/>
      <c r="B81" s="13"/>
      <c r="C81" s="13"/>
    </row>
    <row r="82" spans="1:4" x14ac:dyDescent="0.2">
      <c r="A82" s="13"/>
      <c r="B82" s="13"/>
      <c r="C82" s="13"/>
      <c r="D82" s="13"/>
    </row>
    <row r="83" spans="1:4" x14ac:dyDescent="0.2">
      <c r="A83" s="13"/>
      <c r="B83" s="13"/>
      <c r="C83" s="13"/>
      <c r="D83" s="13"/>
    </row>
    <row r="84" spans="1:4" x14ac:dyDescent="0.2">
      <c r="A84" s="13"/>
      <c r="B84" s="13"/>
      <c r="C84" s="13"/>
      <c r="D84" s="13"/>
    </row>
    <row r="85" spans="1:4" x14ac:dyDescent="0.2">
      <c r="A85" s="13"/>
      <c r="B85" s="13"/>
      <c r="C85" s="13"/>
    </row>
    <row r="86" spans="1:4" x14ac:dyDescent="0.2">
      <c r="A86" s="13"/>
      <c r="B86" s="13"/>
      <c r="C86" s="13"/>
    </row>
    <row r="87" spans="1:4" x14ac:dyDescent="0.2">
      <c r="A87" s="13"/>
      <c r="B87" s="13"/>
      <c r="C87" s="13"/>
      <c r="D87" s="13"/>
    </row>
    <row r="88" spans="1:4" x14ac:dyDescent="0.2">
      <c r="A88" s="13"/>
      <c r="B88" s="13"/>
      <c r="C88" s="13"/>
      <c r="D88" s="13"/>
    </row>
    <row r="89" spans="1:4" x14ac:dyDescent="0.2">
      <c r="A89" s="13"/>
      <c r="B89" s="13"/>
      <c r="C89" s="13"/>
    </row>
    <row r="90" spans="1:4" x14ac:dyDescent="0.2">
      <c r="A90" s="13"/>
      <c r="B90" s="13"/>
      <c r="C90" s="13"/>
    </row>
    <row r="91" spans="1:4" x14ac:dyDescent="0.2">
      <c r="A91" s="13"/>
      <c r="B91" s="13"/>
      <c r="C91" s="13"/>
    </row>
    <row r="92" spans="1:4" x14ac:dyDescent="0.2">
      <c r="A92" s="13"/>
      <c r="B92" s="13"/>
      <c r="C92" s="13"/>
      <c r="D92" s="13"/>
    </row>
    <row r="93" spans="1:4" x14ac:dyDescent="0.2">
      <c r="A93" s="13"/>
      <c r="B93" s="13"/>
      <c r="C93" s="13"/>
    </row>
    <row r="94" spans="1:4" x14ac:dyDescent="0.2">
      <c r="A94" s="13"/>
      <c r="B94" s="13"/>
      <c r="C94" s="13"/>
    </row>
    <row r="95" spans="1:4" x14ac:dyDescent="0.2">
      <c r="A95" s="13"/>
      <c r="B95" s="13"/>
      <c r="C95" s="13"/>
      <c r="D95" s="13"/>
    </row>
    <row r="96" spans="1:4" x14ac:dyDescent="0.2">
      <c r="A96" s="13"/>
      <c r="B96" s="13"/>
      <c r="C96" s="13"/>
      <c r="D96" s="13"/>
    </row>
    <row r="97" spans="1:9" x14ac:dyDescent="0.2">
      <c r="A97" s="13"/>
      <c r="B97" s="13"/>
      <c r="C97" s="13"/>
    </row>
    <row r="98" spans="1:9" x14ac:dyDescent="0.2">
      <c r="A98" s="13"/>
      <c r="B98" s="13"/>
      <c r="C98" s="13"/>
    </row>
    <row r="99" spans="1:9" x14ac:dyDescent="0.2">
      <c r="A99" s="13"/>
      <c r="B99" s="13"/>
      <c r="C99" s="13"/>
    </row>
    <row r="100" spans="1:9" x14ac:dyDescent="0.2">
      <c r="A100" s="13"/>
      <c r="B100" s="13"/>
      <c r="C100" s="13"/>
    </row>
    <row r="101" spans="1:9" x14ac:dyDescent="0.2">
      <c r="A101" s="13"/>
      <c r="B101" s="13"/>
      <c r="C101" s="13"/>
    </row>
    <row r="102" spans="1:9" x14ac:dyDescent="0.2">
      <c r="A102" s="13"/>
      <c r="B102" s="13"/>
      <c r="C102" s="13"/>
      <c r="D102" s="13"/>
      <c r="G102" s="13"/>
      <c r="H102" s="13"/>
      <c r="I102" s="13"/>
    </row>
    <row r="103" spans="1:9" x14ac:dyDescent="0.2">
      <c r="A103" s="13"/>
      <c r="B103" s="13"/>
      <c r="C103" s="13"/>
      <c r="G103" s="13"/>
      <c r="H103" s="13"/>
    </row>
    <row r="104" spans="1:9" x14ac:dyDescent="0.2">
      <c r="A104" s="13"/>
      <c r="B104" s="13"/>
      <c r="C104" s="13"/>
      <c r="G104" s="13"/>
      <c r="H104" s="13"/>
    </row>
    <row r="105" spans="1:9" x14ac:dyDescent="0.2">
      <c r="A105" s="13"/>
      <c r="B105" s="13"/>
      <c r="C105" s="13"/>
      <c r="G105" s="13"/>
      <c r="H105" s="13"/>
    </row>
    <row r="106" spans="1:9" x14ac:dyDescent="0.2">
      <c r="A106" s="13"/>
      <c r="B106" s="13"/>
      <c r="C106" s="13"/>
      <c r="G106" s="13"/>
      <c r="H106" s="13"/>
    </row>
    <row r="107" spans="1:9" x14ac:dyDescent="0.2">
      <c r="A107" s="13"/>
      <c r="B107" s="13"/>
      <c r="C107" s="13"/>
      <c r="G107" s="13"/>
      <c r="H107" s="13"/>
    </row>
    <row r="108" spans="1:9" x14ac:dyDescent="0.2">
      <c r="A108" s="13"/>
      <c r="B108" s="13"/>
      <c r="C108" s="13"/>
      <c r="G108" s="13"/>
      <c r="H108" s="13"/>
    </row>
    <row r="109" spans="1:9" x14ac:dyDescent="0.2">
      <c r="A109" s="13"/>
      <c r="B109" s="13"/>
      <c r="C109" s="13"/>
      <c r="G109" s="13"/>
      <c r="H109" s="13"/>
    </row>
    <row r="110" spans="1:9" x14ac:dyDescent="0.2">
      <c r="A110" s="13"/>
      <c r="B110" s="13"/>
      <c r="C110" s="13"/>
      <c r="G110" s="13"/>
      <c r="H110" s="13"/>
    </row>
    <row r="111" spans="1:9" x14ac:dyDescent="0.2">
      <c r="A111" s="13"/>
      <c r="B111" s="13"/>
      <c r="C111" s="13"/>
      <c r="G111" s="13"/>
      <c r="H111" s="13"/>
    </row>
    <row r="112" spans="1:9" x14ac:dyDescent="0.2">
      <c r="A112" s="13"/>
      <c r="B112" s="13"/>
      <c r="C112" s="13"/>
      <c r="G112" s="13"/>
      <c r="H112" s="13"/>
    </row>
    <row r="113" spans="1:9" x14ac:dyDescent="0.2">
      <c r="A113" s="13"/>
      <c r="B113" s="13"/>
      <c r="C113" s="13"/>
      <c r="D113" s="13"/>
      <c r="G113" s="13"/>
      <c r="H113" s="13"/>
      <c r="I113" s="13"/>
    </row>
    <row r="114" spans="1:9" x14ac:dyDescent="0.2">
      <c r="A114" s="13"/>
      <c r="B114" s="13"/>
      <c r="C114" s="13"/>
      <c r="G114" s="13"/>
      <c r="H114" s="13"/>
    </row>
    <row r="115" spans="1:9" x14ac:dyDescent="0.2">
      <c r="A115" s="13"/>
      <c r="B115" s="13"/>
      <c r="C115" s="13"/>
      <c r="G115" s="13"/>
      <c r="H115" s="13"/>
    </row>
    <row r="116" spans="1:9" x14ac:dyDescent="0.2">
      <c r="A116" s="13"/>
      <c r="B116" s="13"/>
      <c r="C116" s="13"/>
      <c r="D116" s="13"/>
      <c r="G116" s="13"/>
      <c r="H116" s="13"/>
      <c r="I116" s="13"/>
    </row>
    <row r="117" spans="1:9" x14ac:dyDescent="0.2">
      <c r="A117" s="13"/>
      <c r="B117" s="13"/>
      <c r="C117" s="13"/>
      <c r="G117" s="13"/>
      <c r="H117" s="13"/>
    </row>
    <row r="118" spans="1:9" x14ac:dyDescent="0.2">
      <c r="A118" s="13"/>
      <c r="B118" s="13"/>
      <c r="C118" s="13"/>
      <c r="G118" s="13"/>
      <c r="H118" s="13"/>
    </row>
    <row r="119" spans="1:9" x14ac:dyDescent="0.2">
      <c r="A119" s="13"/>
      <c r="B119" s="13"/>
      <c r="C119" s="13"/>
      <c r="G119" s="13"/>
      <c r="H119" s="13"/>
    </row>
    <row r="120" spans="1:9" x14ac:dyDescent="0.2">
      <c r="A120" s="13"/>
      <c r="B120" s="13"/>
      <c r="C120" s="13"/>
      <c r="G120" s="13"/>
      <c r="H120" s="13"/>
    </row>
    <row r="121" spans="1:9" x14ac:dyDescent="0.2">
      <c r="A121" s="13"/>
      <c r="B121" s="13"/>
      <c r="C121" s="13"/>
      <c r="G121" s="13"/>
      <c r="H121" s="13"/>
    </row>
    <row r="122" spans="1:9" x14ac:dyDescent="0.2">
      <c r="A122" s="13"/>
      <c r="B122" s="13"/>
      <c r="C122" s="13"/>
      <c r="G122" s="13"/>
      <c r="H122" s="13"/>
    </row>
    <row r="123" spans="1:9" x14ac:dyDescent="0.2">
      <c r="A123" s="13"/>
      <c r="B123" s="13"/>
      <c r="C123" s="13"/>
      <c r="G123" s="13"/>
      <c r="H123" s="13"/>
    </row>
    <row r="124" spans="1:9" x14ac:dyDescent="0.2">
      <c r="A124" s="13"/>
      <c r="B124" s="13"/>
      <c r="C124" s="13"/>
      <c r="D124" s="13"/>
      <c r="G124" s="13"/>
      <c r="H124" s="13"/>
      <c r="I124" s="13"/>
    </row>
    <row r="125" spans="1:9" x14ac:dyDescent="0.2">
      <c r="A125" s="13"/>
      <c r="B125" s="13"/>
      <c r="C125" s="13"/>
      <c r="G125" s="13"/>
      <c r="H125" s="13"/>
    </row>
    <row r="126" spans="1:9" x14ac:dyDescent="0.2">
      <c r="A126" s="13"/>
      <c r="B126" s="13"/>
      <c r="C126" s="13"/>
      <c r="D126" s="13"/>
      <c r="G126" s="13"/>
      <c r="H126" s="13"/>
      <c r="I126" s="13"/>
    </row>
    <row r="127" spans="1:9" x14ac:dyDescent="0.2">
      <c r="A127" s="13"/>
      <c r="B127" s="13"/>
      <c r="C127" s="13"/>
      <c r="G127" s="13"/>
      <c r="H127" s="13"/>
    </row>
    <row r="128" spans="1:9" x14ac:dyDescent="0.2">
      <c r="A128" s="13"/>
      <c r="B128" s="13"/>
      <c r="C128" s="13"/>
      <c r="D128" s="13"/>
      <c r="G128" s="13"/>
      <c r="H128" s="13"/>
      <c r="I128" s="13"/>
    </row>
    <row r="129" spans="1:9" x14ac:dyDescent="0.2">
      <c r="A129" s="13"/>
      <c r="B129" s="13"/>
      <c r="C129" s="13"/>
      <c r="G129" s="13"/>
      <c r="H129" s="13"/>
    </row>
    <row r="130" spans="1:9" x14ac:dyDescent="0.2">
      <c r="A130" s="13"/>
      <c r="B130" s="13"/>
      <c r="C130" s="13"/>
      <c r="D130" s="13"/>
      <c r="G130" s="13"/>
      <c r="H130" s="13"/>
      <c r="I130" s="13"/>
    </row>
    <row r="131" spans="1:9" x14ac:dyDescent="0.2">
      <c r="A131" s="13"/>
      <c r="B131" s="13"/>
      <c r="C131" s="13"/>
      <c r="G131" s="13"/>
      <c r="H131" s="13"/>
    </row>
    <row r="132" spans="1:9" x14ac:dyDescent="0.2">
      <c r="A132" s="13"/>
      <c r="B132" s="13"/>
      <c r="C132" s="13"/>
      <c r="D132" s="13"/>
      <c r="G132" s="13"/>
      <c r="H132" s="13"/>
      <c r="I132" s="13"/>
    </row>
    <row r="133" spans="1:9" x14ac:dyDescent="0.2">
      <c r="A133" s="13"/>
      <c r="B133" s="13"/>
      <c r="C133" s="13"/>
      <c r="D133" s="13"/>
      <c r="G133" s="13"/>
      <c r="H133" s="13"/>
      <c r="I133" s="13"/>
    </row>
    <row r="134" spans="1:9" x14ac:dyDescent="0.2">
      <c r="A134" s="13"/>
      <c r="B134" s="13"/>
      <c r="C134" s="13"/>
      <c r="G134" s="13"/>
      <c r="H134" s="13"/>
    </row>
    <row r="135" spans="1:9" x14ac:dyDescent="0.2">
      <c r="A135" s="13"/>
      <c r="B135" s="13"/>
      <c r="C135" s="13"/>
      <c r="D135" s="13"/>
      <c r="G135" s="13"/>
      <c r="H135" s="13"/>
      <c r="I135" s="13"/>
    </row>
    <row r="136" spans="1:9" x14ac:dyDescent="0.2">
      <c r="A136" s="13"/>
      <c r="B136" s="13"/>
      <c r="C136" s="13"/>
      <c r="G136" s="13"/>
      <c r="H136" s="13"/>
    </row>
    <row r="137" spans="1:9" x14ac:dyDescent="0.2">
      <c r="A137" s="13"/>
      <c r="B137" s="13"/>
      <c r="C137" s="13"/>
      <c r="G137" s="13"/>
      <c r="H137" s="13"/>
    </row>
    <row r="138" spans="1:9" x14ac:dyDescent="0.2">
      <c r="A138" s="13"/>
      <c r="B138" s="13"/>
      <c r="C138" s="13"/>
      <c r="D138" s="13"/>
      <c r="G138" s="13"/>
      <c r="H138" s="13"/>
      <c r="I138" s="13"/>
    </row>
    <row r="139" spans="1:9" x14ac:dyDescent="0.2">
      <c r="A139" s="13"/>
      <c r="B139" s="13"/>
      <c r="C139" s="13"/>
      <c r="G139" s="13"/>
      <c r="H139" s="13"/>
    </row>
    <row r="140" spans="1:9" x14ac:dyDescent="0.2">
      <c r="A140" s="13"/>
      <c r="B140" s="13"/>
      <c r="C140" s="13"/>
      <c r="G140" s="13"/>
      <c r="H140" s="13"/>
    </row>
    <row r="141" spans="1:9" x14ac:dyDescent="0.2">
      <c r="A141" s="13"/>
      <c r="B141" s="13"/>
      <c r="C141" s="13"/>
      <c r="D141" s="13"/>
      <c r="G141" s="13"/>
      <c r="H141" s="13"/>
      <c r="I141" s="13"/>
    </row>
    <row r="142" spans="1:9" x14ac:dyDescent="0.2">
      <c r="A142" s="13"/>
      <c r="B142" s="13"/>
      <c r="C142" s="13"/>
      <c r="D142" s="13"/>
      <c r="G142" s="13"/>
      <c r="H142" s="13"/>
      <c r="I142" s="13"/>
    </row>
    <row r="143" spans="1:9" x14ac:dyDescent="0.2">
      <c r="A143" s="13"/>
      <c r="B143" s="13"/>
      <c r="C143" s="13"/>
      <c r="D143" s="13"/>
      <c r="G143" s="13"/>
      <c r="H143" s="13"/>
      <c r="I143" s="13"/>
    </row>
    <row r="144" spans="1:9" x14ac:dyDescent="0.2">
      <c r="A144" s="13"/>
      <c r="B144" s="13"/>
      <c r="C144" s="13"/>
      <c r="G144" s="13"/>
      <c r="H144" s="13"/>
    </row>
    <row r="145" spans="1:9" x14ac:dyDescent="0.2">
      <c r="A145" s="13"/>
      <c r="B145" s="13"/>
      <c r="C145" s="13"/>
      <c r="D145" s="13"/>
      <c r="G145" s="13"/>
      <c r="H145" s="13"/>
      <c r="I145" s="13"/>
    </row>
    <row r="146" spans="1:9" x14ac:dyDescent="0.2">
      <c r="A146" s="13"/>
      <c r="B146" s="13"/>
      <c r="C146" s="13"/>
      <c r="D146" s="13"/>
      <c r="G146" s="13"/>
      <c r="H146" s="13"/>
      <c r="I146" s="13"/>
    </row>
    <row r="147" spans="1:9" x14ac:dyDescent="0.2">
      <c r="A147" s="13"/>
      <c r="B147" s="13"/>
      <c r="C147" s="13"/>
      <c r="G147" s="13"/>
      <c r="H147" s="13"/>
    </row>
    <row r="148" spans="1:9" x14ac:dyDescent="0.2">
      <c r="A148" s="13"/>
      <c r="B148" s="13"/>
      <c r="C148" s="13"/>
      <c r="G148" s="13"/>
      <c r="H148" s="13"/>
    </row>
    <row r="149" spans="1:9" x14ac:dyDescent="0.2">
      <c r="A149" s="13"/>
      <c r="B149" s="13"/>
      <c r="C149" s="13"/>
      <c r="G149" s="13"/>
      <c r="H149" s="13"/>
    </row>
    <row r="150" spans="1:9" x14ac:dyDescent="0.2">
      <c r="A150" s="13"/>
      <c r="B150" s="13"/>
      <c r="C150" s="13"/>
      <c r="D150" s="13"/>
      <c r="G150" s="13"/>
      <c r="H150" s="13"/>
      <c r="I150" s="13"/>
    </row>
    <row r="151" spans="1:9" x14ac:dyDescent="0.2">
      <c r="A151" s="13"/>
      <c r="B151" s="13"/>
      <c r="C151" s="13"/>
      <c r="D151" s="13"/>
      <c r="G151" s="13"/>
      <c r="H151" s="13"/>
      <c r="I151" s="13"/>
    </row>
    <row r="152" spans="1:9" x14ac:dyDescent="0.2">
      <c r="A152" s="13"/>
      <c r="B152" s="13"/>
      <c r="C152" s="13"/>
      <c r="G152" s="13"/>
      <c r="H152" s="13"/>
    </row>
    <row r="153" spans="1:9" x14ac:dyDescent="0.2">
      <c r="A153" s="13"/>
      <c r="B153" s="13"/>
      <c r="C153" s="13"/>
      <c r="G153" s="13"/>
      <c r="H153" s="13"/>
    </row>
    <row r="154" spans="1:9" x14ac:dyDescent="0.2">
      <c r="A154" s="13"/>
      <c r="B154" s="13"/>
      <c r="C154" s="13"/>
      <c r="G154" s="13"/>
      <c r="H154" s="13"/>
    </row>
    <row r="155" spans="1:9" x14ac:dyDescent="0.2">
      <c r="A155" s="13"/>
      <c r="B155" s="13"/>
      <c r="C155" s="13"/>
      <c r="D155" s="13"/>
      <c r="G155" s="13"/>
      <c r="H155" s="13"/>
      <c r="I155" s="13"/>
    </row>
    <row r="156" spans="1:9" x14ac:dyDescent="0.2">
      <c r="A156" s="13"/>
      <c r="B156" s="13"/>
      <c r="C156" s="13"/>
      <c r="G156" s="13"/>
      <c r="H156" s="13"/>
    </row>
    <row r="157" spans="1:9" x14ac:dyDescent="0.2">
      <c r="A157" s="13"/>
      <c r="B157" s="13"/>
      <c r="C157" s="13"/>
      <c r="G157" s="13"/>
      <c r="H157" s="13"/>
    </row>
    <row r="158" spans="1:9" x14ac:dyDescent="0.2">
      <c r="A158" s="13"/>
      <c r="B158" s="13"/>
      <c r="C158" s="13"/>
      <c r="D158" s="13"/>
      <c r="G158" s="13"/>
      <c r="H158" s="13"/>
      <c r="I158" s="13"/>
    </row>
    <row r="159" spans="1:9" x14ac:dyDescent="0.2">
      <c r="A159" s="13"/>
      <c r="B159" s="13"/>
      <c r="C159" s="13"/>
      <c r="D159" s="13"/>
    </row>
    <row r="160" spans="1:9" x14ac:dyDescent="0.2">
      <c r="A160" s="13"/>
      <c r="B160" s="13"/>
      <c r="C160" s="13"/>
    </row>
    <row r="161" spans="1:4" x14ac:dyDescent="0.2">
      <c r="A161" s="13"/>
      <c r="B161" s="13"/>
      <c r="C161" s="13"/>
      <c r="D161"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3"/>
    </row>
    <row r="2" spans="1:8" x14ac:dyDescent="0.2">
      <c r="A2" s="13"/>
    </row>
    <row r="3" spans="1:8" x14ac:dyDescent="0.2">
      <c r="A3" s="13"/>
      <c r="B3" s="13"/>
      <c r="C3" s="13"/>
      <c r="D3" s="13"/>
      <c r="E3" s="13"/>
      <c r="F3" s="13"/>
      <c r="G3" s="13"/>
      <c r="H3" s="13"/>
    </row>
    <row r="4" spans="1:8" x14ac:dyDescent="0.2">
      <c r="A4" s="13"/>
      <c r="B4" s="13"/>
      <c r="C4" s="13"/>
      <c r="D4" s="13"/>
      <c r="E4" s="13"/>
    </row>
    <row r="5" spans="1:8" x14ac:dyDescent="0.2">
      <c r="A5" s="13"/>
    </row>
    <row r="6" spans="1:8" x14ac:dyDescent="0.2">
      <c r="A6" s="13"/>
    </row>
    <row r="7" spans="1:8" x14ac:dyDescent="0.2">
      <c r="A7" s="13"/>
      <c r="B7" s="13"/>
      <c r="C7" s="13"/>
      <c r="D7" s="13"/>
      <c r="E7" s="13"/>
      <c r="F7" s="13"/>
    </row>
    <row r="8" spans="1:8" x14ac:dyDescent="0.2">
      <c r="A8" s="13"/>
      <c r="B8" s="13"/>
      <c r="C8" s="13"/>
      <c r="D8" s="13"/>
      <c r="E8" s="13"/>
      <c r="F8" s="13"/>
    </row>
    <row r="9" spans="1:8" x14ac:dyDescent="0.2">
      <c r="A9" s="13"/>
      <c r="B9" s="13"/>
      <c r="C9" s="13"/>
      <c r="D9" s="13"/>
      <c r="E9" s="13"/>
      <c r="F9" s="13"/>
    </row>
    <row r="10" spans="1:8" x14ac:dyDescent="0.2">
      <c r="A10" s="13"/>
      <c r="B10" s="13"/>
      <c r="C10" s="13"/>
      <c r="D10" s="13"/>
      <c r="E10" s="13"/>
      <c r="F10" s="13"/>
    </row>
    <row r="11" spans="1:8" x14ac:dyDescent="0.2">
      <c r="A11" s="13"/>
      <c r="B11" s="13"/>
      <c r="C11" s="13"/>
      <c r="D11" s="13"/>
      <c r="E11" s="13"/>
      <c r="F11" s="13"/>
    </row>
    <row r="12" spans="1:8" x14ac:dyDescent="0.2">
      <c r="A12" s="13"/>
      <c r="B12" s="13"/>
      <c r="C12" s="13"/>
      <c r="D12" s="13"/>
      <c r="E12" s="13"/>
      <c r="F12" s="13"/>
    </row>
    <row r="13" spans="1:8" x14ac:dyDescent="0.2">
      <c r="A13" s="13"/>
      <c r="B13" s="13"/>
      <c r="C13" s="13"/>
      <c r="D13" s="13"/>
      <c r="E13" s="13"/>
      <c r="F13" s="13"/>
    </row>
    <row r="14" spans="1:8" x14ac:dyDescent="0.2">
      <c r="A14" s="13"/>
      <c r="B14" s="13"/>
      <c r="C14" s="13"/>
      <c r="D14" s="13"/>
      <c r="E14" s="13"/>
      <c r="F14" s="13"/>
    </row>
    <row r="15" spans="1:8" x14ac:dyDescent="0.2">
      <c r="A15" s="13"/>
      <c r="B15" s="13"/>
      <c r="C15" s="13"/>
      <c r="D15" s="13"/>
      <c r="E15" s="13"/>
      <c r="F15" s="13"/>
    </row>
    <row r="16" spans="1:8" x14ac:dyDescent="0.2">
      <c r="A16" s="13"/>
      <c r="B16" s="13"/>
      <c r="C16" s="13"/>
      <c r="D16" s="13"/>
      <c r="E16" s="13"/>
      <c r="F16" s="13"/>
    </row>
    <row r="17" spans="1:6" x14ac:dyDescent="0.2">
      <c r="A17" s="13"/>
      <c r="B17" s="13"/>
      <c r="C17" s="13"/>
      <c r="D17" s="13"/>
      <c r="E17" s="13"/>
      <c r="F17" s="13"/>
    </row>
    <row r="18" spans="1:6" x14ac:dyDescent="0.2">
      <c r="A18" s="13"/>
      <c r="B18" s="13"/>
      <c r="C18" s="13"/>
      <c r="D18" s="13"/>
      <c r="E18" s="13"/>
      <c r="F18" s="13"/>
    </row>
    <row r="19" spans="1:6" x14ac:dyDescent="0.2">
      <c r="A19" s="13"/>
      <c r="B19" s="13"/>
      <c r="C19" s="13"/>
      <c r="D19" s="13"/>
      <c r="E19" s="13"/>
      <c r="F19" s="13"/>
    </row>
    <row r="20" spans="1:6" x14ac:dyDescent="0.2">
      <c r="A20" s="13"/>
      <c r="B20" s="13"/>
      <c r="C20" s="13"/>
      <c r="D20" s="13"/>
      <c r="E20" s="13"/>
      <c r="F20" s="13"/>
    </row>
    <row r="21" spans="1:6" x14ac:dyDescent="0.2">
      <c r="A21" s="13"/>
      <c r="B21" s="13"/>
      <c r="C21" s="13"/>
      <c r="D21" s="13"/>
      <c r="E21" s="13"/>
      <c r="F21" s="13"/>
    </row>
    <row r="22" spans="1:6" x14ac:dyDescent="0.2">
      <c r="A22" s="13"/>
      <c r="B22" s="13"/>
      <c r="C22" s="13"/>
      <c r="D22" s="13"/>
      <c r="E22" s="13"/>
      <c r="F22" s="13"/>
    </row>
    <row r="23" spans="1:6" x14ac:dyDescent="0.2">
      <c r="A23" s="13"/>
      <c r="B23" s="13"/>
      <c r="C23" s="13"/>
      <c r="D23" s="13"/>
      <c r="E23" s="13"/>
      <c r="F23" s="13"/>
    </row>
    <row r="24" spans="1:6" x14ac:dyDescent="0.2">
      <c r="A24" s="13"/>
      <c r="B24" s="13"/>
      <c r="C24" s="13"/>
      <c r="D24" s="13"/>
      <c r="E24" s="13"/>
      <c r="F24" s="13"/>
    </row>
    <row r="25" spans="1:6" x14ac:dyDescent="0.2">
      <c r="A25" s="13"/>
      <c r="B25" s="13"/>
      <c r="C25" s="13"/>
      <c r="D25" s="13"/>
      <c r="E25" s="13"/>
      <c r="F25" s="13"/>
    </row>
    <row r="26" spans="1:6" x14ac:dyDescent="0.2">
      <c r="A26" s="13"/>
      <c r="B26" s="13"/>
      <c r="C26" s="13"/>
      <c r="D26" s="13"/>
      <c r="E26" s="13"/>
      <c r="F26" s="13"/>
    </row>
    <row r="27" spans="1:6" x14ac:dyDescent="0.2">
      <c r="A27" s="13"/>
      <c r="B27" s="13"/>
      <c r="C27" s="13"/>
      <c r="D27" s="13"/>
      <c r="E27" s="13"/>
      <c r="F27" s="13"/>
    </row>
    <row r="28" spans="1:6" x14ac:dyDescent="0.2">
      <c r="A28" s="13"/>
      <c r="B28" s="13"/>
      <c r="C28" s="13"/>
      <c r="D28" s="13"/>
      <c r="E28" s="13"/>
      <c r="F28" s="13"/>
    </row>
    <row r="29" spans="1:6" x14ac:dyDescent="0.2">
      <c r="A29" s="13"/>
      <c r="B29" s="13"/>
      <c r="C29" s="13"/>
      <c r="D29" s="13"/>
      <c r="E29" s="13"/>
      <c r="F29" s="13"/>
    </row>
    <row r="30" spans="1:6" x14ac:dyDescent="0.2">
      <c r="A30" s="13"/>
      <c r="B30" s="13"/>
      <c r="C30" s="13"/>
      <c r="D30" s="13"/>
      <c r="E30" s="13"/>
      <c r="F30" s="13"/>
    </row>
    <row r="31" spans="1:6" x14ac:dyDescent="0.2">
      <c r="A31" s="13"/>
      <c r="B31" s="13"/>
      <c r="C31" s="13"/>
      <c r="D31" s="13"/>
      <c r="E31" s="13"/>
      <c r="F31" s="13"/>
    </row>
    <row r="32" spans="1:6" x14ac:dyDescent="0.2">
      <c r="A32" s="13"/>
      <c r="B32" s="13"/>
      <c r="C32" s="13"/>
      <c r="D32" s="13"/>
      <c r="E32" s="13"/>
      <c r="F32" s="13"/>
    </row>
    <row r="33" spans="1:7" x14ac:dyDescent="0.2">
      <c r="A33" s="13"/>
      <c r="B33" s="13"/>
      <c r="C33" s="13"/>
      <c r="D33" s="13"/>
      <c r="E33" s="13"/>
      <c r="F33" s="13"/>
    </row>
    <row r="34" spans="1:7" x14ac:dyDescent="0.2">
      <c r="A34" s="13"/>
      <c r="B34" s="13"/>
      <c r="C34" s="13"/>
      <c r="D34" s="13"/>
      <c r="E34" s="13"/>
      <c r="F34" s="13"/>
    </row>
    <row r="35" spans="1:7" x14ac:dyDescent="0.2">
      <c r="A35" s="13"/>
      <c r="B35" s="13"/>
      <c r="C35" s="13"/>
      <c r="D35" s="13"/>
      <c r="E35" s="13"/>
      <c r="F35" s="13"/>
    </row>
    <row r="36" spans="1:7" x14ac:dyDescent="0.2">
      <c r="A36" s="13"/>
      <c r="B36" s="13"/>
      <c r="C36" s="13"/>
      <c r="D36" s="13"/>
      <c r="E36" s="13"/>
      <c r="F36" s="13"/>
    </row>
    <row r="37" spans="1:7" x14ac:dyDescent="0.2">
      <c r="A37" s="13"/>
      <c r="B37" s="13"/>
      <c r="C37" s="13"/>
      <c r="D37" s="13"/>
      <c r="E37" s="13"/>
      <c r="F37" s="13"/>
    </row>
    <row r="38" spans="1:7" x14ac:dyDescent="0.2">
      <c r="A38" s="13"/>
      <c r="B38" s="13"/>
      <c r="C38" s="13"/>
      <c r="D38" s="13"/>
      <c r="E38" s="13"/>
      <c r="F38" s="13"/>
    </row>
    <row r="39" spans="1:7" x14ac:dyDescent="0.2">
      <c r="A39" s="13"/>
      <c r="B39" s="13"/>
      <c r="C39" s="13"/>
      <c r="D39" s="13"/>
      <c r="E39" s="13"/>
      <c r="F39" s="13"/>
    </row>
    <row r="40" spans="1:7" x14ac:dyDescent="0.2">
      <c r="A40" s="13"/>
      <c r="B40" s="13"/>
      <c r="C40" s="13"/>
      <c r="D40" s="13"/>
      <c r="E40" s="13"/>
      <c r="F40" s="13"/>
    </row>
    <row r="41" spans="1:7" x14ac:dyDescent="0.2">
      <c r="A41" s="13"/>
      <c r="B41" s="13"/>
      <c r="C41" s="13"/>
      <c r="D41" s="13"/>
      <c r="E41" s="13"/>
      <c r="F41" s="13"/>
    </row>
    <row r="42" spans="1:7" x14ac:dyDescent="0.2">
      <c r="A42" s="13"/>
      <c r="B42" s="13"/>
      <c r="C42" s="13"/>
      <c r="D42" s="13"/>
      <c r="E42" s="13"/>
      <c r="F42" s="13"/>
    </row>
    <row r="43" spans="1:7" x14ac:dyDescent="0.2">
      <c r="A43" s="13"/>
      <c r="B43" s="13"/>
      <c r="C43" s="13"/>
      <c r="D43" s="13"/>
      <c r="E43" s="13"/>
      <c r="F43" s="13"/>
    </row>
    <row r="44" spans="1:7" x14ac:dyDescent="0.2">
      <c r="A44" s="13"/>
      <c r="B44" s="13"/>
      <c r="C44" s="13"/>
      <c r="D44" s="13"/>
      <c r="E44" s="13"/>
      <c r="F44" s="13"/>
    </row>
    <row r="45" spans="1:7" x14ac:dyDescent="0.2">
      <c r="A45" s="13"/>
      <c r="B45" s="13"/>
      <c r="C45" s="13"/>
      <c r="D45" s="13"/>
      <c r="E45" s="13"/>
      <c r="F45" s="13"/>
    </row>
    <row r="46" spans="1:7" x14ac:dyDescent="0.2">
      <c r="A46" s="13"/>
      <c r="B46" s="13"/>
      <c r="C46" s="13"/>
      <c r="D46" s="13"/>
      <c r="E46" s="13"/>
      <c r="F46" s="13"/>
    </row>
    <row r="47" spans="1:7" x14ac:dyDescent="0.2">
      <c r="A47" s="13"/>
      <c r="B47" s="13"/>
      <c r="C47" s="13"/>
      <c r="D47" s="13"/>
      <c r="E47" s="13"/>
      <c r="G47" s="13"/>
    </row>
    <row r="48" spans="1:7" x14ac:dyDescent="0.2">
      <c r="A48" s="13"/>
      <c r="B48" s="13"/>
      <c r="C48" s="13"/>
      <c r="D48" s="13"/>
      <c r="E48" s="13"/>
      <c r="F48" s="13"/>
    </row>
    <row r="49" spans="1:7" x14ac:dyDescent="0.2">
      <c r="A49" s="13"/>
      <c r="B49" s="13"/>
      <c r="C49" s="13"/>
      <c r="D49" s="13"/>
      <c r="E49" s="13"/>
      <c r="F49" s="13"/>
    </row>
    <row r="50" spans="1:7" x14ac:dyDescent="0.2">
      <c r="A50" s="13"/>
      <c r="B50" s="13"/>
      <c r="C50" s="13"/>
      <c r="D50" s="13"/>
      <c r="E50" s="13"/>
      <c r="F50" s="13"/>
    </row>
    <row r="51" spans="1:7" x14ac:dyDescent="0.2">
      <c r="A51" s="13"/>
      <c r="B51" s="13"/>
      <c r="C51" s="13"/>
      <c r="D51" s="13"/>
      <c r="E51" s="13"/>
      <c r="G51" s="13"/>
    </row>
    <row r="52" spans="1:7" x14ac:dyDescent="0.2">
      <c r="A52" s="13"/>
      <c r="B52" s="13"/>
      <c r="C52" s="13"/>
      <c r="D52" s="13"/>
      <c r="E52" s="13"/>
      <c r="F52" s="13"/>
    </row>
    <row r="53" spans="1:7" x14ac:dyDescent="0.2">
      <c r="A53" s="13"/>
      <c r="B53" s="13"/>
      <c r="C53" s="13"/>
      <c r="D53" s="13"/>
      <c r="E53" s="13"/>
      <c r="F53" s="13"/>
    </row>
    <row r="54" spans="1:7" x14ac:dyDescent="0.2">
      <c r="A54" s="13"/>
      <c r="B54" s="13"/>
      <c r="C54" s="13"/>
      <c r="D54" s="13"/>
      <c r="E54" s="13"/>
      <c r="F54" s="13"/>
    </row>
    <row r="55" spans="1:7" x14ac:dyDescent="0.2">
      <c r="A55" s="13"/>
      <c r="B55" s="13"/>
      <c r="C55" s="13"/>
      <c r="D55" s="13"/>
      <c r="E55" s="13"/>
      <c r="F55" s="13"/>
    </row>
    <row r="56" spans="1:7" x14ac:dyDescent="0.2">
      <c r="A56" s="13"/>
      <c r="B56" s="13"/>
      <c r="C56" s="13"/>
      <c r="D56" s="13"/>
      <c r="E56" s="13"/>
      <c r="F56" s="13"/>
    </row>
    <row r="57" spans="1:7" x14ac:dyDescent="0.2">
      <c r="A57" s="13"/>
      <c r="B57" s="13"/>
      <c r="C57" s="13"/>
      <c r="D57" s="13"/>
      <c r="E57" s="13"/>
      <c r="F57" s="13"/>
    </row>
    <row r="58" spans="1:7" x14ac:dyDescent="0.2">
      <c r="A58" s="13"/>
      <c r="B58" s="13"/>
      <c r="C58" s="13"/>
      <c r="D58" s="13"/>
      <c r="E58" s="13"/>
      <c r="F58" s="13"/>
    </row>
    <row r="59" spans="1:7" x14ac:dyDescent="0.2">
      <c r="A59" s="13"/>
      <c r="B59" s="13"/>
      <c r="C59" s="13"/>
      <c r="D59" s="13"/>
      <c r="E59" s="13"/>
      <c r="F59" s="13"/>
    </row>
    <row r="60" spans="1:7" x14ac:dyDescent="0.2">
      <c r="A60" s="13"/>
      <c r="B60" s="13"/>
      <c r="C60" s="13"/>
      <c r="D60" s="13"/>
      <c r="E60" s="13"/>
      <c r="F60" s="13"/>
    </row>
    <row r="61" spans="1:7" x14ac:dyDescent="0.2">
      <c r="A61" s="13"/>
      <c r="B61" s="13"/>
      <c r="C61" s="13"/>
      <c r="D61" s="13"/>
      <c r="E61" s="13"/>
      <c r="F61" s="13"/>
    </row>
    <row r="62" spans="1:7" x14ac:dyDescent="0.2">
      <c r="A62" s="13"/>
      <c r="B62" s="13"/>
      <c r="C62" s="13"/>
      <c r="D62" s="13"/>
      <c r="E62" s="13"/>
      <c r="F62" s="13"/>
    </row>
    <row r="63" spans="1:7" x14ac:dyDescent="0.2">
      <c r="A63" s="13"/>
      <c r="B63" s="13"/>
      <c r="C63" s="13"/>
      <c r="D63" s="13"/>
      <c r="E63" s="13"/>
      <c r="F63" s="13"/>
    </row>
    <row r="64" spans="1:7" x14ac:dyDescent="0.2">
      <c r="A64" s="13"/>
      <c r="B64" s="13"/>
      <c r="C64" s="13"/>
      <c r="D64" s="13"/>
      <c r="E64" s="13"/>
      <c r="G64" s="13"/>
    </row>
    <row r="65" spans="1:7" x14ac:dyDescent="0.2">
      <c r="A65" s="13"/>
      <c r="B65" s="13"/>
      <c r="C65" s="13"/>
      <c r="D65" s="13"/>
      <c r="E65" s="13"/>
      <c r="G65" s="13"/>
    </row>
    <row r="66" spans="1:7" x14ac:dyDescent="0.2">
      <c r="A66" s="13"/>
      <c r="B66" s="13"/>
      <c r="C66" s="13"/>
      <c r="D66" s="13"/>
      <c r="E66" s="13"/>
      <c r="F66" s="13"/>
    </row>
    <row r="67" spans="1:7" x14ac:dyDescent="0.2">
      <c r="A67" s="13"/>
      <c r="B67" s="13"/>
      <c r="C67" s="13"/>
      <c r="D67" s="13"/>
      <c r="E67" s="13"/>
      <c r="F67" s="13"/>
    </row>
    <row r="68" spans="1:7" x14ac:dyDescent="0.2">
      <c r="A68" s="13"/>
      <c r="B68" s="13"/>
      <c r="C68" s="13"/>
      <c r="D68" s="13"/>
      <c r="E68" s="13"/>
      <c r="F68" s="13"/>
    </row>
    <row r="69" spans="1:7" x14ac:dyDescent="0.2">
      <c r="A69" s="13"/>
      <c r="B69" s="13"/>
      <c r="C69" s="13"/>
      <c r="D69" s="13"/>
      <c r="E69" s="13"/>
      <c r="F69" s="13"/>
    </row>
    <row r="70" spans="1:7" x14ac:dyDescent="0.2">
      <c r="A70" s="13"/>
      <c r="B70" s="13"/>
      <c r="C70" s="13"/>
      <c r="D70" s="13"/>
      <c r="E70" s="13"/>
      <c r="F70" s="13"/>
    </row>
    <row r="71" spans="1:7" x14ac:dyDescent="0.2">
      <c r="A71" s="13"/>
      <c r="B71" s="13"/>
      <c r="C71" s="13"/>
      <c r="D71" s="13"/>
      <c r="E71" s="13"/>
      <c r="F71" s="13"/>
    </row>
    <row r="72" spans="1:7" x14ac:dyDescent="0.2">
      <c r="A72" s="13"/>
      <c r="B72" s="13"/>
      <c r="C72" s="13"/>
      <c r="D72" s="13"/>
      <c r="E72" s="13"/>
      <c r="F72" s="13"/>
    </row>
    <row r="73" spans="1:7" x14ac:dyDescent="0.2">
      <c r="A73" s="13"/>
      <c r="B73" s="13"/>
      <c r="C73" s="13"/>
      <c r="D73" s="13"/>
      <c r="E73" s="13"/>
      <c r="F73" s="13"/>
    </row>
    <row r="74" spans="1:7" x14ac:dyDescent="0.2">
      <c r="A74" s="13"/>
      <c r="B74" s="13"/>
      <c r="C74" s="13"/>
      <c r="D74" s="13"/>
      <c r="E74" s="13"/>
      <c r="F74" s="13"/>
    </row>
    <row r="75" spans="1:7" x14ac:dyDescent="0.2">
      <c r="A75" s="13"/>
      <c r="B75" s="13"/>
      <c r="C75" s="13"/>
      <c r="D75" s="13"/>
      <c r="E75" s="13"/>
      <c r="F75" s="13"/>
    </row>
    <row r="76" spans="1:7" x14ac:dyDescent="0.2">
      <c r="A76" s="13"/>
      <c r="B76" s="13"/>
      <c r="C76" s="13"/>
      <c r="D76" s="13"/>
      <c r="E76" s="13"/>
      <c r="F76" s="13"/>
    </row>
    <row r="77" spans="1:7" x14ac:dyDescent="0.2">
      <c r="A77" s="13"/>
      <c r="B77" s="13"/>
      <c r="C77" s="13"/>
      <c r="D77" s="13"/>
      <c r="E77" s="13"/>
      <c r="F77" s="13"/>
    </row>
    <row r="78" spans="1:7" x14ac:dyDescent="0.2">
      <c r="A78" s="13"/>
      <c r="B78" s="13"/>
      <c r="C78" s="13"/>
      <c r="D78" s="13"/>
      <c r="E78" s="13"/>
      <c r="F78" s="13"/>
    </row>
    <row r="79" spans="1:7" x14ac:dyDescent="0.2">
      <c r="A79" s="13"/>
      <c r="B79" s="13"/>
      <c r="C79" s="13"/>
      <c r="D79" s="13"/>
      <c r="E79" s="13"/>
      <c r="F79" s="13"/>
    </row>
    <row r="80" spans="1:7" x14ac:dyDescent="0.2">
      <c r="A80" s="13"/>
      <c r="B80" s="13"/>
      <c r="C80" s="13"/>
      <c r="D80" s="13"/>
      <c r="E80" s="13"/>
      <c r="F80" s="13"/>
    </row>
    <row r="81" spans="1:7" x14ac:dyDescent="0.2">
      <c r="A81" s="13"/>
      <c r="B81" s="13"/>
      <c r="C81" s="13"/>
      <c r="D81" s="13"/>
      <c r="E81" s="13"/>
      <c r="G81" s="13"/>
    </row>
    <row r="82" spans="1:7" x14ac:dyDescent="0.2">
      <c r="A82" s="13"/>
      <c r="B82" s="13"/>
      <c r="C82" s="13"/>
      <c r="D82" s="13"/>
      <c r="E82" s="13"/>
      <c r="F82" s="13"/>
    </row>
    <row r="83" spans="1:7" x14ac:dyDescent="0.2">
      <c r="A83" s="13"/>
      <c r="B83" s="13"/>
      <c r="C83" s="13"/>
      <c r="D83" s="13"/>
      <c r="E83" s="13"/>
      <c r="F83" s="13"/>
    </row>
    <row r="84" spans="1:7" x14ac:dyDescent="0.2">
      <c r="A84" s="13"/>
      <c r="B84" s="13"/>
      <c r="C84" s="13"/>
      <c r="D84" s="13"/>
      <c r="E84" s="13"/>
      <c r="F84" s="13"/>
    </row>
    <row r="85" spans="1:7" x14ac:dyDescent="0.2">
      <c r="A85" s="13"/>
      <c r="B85" s="13"/>
      <c r="C85" s="13"/>
      <c r="D85" s="13"/>
      <c r="E85" s="13"/>
      <c r="F85" s="13"/>
    </row>
    <row r="86" spans="1:7" x14ac:dyDescent="0.2">
      <c r="A86" s="13"/>
      <c r="B86" s="13"/>
      <c r="C86" s="13"/>
      <c r="D86" s="13"/>
      <c r="E86" s="13"/>
      <c r="F86" s="13"/>
    </row>
    <row r="87" spans="1:7" x14ac:dyDescent="0.2">
      <c r="A87" s="13"/>
      <c r="B87" s="13"/>
      <c r="C87" s="13"/>
      <c r="D87" s="13"/>
      <c r="E87" s="13"/>
      <c r="F87" s="13"/>
    </row>
    <row r="88" spans="1:7" x14ac:dyDescent="0.2">
      <c r="A88" s="13"/>
      <c r="B88" s="13"/>
      <c r="C88" s="13"/>
      <c r="D88" s="13"/>
      <c r="E88" s="13"/>
      <c r="F88" s="13"/>
    </row>
    <row r="89" spans="1:7" x14ac:dyDescent="0.2">
      <c r="A89" s="13"/>
      <c r="B89" s="13"/>
      <c r="C89" s="13"/>
      <c r="D89" s="13"/>
      <c r="E89" s="13"/>
      <c r="F89" s="13"/>
    </row>
    <row r="90" spans="1:7" x14ac:dyDescent="0.2">
      <c r="A90" s="13"/>
      <c r="B90" s="13"/>
      <c r="C90" s="13"/>
      <c r="D90" s="13"/>
      <c r="E90" s="13"/>
      <c r="F90" s="13"/>
    </row>
    <row r="91" spans="1:7" x14ac:dyDescent="0.2">
      <c r="A91" s="13"/>
      <c r="B91" s="13"/>
      <c r="C91" s="13"/>
      <c r="D91" s="13"/>
      <c r="E91" s="13"/>
      <c r="F91" s="13"/>
    </row>
    <row r="92" spans="1:7" x14ac:dyDescent="0.2">
      <c r="A92" s="13"/>
      <c r="B92" s="13"/>
      <c r="C92" s="13"/>
      <c r="D92" s="13"/>
      <c r="E92" s="13"/>
      <c r="F92" s="13"/>
    </row>
    <row r="93" spans="1:7" x14ac:dyDescent="0.2">
      <c r="A93" s="13"/>
      <c r="B93" s="13"/>
      <c r="C93" s="13"/>
      <c r="D93" s="13"/>
      <c r="E93" s="13"/>
      <c r="F93" s="13"/>
    </row>
    <row r="94" spans="1:7" x14ac:dyDescent="0.2">
      <c r="A94" s="13"/>
      <c r="B94" s="13"/>
      <c r="C94" s="13"/>
      <c r="D94" s="13"/>
      <c r="E94" s="13"/>
      <c r="F94" s="13"/>
    </row>
    <row r="95" spans="1:7" x14ac:dyDescent="0.2">
      <c r="A95" s="13"/>
      <c r="B95" s="13"/>
      <c r="C95" s="13"/>
      <c r="D95" s="13"/>
      <c r="E95" s="13"/>
      <c r="F95" s="13"/>
    </row>
    <row r="96" spans="1:7" x14ac:dyDescent="0.2">
      <c r="A96" s="13"/>
      <c r="B96" s="13"/>
      <c r="C96" s="13"/>
      <c r="D96" s="13"/>
      <c r="E96" s="13"/>
      <c r="F96" s="13"/>
    </row>
    <row r="97" spans="1:6" x14ac:dyDescent="0.2">
      <c r="A97" s="13"/>
      <c r="B97" s="13"/>
      <c r="C97" s="13"/>
      <c r="D97" s="13"/>
      <c r="E97" s="13"/>
      <c r="F97" s="13"/>
    </row>
    <row r="98" spans="1:6" x14ac:dyDescent="0.2">
      <c r="A98" s="13"/>
      <c r="B98" s="13"/>
      <c r="C98" s="13"/>
      <c r="D98" s="13"/>
      <c r="E98" s="13"/>
      <c r="F98" s="13"/>
    </row>
    <row r="99" spans="1:6" x14ac:dyDescent="0.2">
      <c r="A99" s="13"/>
      <c r="B99" s="13"/>
      <c r="C99" s="13"/>
      <c r="D99" s="13"/>
      <c r="E99" s="13"/>
      <c r="F99" s="13"/>
    </row>
    <row r="100" spans="1:6" x14ac:dyDescent="0.2">
      <c r="A100" s="13"/>
      <c r="B100" s="13"/>
      <c r="C100" s="13"/>
      <c r="D100" s="13"/>
      <c r="E100" s="13"/>
      <c r="F100" s="13"/>
    </row>
    <row r="101" spans="1:6" x14ac:dyDescent="0.2">
      <c r="A101" s="13"/>
      <c r="B101" s="13"/>
      <c r="C101" s="13"/>
      <c r="D101" s="13"/>
      <c r="E101" s="13"/>
      <c r="F101" s="13"/>
    </row>
    <row r="102" spans="1:6" x14ac:dyDescent="0.2">
      <c r="A102" s="13"/>
      <c r="B102" s="13"/>
      <c r="C102" s="13"/>
      <c r="D102" s="13"/>
      <c r="E102" s="13"/>
      <c r="F102" s="13"/>
    </row>
    <row r="103" spans="1:6" x14ac:dyDescent="0.2">
      <c r="A103" s="13"/>
      <c r="B103" s="13"/>
      <c r="C103" s="13"/>
      <c r="D103" s="13"/>
      <c r="E103" s="13"/>
      <c r="F103" s="13"/>
    </row>
    <row r="104" spans="1:6" x14ac:dyDescent="0.2">
      <c r="A104" s="13"/>
      <c r="B104" s="13"/>
      <c r="C104" s="13"/>
      <c r="D104" s="13"/>
      <c r="E104" s="13"/>
      <c r="F104" s="13"/>
    </row>
    <row r="105" spans="1:6" x14ac:dyDescent="0.2">
      <c r="A105" s="13"/>
      <c r="B105" s="13"/>
      <c r="C105" s="13"/>
      <c r="D105" s="13"/>
      <c r="E105" s="13"/>
      <c r="F105" s="13"/>
    </row>
    <row r="106" spans="1:6" x14ac:dyDescent="0.2">
      <c r="A106" s="13"/>
      <c r="B106" s="13"/>
      <c r="C106" s="13"/>
      <c r="D106" s="13"/>
      <c r="E106" s="13"/>
      <c r="F106" s="13"/>
    </row>
    <row r="107" spans="1:6" x14ac:dyDescent="0.2">
      <c r="A107" s="13"/>
      <c r="B107" s="13"/>
      <c r="C107" s="13"/>
      <c r="D107" s="13"/>
      <c r="E107" s="13"/>
      <c r="F107" s="13"/>
    </row>
    <row r="108" spans="1:6" x14ac:dyDescent="0.2">
      <c r="A108" s="13"/>
      <c r="B108" s="13"/>
      <c r="C108" s="13"/>
      <c r="D108" s="13"/>
      <c r="E108" s="13"/>
      <c r="F108" s="13"/>
    </row>
    <row r="109" spans="1:6" x14ac:dyDescent="0.2">
      <c r="A109" s="13"/>
      <c r="B109" s="13"/>
      <c r="C109" s="13"/>
      <c r="D109" s="13"/>
      <c r="E109" s="13"/>
      <c r="F109" s="13"/>
    </row>
    <row r="110" spans="1:6" x14ac:dyDescent="0.2">
      <c r="A110" s="13"/>
      <c r="B110" s="13"/>
      <c r="C110" s="13"/>
      <c r="D110" s="13"/>
      <c r="E110" s="13"/>
      <c r="F110" s="13"/>
    </row>
    <row r="111" spans="1:6" x14ac:dyDescent="0.2">
      <c r="A111" s="13"/>
      <c r="B111" s="13"/>
      <c r="C111" s="13"/>
      <c r="D111" s="13"/>
      <c r="E111" s="13"/>
      <c r="F111" s="13"/>
    </row>
    <row r="112" spans="1:6" x14ac:dyDescent="0.2">
      <c r="A112" s="13"/>
      <c r="B112" s="13"/>
      <c r="C112" s="13"/>
      <c r="D112" s="13"/>
      <c r="E112" s="13"/>
      <c r="F112" s="13"/>
    </row>
    <row r="113" spans="1:6" x14ac:dyDescent="0.2">
      <c r="A113" s="13"/>
      <c r="B113" s="13"/>
      <c r="C113" s="13"/>
      <c r="D113" s="13"/>
      <c r="E113" s="13"/>
      <c r="F113" s="13"/>
    </row>
    <row r="114" spans="1:6" x14ac:dyDescent="0.2">
      <c r="A114" s="13"/>
      <c r="B114" s="13"/>
      <c r="C114" s="13"/>
      <c r="D114" s="13"/>
      <c r="E114" s="13"/>
      <c r="F114" s="13"/>
    </row>
    <row r="115" spans="1:6" x14ac:dyDescent="0.2">
      <c r="A115" s="13"/>
      <c r="B115" s="13"/>
      <c r="C115" s="13"/>
      <c r="D115" s="13"/>
      <c r="E115" s="13"/>
      <c r="F115" s="13"/>
    </row>
    <row r="116" spans="1:6" x14ac:dyDescent="0.2">
      <c r="A116" s="13"/>
      <c r="B116" s="13"/>
      <c r="C116" s="13"/>
      <c r="D116" s="13"/>
      <c r="E116" s="13"/>
      <c r="F116" s="13"/>
    </row>
    <row r="117" spans="1:6" x14ac:dyDescent="0.2">
      <c r="A117" s="13"/>
      <c r="B117" s="13"/>
      <c r="C117" s="13"/>
      <c r="D117" s="13"/>
      <c r="E117" s="13"/>
      <c r="F117" s="13"/>
    </row>
    <row r="118" spans="1:6" x14ac:dyDescent="0.2">
      <c r="A118" s="13"/>
      <c r="B118" s="13"/>
      <c r="C118" s="13"/>
      <c r="D118" s="13"/>
      <c r="E118" s="13"/>
      <c r="F118" s="13"/>
    </row>
    <row r="119" spans="1:6" x14ac:dyDescent="0.2">
      <c r="A119" s="13"/>
      <c r="B119" s="13"/>
      <c r="C119" s="13"/>
      <c r="D119" s="13"/>
      <c r="E119" s="13"/>
      <c r="F119" s="13"/>
    </row>
    <row r="120" spans="1:6" x14ac:dyDescent="0.2">
      <c r="A120" s="13"/>
      <c r="B120" s="13"/>
      <c r="C120" s="13"/>
      <c r="D120" s="13"/>
      <c r="E120" s="13"/>
      <c r="F120" s="13"/>
    </row>
    <row r="121" spans="1:6" x14ac:dyDescent="0.2">
      <c r="A121" s="13"/>
      <c r="B121" s="13"/>
      <c r="C121" s="13"/>
      <c r="D121" s="13"/>
      <c r="E121" s="13"/>
      <c r="F121" s="13"/>
    </row>
    <row r="122" spans="1:6" x14ac:dyDescent="0.2">
      <c r="A122" s="13"/>
      <c r="B122" s="13"/>
      <c r="C122" s="13"/>
      <c r="D122" s="13"/>
      <c r="E122" s="13"/>
      <c r="F122" s="13"/>
    </row>
    <row r="123" spans="1:6" x14ac:dyDescent="0.2">
      <c r="A123" s="13"/>
      <c r="B123" s="13"/>
      <c r="C123" s="13"/>
      <c r="D123" s="13"/>
      <c r="E123" s="13"/>
      <c r="F123" s="13"/>
    </row>
    <row r="124" spans="1:6" x14ac:dyDescent="0.2">
      <c r="A124" s="13"/>
      <c r="B124" s="13"/>
      <c r="C124" s="13"/>
      <c r="D124" s="13"/>
      <c r="E124" s="13"/>
      <c r="F124" s="13"/>
    </row>
    <row r="125" spans="1:6" x14ac:dyDescent="0.2">
      <c r="A125" s="13"/>
      <c r="B125" s="13"/>
      <c r="C125" s="13"/>
      <c r="D125" s="13"/>
      <c r="E125" s="13"/>
      <c r="F125" s="13"/>
    </row>
    <row r="126" spans="1:6" x14ac:dyDescent="0.2">
      <c r="A126" s="13"/>
      <c r="B126" s="13"/>
      <c r="C126" s="13"/>
      <c r="D126" s="13"/>
      <c r="E126" s="13"/>
      <c r="F126" s="13"/>
    </row>
    <row r="127" spans="1:6" x14ac:dyDescent="0.2">
      <c r="A127" s="13"/>
      <c r="B127" s="13"/>
      <c r="C127" s="13"/>
      <c r="D127" s="13"/>
      <c r="E127" s="13"/>
      <c r="F127" s="13"/>
    </row>
    <row r="128" spans="1:6" x14ac:dyDescent="0.2">
      <c r="A128" s="13"/>
      <c r="B128" s="13"/>
      <c r="C128" s="13"/>
      <c r="D128" s="13"/>
      <c r="E128" s="13"/>
      <c r="F128" s="13"/>
    </row>
    <row r="129" spans="1:6" x14ac:dyDescent="0.2">
      <c r="A129" s="13"/>
      <c r="B129" s="13"/>
      <c r="C129" s="13"/>
      <c r="D129" s="13"/>
      <c r="E129" s="13"/>
      <c r="F129" s="13"/>
    </row>
    <row r="130" spans="1:6" x14ac:dyDescent="0.2">
      <c r="A130" s="13"/>
      <c r="B130" s="13"/>
      <c r="C130" s="13"/>
      <c r="D130" s="13"/>
      <c r="E130" s="13"/>
      <c r="F130" s="13"/>
    </row>
    <row r="131" spans="1:6" x14ac:dyDescent="0.2">
      <c r="A131" s="13"/>
      <c r="B131" s="13"/>
      <c r="C131" s="13"/>
      <c r="D131" s="13"/>
      <c r="E131" s="13"/>
      <c r="F131" s="13"/>
    </row>
    <row r="132" spans="1:6" x14ac:dyDescent="0.2">
      <c r="A132" s="13"/>
      <c r="B132" s="13"/>
      <c r="C132" s="13"/>
      <c r="D132" s="13"/>
      <c r="E132" s="13"/>
      <c r="F132" s="13"/>
    </row>
    <row r="133" spans="1:6" x14ac:dyDescent="0.2">
      <c r="A133" s="13"/>
      <c r="B133" s="13"/>
      <c r="C133" s="13"/>
      <c r="D133" s="13"/>
      <c r="E133" s="13"/>
      <c r="F133" s="13"/>
    </row>
    <row r="134" spans="1:6" x14ac:dyDescent="0.2">
      <c r="A134" s="13"/>
      <c r="B134" s="13"/>
      <c r="C134" s="13"/>
      <c r="D134" s="13"/>
      <c r="E134" s="13"/>
      <c r="F134" s="13"/>
    </row>
    <row r="135" spans="1:6" x14ac:dyDescent="0.2">
      <c r="A135" s="13"/>
      <c r="B135" s="13"/>
      <c r="C135" s="13"/>
      <c r="D135" s="13"/>
      <c r="E135" s="13"/>
      <c r="F135" s="13"/>
    </row>
    <row r="136" spans="1:6" x14ac:dyDescent="0.2">
      <c r="A136" s="13"/>
      <c r="B136" s="13"/>
      <c r="C136" s="13"/>
      <c r="D136" s="13"/>
      <c r="E136" s="13"/>
      <c r="F136" s="13"/>
    </row>
    <row r="137" spans="1:6" x14ac:dyDescent="0.2">
      <c r="A137" s="13"/>
      <c r="B137" s="13"/>
      <c r="C137" s="13"/>
      <c r="D137" s="13"/>
      <c r="E137" s="13"/>
      <c r="F137" s="13"/>
    </row>
    <row r="138" spans="1:6" x14ac:dyDescent="0.2">
      <c r="A138" s="13"/>
      <c r="B138" s="13"/>
      <c r="C138" s="13"/>
      <c r="D138" s="13"/>
      <c r="E138" s="13"/>
      <c r="F138" s="13"/>
    </row>
    <row r="139" spans="1:6" x14ac:dyDescent="0.2">
      <c r="A139" s="13"/>
      <c r="B139" s="13"/>
      <c r="C139" s="13"/>
      <c r="D139" s="13"/>
      <c r="E139" s="13"/>
      <c r="F139" s="13"/>
    </row>
    <row r="140" spans="1:6" x14ac:dyDescent="0.2">
      <c r="A140" s="13"/>
      <c r="B140" s="13"/>
      <c r="C140" s="13"/>
      <c r="D140" s="13"/>
      <c r="E140" s="13"/>
      <c r="F140" s="13"/>
    </row>
    <row r="141" spans="1:6" x14ac:dyDescent="0.2">
      <c r="A141" s="13"/>
      <c r="B141" s="13"/>
      <c r="C141" s="13"/>
      <c r="D141" s="13"/>
      <c r="E141" s="13"/>
      <c r="F141" s="13"/>
    </row>
    <row r="142" spans="1:6" x14ac:dyDescent="0.2">
      <c r="A142" s="13"/>
      <c r="B142" s="13"/>
      <c r="C142" s="13"/>
      <c r="D142" s="13"/>
      <c r="E142" s="13"/>
      <c r="F142" s="13"/>
    </row>
    <row r="143" spans="1:6" x14ac:dyDescent="0.2">
      <c r="A143" s="13"/>
      <c r="B143" s="13"/>
      <c r="C143" s="13"/>
      <c r="D143" s="13"/>
      <c r="E143" s="13"/>
      <c r="F143" s="13"/>
    </row>
    <row r="144" spans="1:6" x14ac:dyDescent="0.2">
      <c r="A144" s="13"/>
      <c r="B144" s="13"/>
      <c r="C144" s="13"/>
      <c r="D144" s="13"/>
      <c r="E144" s="13"/>
      <c r="F144" s="13"/>
    </row>
    <row r="145" spans="1:7" x14ac:dyDescent="0.2">
      <c r="A145" s="13"/>
      <c r="B145" s="13"/>
      <c r="C145" s="13"/>
      <c r="D145" s="13"/>
      <c r="E145" s="13"/>
      <c r="F145" s="13"/>
    </row>
    <row r="146" spans="1:7" x14ac:dyDescent="0.2">
      <c r="A146" s="13"/>
      <c r="B146" s="13"/>
      <c r="C146" s="13"/>
      <c r="D146" s="13"/>
      <c r="E146" s="13"/>
      <c r="F146" s="13"/>
    </row>
    <row r="147" spans="1:7" x14ac:dyDescent="0.2">
      <c r="A147" s="13"/>
      <c r="B147" s="13"/>
      <c r="C147" s="13"/>
      <c r="D147" s="13"/>
      <c r="E147" s="13"/>
      <c r="F147" s="13"/>
    </row>
    <row r="148" spans="1:7" x14ac:dyDescent="0.2">
      <c r="A148" s="13"/>
      <c r="B148" s="13"/>
      <c r="C148" s="13"/>
      <c r="D148" s="13"/>
      <c r="E148" s="13"/>
      <c r="F148" s="13"/>
    </row>
    <row r="149" spans="1:7" x14ac:dyDescent="0.2">
      <c r="A149" s="13"/>
      <c r="B149" s="13"/>
      <c r="C149" s="13"/>
      <c r="D149" s="13"/>
      <c r="E149" s="13"/>
      <c r="F149" s="13"/>
    </row>
    <row r="150" spans="1:7" x14ac:dyDescent="0.2">
      <c r="A150" s="13"/>
      <c r="B150" s="13"/>
      <c r="C150" s="13"/>
      <c r="D150" s="13"/>
      <c r="E150" s="13"/>
      <c r="F150" s="13"/>
    </row>
    <row r="151" spans="1:7" x14ac:dyDescent="0.2">
      <c r="A151" s="13"/>
      <c r="B151" s="13"/>
      <c r="C151" s="13"/>
      <c r="D151" s="13"/>
      <c r="E151" s="13"/>
      <c r="F151" s="13"/>
    </row>
    <row r="152" spans="1:7" x14ac:dyDescent="0.2">
      <c r="A152" s="13"/>
      <c r="B152" s="13"/>
      <c r="C152" s="13"/>
      <c r="D152" s="13"/>
      <c r="E152" s="13"/>
      <c r="F152" s="13"/>
    </row>
    <row r="153" spans="1:7" x14ac:dyDescent="0.2">
      <c r="A153" s="13"/>
      <c r="B153" s="13"/>
      <c r="C153" s="13"/>
      <c r="D153" s="13"/>
      <c r="E153" s="13"/>
      <c r="F153" s="13"/>
    </row>
    <row r="154" spans="1:7" x14ac:dyDescent="0.2">
      <c r="A154" s="13"/>
      <c r="B154" s="13"/>
      <c r="C154" s="13"/>
      <c r="D154" s="13"/>
      <c r="E154" s="13"/>
      <c r="F154" s="13"/>
    </row>
    <row r="155" spans="1:7" x14ac:dyDescent="0.2">
      <c r="A155" s="13"/>
      <c r="B155" s="13"/>
      <c r="C155" s="13"/>
      <c r="D155" s="13"/>
      <c r="E155" s="13"/>
      <c r="F155" s="13"/>
    </row>
    <row r="156" spans="1:7" x14ac:dyDescent="0.2">
      <c r="A156" s="13"/>
      <c r="B156" s="13"/>
      <c r="C156" s="13"/>
      <c r="D156" s="13"/>
      <c r="E156" s="13"/>
      <c r="F156" s="13"/>
    </row>
    <row r="157" spans="1:7" x14ac:dyDescent="0.2">
      <c r="A157" s="13"/>
      <c r="B157" s="13"/>
      <c r="C157" s="13"/>
      <c r="D157" s="13"/>
      <c r="E157" s="13"/>
      <c r="F157" s="13"/>
    </row>
    <row r="158" spans="1:7" x14ac:dyDescent="0.2">
      <c r="A158" s="13"/>
      <c r="B158" s="13"/>
      <c r="C158" s="13"/>
      <c r="D158" s="13"/>
      <c r="E158" s="13"/>
      <c r="G158" s="13"/>
    </row>
    <row r="159" spans="1:7" x14ac:dyDescent="0.2">
      <c r="A159" s="13"/>
      <c r="B159" s="13"/>
      <c r="C159" s="13"/>
      <c r="D159" s="13"/>
      <c r="E159" s="13"/>
      <c r="F159" s="13"/>
    </row>
    <row r="160" spans="1:7" x14ac:dyDescent="0.2">
      <c r="A160" s="13"/>
      <c r="B160" s="13"/>
      <c r="C160" s="13"/>
      <c r="D160" s="13"/>
      <c r="E160" s="13"/>
      <c r="F160" s="13"/>
    </row>
    <row r="161" spans="1:7" x14ac:dyDescent="0.2">
      <c r="A161" s="13"/>
      <c r="B161" s="13"/>
      <c r="C161" s="13"/>
      <c r="D161" s="13"/>
      <c r="E161" s="13"/>
      <c r="F161" s="13"/>
    </row>
    <row r="162" spans="1:7" x14ac:dyDescent="0.2">
      <c r="A162" s="13"/>
      <c r="B162" s="13"/>
      <c r="C162" s="13"/>
      <c r="D162" s="13"/>
      <c r="E162" s="13"/>
      <c r="F162" s="13"/>
    </row>
    <row r="163" spans="1:7" x14ac:dyDescent="0.2">
      <c r="A163" s="13"/>
      <c r="B163" s="13"/>
      <c r="C163" s="13"/>
      <c r="D163" s="13"/>
      <c r="E163" s="13"/>
      <c r="F163" s="13"/>
    </row>
    <row r="164" spans="1:7" x14ac:dyDescent="0.2">
      <c r="A164" s="13"/>
      <c r="B164" s="13"/>
      <c r="C164" s="13"/>
      <c r="D164" s="13"/>
      <c r="E164" s="13"/>
      <c r="F164" s="13"/>
    </row>
    <row r="165" spans="1:7" x14ac:dyDescent="0.2">
      <c r="A165" s="13"/>
      <c r="B165" s="13"/>
      <c r="C165" s="13"/>
      <c r="D165" s="13"/>
      <c r="E165" s="13"/>
      <c r="F165" s="13"/>
    </row>
    <row r="166" spans="1:7" x14ac:dyDescent="0.2">
      <c r="A166" s="13"/>
      <c r="B166" s="13"/>
      <c r="C166" s="13"/>
      <c r="D166" s="13"/>
      <c r="E166" s="13"/>
      <c r="F166" s="13"/>
    </row>
    <row r="167" spans="1:7" x14ac:dyDescent="0.2">
      <c r="A167" s="13"/>
      <c r="B167" s="13"/>
      <c r="C167" s="13"/>
      <c r="D167" s="13"/>
      <c r="E167" s="13"/>
      <c r="F167" s="13"/>
    </row>
    <row r="168" spans="1:7" x14ac:dyDescent="0.2">
      <c r="A168" s="13"/>
      <c r="B168" s="13"/>
      <c r="C168" s="13"/>
      <c r="D168" s="13"/>
      <c r="E168" s="13"/>
      <c r="F168" s="13"/>
    </row>
    <row r="169" spans="1:7" x14ac:dyDescent="0.2">
      <c r="A169" s="13"/>
      <c r="B169" s="13"/>
      <c r="C169" s="13"/>
      <c r="D169" s="13"/>
      <c r="E169" s="13"/>
      <c r="F169" s="13"/>
    </row>
    <row r="170" spans="1:7" x14ac:dyDescent="0.2">
      <c r="A170" s="13"/>
      <c r="B170" s="13"/>
      <c r="C170" s="13"/>
      <c r="D170" s="13"/>
      <c r="E170" s="13"/>
      <c r="F170" s="13"/>
    </row>
    <row r="171" spans="1:7" x14ac:dyDescent="0.2">
      <c r="A171" s="13"/>
      <c r="B171" s="13"/>
      <c r="C171" s="13"/>
      <c r="D171" s="13"/>
      <c r="E171" s="13"/>
      <c r="G171" s="13"/>
    </row>
    <row r="172" spans="1:7" x14ac:dyDescent="0.2">
      <c r="A172" s="13"/>
      <c r="B172" s="13"/>
      <c r="C172" s="13"/>
      <c r="D172" s="13"/>
      <c r="E172" s="13"/>
      <c r="F172" s="13"/>
    </row>
    <row r="173" spans="1:7" x14ac:dyDescent="0.2">
      <c r="A173" s="13"/>
      <c r="B173" s="13"/>
      <c r="C173" s="13"/>
      <c r="D173" s="13"/>
      <c r="E173" s="13"/>
      <c r="G173" s="13"/>
    </row>
    <row r="174" spans="1:7" x14ac:dyDescent="0.2">
      <c r="A174" s="13"/>
      <c r="B174" s="13"/>
      <c r="C174" s="13"/>
      <c r="D174" s="13"/>
      <c r="E174" s="13"/>
      <c r="G174" s="13"/>
    </row>
    <row r="175" spans="1:7" x14ac:dyDescent="0.2">
      <c r="A175" s="13"/>
      <c r="B175" s="13"/>
      <c r="C175" s="13"/>
      <c r="D175" s="13"/>
      <c r="E175" s="13"/>
      <c r="F175" s="13"/>
    </row>
    <row r="176" spans="1:7" x14ac:dyDescent="0.2">
      <c r="A176" s="13"/>
      <c r="B176" s="13"/>
      <c r="C176" s="13"/>
      <c r="D176" s="13"/>
      <c r="E176" s="13"/>
      <c r="G176" s="13"/>
    </row>
    <row r="177" spans="1:6" x14ac:dyDescent="0.2">
      <c r="A177" s="13"/>
      <c r="B177" s="13"/>
      <c r="C177" s="13"/>
      <c r="D177" s="13"/>
      <c r="E177" s="13"/>
      <c r="F177" s="13"/>
    </row>
    <row r="178" spans="1:6" x14ac:dyDescent="0.2">
      <c r="A178" s="13"/>
      <c r="B178" s="13"/>
      <c r="C178" s="13"/>
      <c r="D178" s="13"/>
      <c r="E178" s="13"/>
      <c r="F178" s="13"/>
    </row>
    <row r="179" spans="1:6" x14ac:dyDescent="0.2">
      <c r="A179" s="13"/>
      <c r="B179" s="13"/>
      <c r="C179" s="13"/>
      <c r="D179" s="13"/>
      <c r="E179" s="13"/>
      <c r="F179" s="13"/>
    </row>
    <row r="180" spans="1:6" x14ac:dyDescent="0.2">
      <c r="A180" s="13"/>
      <c r="B180" s="13"/>
      <c r="C180" s="13"/>
      <c r="D180" s="13"/>
      <c r="E180" s="13"/>
      <c r="F180" s="13"/>
    </row>
    <row r="181" spans="1:6" x14ac:dyDescent="0.2">
      <c r="A181" s="13"/>
      <c r="B181" s="13"/>
      <c r="C181" s="13"/>
      <c r="D181" s="13"/>
      <c r="E181" s="13"/>
      <c r="F181" s="13"/>
    </row>
    <row r="182" spans="1:6" x14ac:dyDescent="0.2">
      <c r="A182" s="13"/>
      <c r="B182" s="13"/>
      <c r="C182" s="13"/>
      <c r="D182" s="13"/>
      <c r="E182" s="13"/>
      <c r="F182" s="13"/>
    </row>
    <row r="183" spans="1:6" x14ac:dyDescent="0.2">
      <c r="A183" s="13"/>
      <c r="B183" s="13"/>
      <c r="C183" s="13"/>
      <c r="D183" s="13"/>
      <c r="E183" s="13"/>
      <c r="F183" s="13"/>
    </row>
    <row r="184" spans="1:6" x14ac:dyDescent="0.2">
      <c r="A184" s="13"/>
      <c r="B184" s="13"/>
      <c r="C184" s="13"/>
      <c r="D184" s="13"/>
      <c r="E184" s="13"/>
      <c r="F184" s="13"/>
    </row>
    <row r="185" spans="1:6" x14ac:dyDescent="0.2">
      <c r="A185" s="13"/>
      <c r="B185" s="13"/>
      <c r="C185" s="13"/>
      <c r="D185" s="13"/>
      <c r="E185" s="13"/>
      <c r="F185" s="13"/>
    </row>
    <row r="186" spans="1:6" x14ac:dyDescent="0.2">
      <c r="A186" s="13"/>
      <c r="B186" s="13"/>
      <c r="C186" s="13"/>
      <c r="D186" s="13"/>
      <c r="E186" s="13"/>
      <c r="F186" s="13"/>
    </row>
    <row r="187" spans="1:6" x14ac:dyDescent="0.2">
      <c r="A187" s="13"/>
      <c r="B187" s="13"/>
      <c r="C187" s="13"/>
      <c r="D187" s="13"/>
      <c r="E187" s="13"/>
      <c r="F187" s="13"/>
    </row>
    <row r="188" spans="1:6" x14ac:dyDescent="0.2">
      <c r="A188" s="13"/>
      <c r="B188" s="13"/>
      <c r="C188" s="13"/>
      <c r="D188" s="13"/>
      <c r="E188" s="13"/>
      <c r="F188" s="13"/>
    </row>
    <row r="189" spans="1:6" x14ac:dyDescent="0.2">
      <c r="A189" s="13"/>
      <c r="B189" s="13"/>
      <c r="C189" s="13"/>
      <c r="D189" s="13"/>
      <c r="E189" s="13"/>
      <c r="F189" s="13"/>
    </row>
    <row r="190" spans="1:6" x14ac:dyDescent="0.2">
      <c r="A190" s="13"/>
      <c r="B190" s="13"/>
      <c r="C190" s="13"/>
      <c r="D190" s="13"/>
      <c r="E190" s="13"/>
      <c r="F190" s="13"/>
    </row>
    <row r="191" spans="1:6" x14ac:dyDescent="0.2">
      <c r="A191" s="13"/>
      <c r="B191" s="13"/>
      <c r="C191" s="13"/>
      <c r="D191" s="13"/>
      <c r="E191" s="13"/>
      <c r="F191" s="13"/>
    </row>
    <row r="192" spans="1:6" x14ac:dyDescent="0.2">
      <c r="A192" s="13"/>
      <c r="B192" s="13"/>
      <c r="C192" s="13"/>
      <c r="D192" s="13"/>
      <c r="E192" s="13"/>
      <c r="F192" s="13"/>
    </row>
    <row r="193" spans="1:7" x14ac:dyDescent="0.2">
      <c r="A193" s="13"/>
      <c r="B193" s="13"/>
      <c r="C193" s="13"/>
      <c r="D193" s="13"/>
      <c r="E193" s="13"/>
      <c r="F193" s="13"/>
    </row>
    <row r="194" spans="1:7" x14ac:dyDescent="0.2">
      <c r="A194" s="13"/>
      <c r="B194" s="13"/>
      <c r="C194" s="13"/>
      <c r="D194" s="13"/>
      <c r="E194" s="13"/>
      <c r="G194" s="13"/>
    </row>
    <row r="195" spans="1:7" x14ac:dyDescent="0.2">
      <c r="A195" s="13"/>
      <c r="B195" s="13"/>
    </row>
    <row r="196" spans="1:7" x14ac:dyDescent="0.2">
      <c r="A196" s="13"/>
    </row>
    <row r="197" spans="1:7" x14ac:dyDescent="0.2">
      <c r="A197" s="13"/>
    </row>
    <row r="198" spans="1:7" x14ac:dyDescent="0.2">
      <c r="A198" s="13"/>
      <c r="B198" s="13"/>
      <c r="C198" s="13"/>
      <c r="D198" s="13"/>
      <c r="E198" s="13"/>
      <c r="F198" s="13"/>
    </row>
    <row r="199" spans="1:7" x14ac:dyDescent="0.2">
      <c r="A199" s="13"/>
      <c r="B199" s="13"/>
      <c r="C199" s="13"/>
      <c r="D199" s="13"/>
      <c r="E199" s="13"/>
      <c r="F199" s="13"/>
    </row>
    <row r="200" spans="1:7" x14ac:dyDescent="0.2">
      <c r="A200" s="13"/>
      <c r="B200" s="13"/>
      <c r="C200" s="13"/>
      <c r="D200" s="13"/>
      <c r="E200" s="13"/>
      <c r="F200" s="13"/>
    </row>
    <row r="201" spans="1:7" x14ac:dyDescent="0.2">
      <c r="A201" s="13"/>
      <c r="B201" s="13"/>
      <c r="C201" s="13"/>
      <c r="D201" s="13"/>
      <c r="E201" s="13"/>
      <c r="F201" s="13"/>
    </row>
    <row r="202" spans="1:7" x14ac:dyDescent="0.2">
      <c r="A202" s="13"/>
      <c r="B202" s="13"/>
      <c r="C202" s="13"/>
      <c r="D202" s="13"/>
      <c r="E202" s="13"/>
      <c r="F202" s="13"/>
    </row>
    <row r="203" spans="1:7" x14ac:dyDescent="0.2">
      <c r="A203" s="13"/>
      <c r="B203" s="13"/>
      <c r="C203" s="13"/>
      <c r="D203" s="13"/>
      <c r="E203" s="13"/>
      <c r="F203" s="13"/>
    </row>
    <row r="204" spans="1:7" x14ac:dyDescent="0.2">
      <c r="A204" s="13"/>
      <c r="B204" s="13"/>
      <c r="C204" s="13"/>
      <c r="D204" s="13"/>
      <c r="E204" s="13"/>
      <c r="F204" s="13"/>
    </row>
    <row r="205" spans="1:7" x14ac:dyDescent="0.2">
      <c r="A205" s="13"/>
      <c r="B205" s="13"/>
      <c r="C205" s="13"/>
      <c r="D205" s="13"/>
      <c r="E205" s="13"/>
      <c r="F205" s="13"/>
    </row>
    <row r="206" spans="1:7" x14ac:dyDescent="0.2">
      <c r="A206" s="13"/>
      <c r="B206" s="13"/>
      <c r="C206" s="13"/>
      <c r="D206" s="13"/>
      <c r="E206" s="13"/>
      <c r="F206" s="13"/>
    </row>
    <row r="207" spans="1:7" x14ac:dyDescent="0.2">
      <c r="A207" s="13"/>
      <c r="B207" s="13"/>
      <c r="C207" s="13"/>
      <c r="D207" s="13"/>
      <c r="E207" s="13"/>
      <c r="F207" s="13"/>
    </row>
    <row r="208" spans="1:7" x14ac:dyDescent="0.2">
      <c r="A208" s="13"/>
      <c r="B208" s="13"/>
      <c r="C208" s="13"/>
      <c r="D208" s="13"/>
      <c r="E208" s="13"/>
      <c r="F208" s="13"/>
    </row>
    <row r="209" spans="1:6" x14ac:dyDescent="0.2">
      <c r="A209" s="13"/>
      <c r="B209" s="13"/>
      <c r="C209" s="13"/>
      <c r="D209" s="13"/>
      <c r="E209" s="13"/>
      <c r="F209" s="13"/>
    </row>
    <row r="210" spans="1:6" x14ac:dyDescent="0.2">
      <c r="A210" s="13"/>
      <c r="B210" s="13"/>
      <c r="C210" s="13"/>
      <c r="D210" s="13"/>
      <c r="E210" s="13"/>
      <c r="F210" s="13"/>
    </row>
    <row r="211" spans="1:6" x14ac:dyDescent="0.2">
      <c r="A211" s="13"/>
      <c r="B211" s="13"/>
      <c r="C211" s="13"/>
      <c r="D211" s="13"/>
      <c r="E211" s="13"/>
      <c r="F211" s="13"/>
    </row>
    <row r="212" spans="1:6" x14ac:dyDescent="0.2">
      <c r="A212" s="13"/>
      <c r="B212" s="13"/>
      <c r="C212" s="13"/>
      <c r="D212" s="13"/>
      <c r="E212" s="13"/>
      <c r="F212" s="13"/>
    </row>
    <row r="213" spans="1:6" x14ac:dyDescent="0.2">
      <c r="A213" s="13"/>
      <c r="B213" s="13"/>
      <c r="C213" s="13"/>
      <c r="D213" s="13"/>
      <c r="E213" s="13"/>
      <c r="F213" s="13"/>
    </row>
    <row r="214" spans="1:6" x14ac:dyDescent="0.2">
      <c r="A214" s="13"/>
      <c r="B214" s="13"/>
      <c r="C214" s="13"/>
      <c r="D214" s="13"/>
      <c r="E214" s="13"/>
      <c r="F214" s="13"/>
    </row>
    <row r="215" spans="1:6" x14ac:dyDescent="0.2">
      <c r="A215" s="13"/>
      <c r="B215" s="13"/>
      <c r="C215" s="13"/>
      <c r="D215" s="13"/>
      <c r="E215" s="13"/>
      <c r="F215" s="13"/>
    </row>
    <row r="216" spans="1:6" x14ac:dyDescent="0.2">
      <c r="A216" s="13"/>
      <c r="B216" s="13"/>
      <c r="C216" s="13"/>
      <c r="D216" s="13"/>
      <c r="E216" s="13"/>
      <c r="F216" s="13"/>
    </row>
    <row r="217" spans="1:6" x14ac:dyDescent="0.2">
      <c r="A217" s="13"/>
      <c r="B217" s="13"/>
      <c r="C217" s="13"/>
      <c r="D217" s="13"/>
      <c r="E217" s="13"/>
      <c r="F217" s="13"/>
    </row>
    <row r="218" spans="1:6" x14ac:dyDescent="0.2">
      <c r="A218" s="13"/>
      <c r="B218" s="13"/>
      <c r="C218" s="13"/>
      <c r="D218" s="13"/>
      <c r="E218" s="13"/>
      <c r="F218" s="13"/>
    </row>
    <row r="219" spans="1:6" x14ac:dyDescent="0.2">
      <c r="A219" s="13"/>
      <c r="B219" s="13"/>
      <c r="C219" s="13"/>
      <c r="D219" s="13"/>
      <c r="E219" s="13"/>
      <c r="F219" s="13"/>
    </row>
    <row r="220" spans="1:6" x14ac:dyDescent="0.2">
      <c r="A220" s="13"/>
      <c r="B220" s="13"/>
      <c r="C220" s="13"/>
      <c r="D220" s="13"/>
      <c r="E220" s="13"/>
      <c r="F220" s="13"/>
    </row>
    <row r="221" spans="1:6" x14ac:dyDescent="0.2">
      <c r="A221" s="13"/>
      <c r="B221" s="13"/>
      <c r="C221" s="13"/>
      <c r="D221" s="13"/>
      <c r="E221" s="13"/>
      <c r="F221" s="13"/>
    </row>
    <row r="222" spans="1:6" x14ac:dyDescent="0.2">
      <c r="A222" s="13"/>
      <c r="B222" s="13"/>
      <c r="C222" s="13"/>
      <c r="D222" s="13"/>
      <c r="E222" s="13"/>
      <c r="F222" s="13"/>
    </row>
    <row r="223" spans="1:6" x14ac:dyDescent="0.2">
      <c r="A223" s="13"/>
      <c r="B223" s="13"/>
      <c r="C223" s="13"/>
      <c r="D223" s="13"/>
      <c r="E223" s="13"/>
      <c r="F223" s="13"/>
    </row>
    <row r="224" spans="1:6" x14ac:dyDescent="0.2">
      <c r="A224" s="13"/>
      <c r="B224" s="13"/>
      <c r="C224" s="13"/>
      <c r="D224" s="13"/>
      <c r="E224" s="13"/>
      <c r="F224" s="13"/>
    </row>
    <row r="225" spans="1:6" x14ac:dyDescent="0.2">
      <c r="A225" s="13"/>
      <c r="B225" s="13"/>
      <c r="C225" s="13"/>
      <c r="D225" s="13"/>
      <c r="E225" s="13"/>
      <c r="F225" s="13"/>
    </row>
    <row r="226" spans="1:6" x14ac:dyDescent="0.2">
      <c r="A226" s="13"/>
      <c r="B226" s="13"/>
      <c r="C226" s="13"/>
      <c r="D226" s="13"/>
      <c r="E226" s="13"/>
      <c r="F226" s="13"/>
    </row>
    <row r="227" spans="1:6" x14ac:dyDescent="0.2">
      <c r="A227" s="13"/>
      <c r="B227" s="13"/>
      <c r="C227" s="13"/>
      <c r="D227" s="13"/>
      <c r="E227" s="13"/>
      <c r="F227" s="13"/>
    </row>
    <row r="228" spans="1:6" x14ac:dyDescent="0.2">
      <c r="A228" s="13"/>
      <c r="B228" s="13"/>
      <c r="C228" s="13"/>
      <c r="D228" s="13"/>
      <c r="E228" s="13"/>
      <c r="F228" s="13"/>
    </row>
    <row r="229" spans="1:6" x14ac:dyDescent="0.2">
      <c r="A229" s="13"/>
      <c r="B229" s="13"/>
      <c r="C229" s="13"/>
      <c r="D229" s="13"/>
      <c r="E229" s="13"/>
      <c r="F229" s="13"/>
    </row>
    <row r="230" spans="1:6" x14ac:dyDescent="0.2">
      <c r="A230" s="13"/>
      <c r="B230" s="13"/>
      <c r="C230" s="13"/>
      <c r="D230" s="13"/>
      <c r="E230" s="13"/>
      <c r="F230" s="13"/>
    </row>
    <row r="231" spans="1:6" x14ac:dyDescent="0.2">
      <c r="A231" s="13"/>
      <c r="B231" s="13"/>
      <c r="C231" s="13"/>
      <c r="D231" s="13"/>
      <c r="E231" s="13"/>
      <c r="F231" s="13"/>
    </row>
    <row r="232" spans="1:6" x14ac:dyDescent="0.2">
      <c r="A232" s="13"/>
      <c r="B232" s="13"/>
      <c r="C232" s="13"/>
      <c r="D232" s="13"/>
      <c r="E232" s="13"/>
      <c r="F232" s="13"/>
    </row>
    <row r="233" spans="1:6" x14ac:dyDescent="0.2">
      <c r="A233" s="13"/>
      <c r="B233" s="13"/>
      <c r="C233" s="13"/>
      <c r="D233" s="13"/>
      <c r="E233" s="13"/>
      <c r="F233" s="13"/>
    </row>
    <row r="234" spans="1:6" x14ac:dyDescent="0.2">
      <c r="A234" s="13"/>
      <c r="B234" s="13"/>
      <c r="C234" s="13"/>
      <c r="D234" s="13"/>
      <c r="E234" s="13"/>
      <c r="F234" s="13"/>
    </row>
    <row r="235" spans="1:6" x14ac:dyDescent="0.2">
      <c r="A235" s="13"/>
      <c r="B235" s="13"/>
      <c r="C235" s="13"/>
      <c r="D235" s="13"/>
      <c r="E235" s="13"/>
      <c r="F235" s="13"/>
    </row>
    <row r="236" spans="1:6" x14ac:dyDescent="0.2">
      <c r="A236" s="13"/>
      <c r="B236" s="13"/>
      <c r="C236" s="13"/>
      <c r="D236" s="13"/>
      <c r="E236" s="13"/>
      <c r="F236" s="13"/>
    </row>
    <row r="237" spans="1:6" x14ac:dyDescent="0.2">
      <c r="A237" s="13"/>
      <c r="B237" s="13"/>
      <c r="C237" s="13"/>
      <c r="D237" s="13"/>
      <c r="E237" s="13"/>
      <c r="F237" s="13"/>
    </row>
    <row r="238" spans="1:6" x14ac:dyDescent="0.2">
      <c r="A238" s="13"/>
      <c r="B238" s="13"/>
      <c r="C238" s="13"/>
      <c r="D238" s="13"/>
      <c r="E238" s="13"/>
      <c r="F238" s="13"/>
    </row>
    <row r="239" spans="1:6" x14ac:dyDescent="0.2">
      <c r="A239" s="13"/>
      <c r="B239" s="13"/>
      <c r="C239" s="13"/>
      <c r="D239" s="13"/>
      <c r="E239" s="13"/>
      <c r="F239" s="13"/>
    </row>
    <row r="240" spans="1:6" x14ac:dyDescent="0.2">
      <c r="A240" s="13"/>
      <c r="B240" s="13"/>
      <c r="C240" s="13"/>
      <c r="D240" s="13"/>
      <c r="E240" s="13"/>
      <c r="F240" s="13"/>
    </row>
    <row r="241" spans="1:7" x14ac:dyDescent="0.2">
      <c r="A241" s="13"/>
      <c r="B241" s="13"/>
      <c r="C241" s="13"/>
      <c r="D241" s="13"/>
      <c r="E241" s="13"/>
      <c r="F241" s="13"/>
    </row>
    <row r="242" spans="1:7" x14ac:dyDescent="0.2">
      <c r="A242" s="13"/>
      <c r="B242" s="13"/>
      <c r="C242" s="13"/>
      <c r="D242" s="13"/>
      <c r="E242" s="13"/>
      <c r="F242" s="13"/>
    </row>
    <row r="243" spans="1:7" x14ac:dyDescent="0.2">
      <c r="A243" s="13"/>
      <c r="B243" s="13"/>
      <c r="C243" s="13"/>
      <c r="D243" s="13"/>
      <c r="E243" s="13"/>
      <c r="F243" s="13"/>
    </row>
    <row r="244" spans="1:7" x14ac:dyDescent="0.2">
      <c r="A244" s="13"/>
      <c r="B244" s="13"/>
      <c r="C244" s="13"/>
      <c r="D244" s="13"/>
      <c r="E244" s="13"/>
      <c r="F244" s="13"/>
    </row>
    <row r="245" spans="1:7" x14ac:dyDescent="0.2">
      <c r="A245" s="13"/>
      <c r="B245" s="13"/>
      <c r="C245" s="13"/>
      <c r="D245" s="13"/>
      <c r="E245" s="13"/>
      <c r="G245" s="13"/>
    </row>
    <row r="246" spans="1:7" x14ac:dyDescent="0.2">
      <c r="A246" s="13"/>
      <c r="B246" s="13"/>
      <c r="C246" s="13"/>
      <c r="D246" s="13"/>
      <c r="E246" s="13"/>
      <c r="F246" s="13"/>
    </row>
    <row r="247" spans="1:7" x14ac:dyDescent="0.2">
      <c r="A247" s="13"/>
      <c r="B247" s="13"/>
      <c r="C247" s="13"/>
      <c r="D247" s="13"/>
      <c r="E247" s="13"/>
      <c r="F247" s="13"/>
    </row>
    <row r="248" spans="1:7" x14ac:dyDescent="0.2">
      <c r="A248" s="13"/>
      <c r="B248" s="13"/>
      <c r="C248" s="13"/>
      <c r="D248" s="13"/>
      <c r="E248" s="13"/>
      <c r="F248" s="13"/>
    </row>
    <row r="249" spans="1:7" x14ac:dyDescent="0.2">
      <c r="A249" s="13"/>
      <c r="B249" s="13"/>
      <c r="C249" s="13"/>
      <c r="D249" s="13"/>
      <c r="E249" s="13"/>
      <c r="F249" s="13"/>
    </row>
    <row r="250" spans="1:7" x14ac:dyDescent="0.2">
      <c r="A250" s="13"/>
      <c r="B250" s="13"/>
      <c r="C250" s="13"/>
      <c r="D250" s="13"/>
      <c r="E250" s="13"/>
      <c r="F250" s="13"/>
    </row>
    <row r="251" spans="1:7" x14ac:dyDescent="0.2">
      <c r="A251" s="13"/>
      <c r="B251" s="13"/>
      <c r="C251" s="13"/>
      <c r="D251" s="13"/>
      <c r="E251" s="13"/>
      <c r="F251" s="13"/>
    </row>
    <row r="252" spans="1:7" x14ac:dyDescent="0.2">
      <c r="A252" s="13"/>
      <c r="B252" s="13"/>
      <c r="C252" s="13"/>
      <c r="D252" s="13"/>
      <c r="E252" s="13"/>
      <c r="F252" s="13"/>
    </row>
    <row r="253" spans="1:7" x14ac:dyDescent="0.2">
      <c r="A253" s="13"/>
      <c r="B253" s="13"/>
      <c r="C253" s="13"/>
      <c r="D253" s="13"/>
      <c r="E253" s="13"/>
      <c r="F253" s="13"/>
    </row>
    <row r="254" spans="1:7" x14ac:dyDescent="0.2">
      <c r="A254" s="13"/>
      <c r="B254" s="13"/>
      <c r="C254" s="13"/>
      <c r="D254" s="13"/>
      <c r="E254" s="13"/>
      <c r="F254" s="13"/>
    </row>
    <row r="255" spans="1:7" x14ac:dyDescent="0.2">
      <c r="A255" s="13"/>
      <c r="B255" s="13"/>
      <c r="C255" s="13"/>
      <c r="D255" s="13"/>
      <c r="E255" s="13"/>
      <c r="F255" s="13"/>
    </row>
    <row r="256" spans="1:7" x14ac:dyDescent="0.2">
      <c r="A256" s="13"/>
      <c r="B256" s="13"/>
      <c r="C256" s="13"/>
      <c r="D256" s="13"/>
      <c r="E256" s="13"/>
      <c r="F256" s="13"/>
    </row>
    <row r="257" spans="1:6" x14ac:dyDescent="0.2">
      <c r="A257" s="13"/>
      <c r="B257" s="13"/>
      <c r="C257" s="13"/>
      <c r="D257" s="13"/>
      <c r="E257" s="13"/>
      <c r="F257" s="13"/>
    </row>
    <row r="258" spans="1:6" x14ac:dyDescent="0.2">
      <c r="A258" s="13"/>
      <c r="B258" s="13"/>
      <c r="C258" s="13"/>
      <c r="D258" s="13"/>
      <c r="E258" s="13"/>
      <c r="F258" s="13"/>
    </row>
    <row r="259" spans="1:6" x14ac:dyDescent="0.2">
      <c r="A259" s="13"/>
      <c r="B259" s="13"/>
      <c r="C259" s="13"/>
      <c r="D259" s="13"/>
      <c r="E259" s="13"/>
      <c r="F259" s="13"/>
    </row>
    <row r="260" spans="1:6" x14ac:dyDescent="0.2">
      <c r="A260" s="13"/>
      <c r="B260" s="13"/>
      <c r="C260" s="13"/>
      <c r="D260" s="13"/>
      <c r="E260" s="13"/>
      <c r="F260" s="13"/>
    </row>
    <row r="261" spans="1:6" x14ac:dyDescent="0.2">
      <c r="A261" s="13"/>
      <c r="B261" s="13"/>
      <c r="C261" s="13"/>
      <c r="D261" s="13"/>
      <c r="E261" s="13"/>
      <c r="F261" s="13"/>
    </row>
    <row r="262" spans="1:6" x14ac:dyDescent="0.2">
      <c r="A262" s="13"/>
      <c r="B262" s="13"/>
      <c r="C262" s="13"/>
      <c r="D262" s="13"/>
      <c r="E262" s="13"/>
      <c r="F262" s="13"/>
    </row>
    <row r="263" spans="1:6" x14ac:dyDescent="0.2">
      <c r="A263" s="13"/>
      <c r="B263" s="13"/>
    </row>
    <row r="264" spans="1:6" x14ac:dyDescent="0.2">
      <c r="A264" s="13"/>
    </row>
    <row r="265" spans="1:6" x14ac:dyDescent="0.2">
      <c r="A265" s="13"/>
    </row>
    <row r="266" spans="1:6" x14ac:dyDescent="0.2">
      <c r="A266" s="13"/>
      <c r="B266" s="13"/>
      <c r="D266" s="13"/>
      <c r="E266" s="13"/>
      <c r="F266" s="13"/>
    </row>
    <row r="267" spans="1:6" x14ac:dyDescent="0.2">
      <c r="A267" s="13"/>
      <c r="B267" s="13"/>
    </row>
    <row r="268" spans="1:6" x14ac:dyDescent="0.2">
      <c r="A268" s="13"/>
    </row>
    <row r="269" spans="1:6" x14ac:dyDescent="0.2">
      <c r="A269" s="13"/>
    </row>
    <row r="270" spans="1:6" x14ac:dyDescent="0.2">
      <c r="A270" s="13"/>
      <c r="B270" s="13"/>
      <c r="D270" s="13"/>
      <c r="E270" s="13"/>
      <c r="F270" s="13"/>
    </row>
    <row r="271" spans="1:6" x14ac:dyDescent="0.2">
      <c r="A271" s="13"/>
      <c r="B271" s="13"/>
    </row>
    <row r="272" spans="1:6" x14ac:dyDescent="0.2">
      <c r="A272" s="13"/>
    </row>
    <row r="273" spans="1:7" x14ac:dyDescent="0.2">
      <c r="A273" s="13"/>
    </row>
    <row r="274" spans="1:7" x14ac:dyDescent="0.2">
      <c r="A274" s="13"/>
      <c r="B274" s="13"/>
      <c r="D274" s="13"/>
      <c r="E274" s="13"/>
      <c r="G274" s="13"/>
    </row>
    <row r="275" spans="1:7" x14ac:dyDescent="0.2">
      <c r="A275" s="13"/>
    </row>
    <row r="276" spans="1:7" x14ac:dyDescent="0.2">
      <c r="A276" s="13"/>
    </row>
    <row r="277" spans="1:7" x14ac:dyDescent="0.2">
      <c r="A277" s="13"/>
    </row>
    <row r="278" spans="1:7" x14ac:dyDescent="0.2">
      <c r="A278" s="13"/>
      <c r="B278" s="13"/>
      <c r="D278" s="13"/>
      <c r="E278" s="13"/>
      <c r="G278" s="13"/>
    </row>
    <row r="279" spans="1:7" x14ac:dyDescent="0.2">
      <c r="A279" s="13"/>
      <c r="B279" s="13"/>
      <c r="D279" s="13"/>
      <c r="E279" s="13"/>
      <c r="G279" s="13"/>
    </row>
    <row r="280" spans="1:7" x14ac:dyDescent="0.2">
      <c r="A280" s="13"/>
      <c r="B280" s="13"/>
      <c r="D280" s="13"/>
      <c r="E280" s="13"/>
      <c r="G280" s="13"/>
    </row>
    <row r="281" spans="1:7" x14ac:dyDescent="0.2">
      <c r="A281" s="13"/>
      <c r="B281" s="13"/>
      <c r="D281" s="13"/>
      <c r="E281" s="13"/>
      <c r="G281" s="13"/>
    </row>
    <row r="282" spans="1:7" x14ac:dyDescent="0.2">
      <c r="A282" s="13"/>
      <c r="B282" s="13"/>
      <c r="D282" s="13"/>
      <c r="E282" s="13"/>
      <c r="G282" s="13"/>
    </row>
    <row r="283" spans="1:7" x14ac:dyDescent="0.2">
      <c r="A283" s="13"/>
      <c r="B283" s="13"/>
      <c r="D283" s="13"/>
      <c r="E283" s="13"/>
      <c r="G283" s="13"/>
    </row>
    <row r="284" spans="1:7" x14ac:dyDescent="0.2">
      <c r="A284" s="13"/>
      <c r="B284" s="13"/>
      <c r="D284" s="13"/>
      <c r="E284" s="13"/>
      <c r="G284" s="13"/>
    </row>
    <row r="285" spans="1:7" x14ac:dyDescent="0.2">
      <c r="A285" s="13"/>
      <c r="B285" s="13"/>
      <c r="D285" s="13"/>
      <c r="E285" s="13"/>
      <c r="G285" s="13"/>
    </row>
    <row r="286" spans="1:7" x14ac:dyDescent="0.2">
      <c r="A286" s="13"/>
      <c r="B286" s="13"/>
      <c r="D286" s="13"/>
      <c r="E286" s="13"/>
      <c r="G286" s="13"/>
    </row>
    <row r="287" spans="1:7" x14ac:dyDescent="0.2">
      <c r="A287" s="13"/>
      <c r="B287" s="13"/>
      <c r="D287" s="13"/>
      <c r="E287" s="13"/>
      <c r="G287" s="13"/>
    </row>
    <row r="288" spans="1:7" x14ac:dyDescent="0.2">
      <c r="A288" s="13"/>
      <c r="B288" s="13"/>
      <c r="D288" s="13"/>
      <c r="E288" s="13"/>
      <c r="G288" s="13"/>
    </row>
    <row r="289" spans="1:7" x14ac:dyDescent="0.2">
      <c r="A289" s="13"/>
      <c r="B289" s="13"/>
      <c r="D289" s="13"/>
      <c r="E289" s="13"/>
      <c r="G289" s="13"/>
    </row>
    <row r="290" spans="1:7" x14ac:dyDescent="0.2">
      <c r="A290" s="13"/>
      <c r="B290" s="13"/>
      <c r="D290" s="13"/>
      <c r="E290" s="13"/>
      <c r="G290" s="13"/>
    </row>
    <row r="291" spans="1:7" x14ac:dyDescent="0.2">
      <c r="A291" s="13"/>
      <c r="B291" s="13"/>
      <c r="D291" s="13"/>
      <c r="E291" s="13"/>
      <c r="G291" s="13"/>
    </row>
    <row r="292" spans="1:7" x14ac:dyDescent="0.2">
      <c r="A292" s="13"/>
      <c r="B292" s="13"/>
      <c r="D292" s="13"/>
      <c r="E292" s="13"/>
      <c r="G292" s="13"/>
    </row>
    <row r="293" spans="1:7" x14ac:dyDescent="0.2">
      <c r="A293" s="13"/>
      <c r="B293" s="13"/>
      <c r="D293" s="13"/>
      <c r="E293" s="13"/>
      <c r="G293" s="13"/>
    </row>
    <row r="294" spans="1:7" x14ac:dyDescent="0.2">
      <c r="A294" s="13"/>
      <c r="B294" s="13"/>
      <c r="D294" s="13"/>
      <c r="E294" s="13"/>
      <c r="G294" s="13"/>
    </row>
    <row r="295" spans="1:7" x14ac:dyDescent="0.2">
      <c r="A295" s="13"/>
      <c r="B295" s="13"/>
      <c r="D295" s="13"/>
      <c r="E295" s="13"/>
      <c r="G295" s="13"/>
    </row>
    <row r="296" spans="1:7" x14ac:dyDescent="0.2">
      <c r="A296" s="13"/>
      <c r="B296" s="13"/>
      <c r="D296" s="13"/>
      <c r="E296" s="13"/>
      <c r="G296" s="13"/>
    </row>
    <row r="297" spans="1:7" x14ac:dyDescent="0.2">
      <c r="A297" s="13"/>
      <c r="B297" s="13"/>
      <c r="D297" s="13"/>
      <c r="E297" s="13"/>
      <c r="G297" s="13"/>
    </row>
    <row r="298" spans="1:7" x14ac:dyDescent="0.2">
      <c r="A298" s="13"/>
      <c r="B298" s="13"/>
      <c r="D298" s="13"/>
      <c r="E298" s="13"/>
      <c r="G298" s="13"/>
    </row>
    <row r="299" spans="1:7" x14ac:dyDescent="0.2">
      <c r="A299" s="13"/>
      <c r="B299" s="13"/>
      <c r="D299" s="13"/>
      <c r="E299" s="13"/>
      <c r="G299" s="13"/>
    </row>
    <row r="300" spans="1:7" x14ac:dyDescent="0.2">
      <c r="A300" s="13"/>
      <c r="B300" s="13"/>
      <c r="D300" s="13"/>
      <c r="E300" s="13"/>
      <c r="G300" s="13"/>
    </row>
    <row r="301" spans="1:7" x14ac:dyDescent="0.2">
      <c r="A301" s="13"/>
      <c r="B301" s="13"/>
      <c r="D301" s="13"/>
      <c r="E301" s="13"/>
      <c r="G301" s="13"/>
    </row>
    <row r="302" spans="1:7" x14ac:dyDescent="0.2">
      <c r="A302" s="13"/>
      <c r="B302" s="13"/>
      <c r="D302" s="13"/>
      <c r="E302" s="13"/>
      <c r="G302" s="13"/>
    </row>
    <row r="303" spans="1:7" x14ac:dyDescent="0.2">
      <c r="A303" s="13"/>
      <c r="B303" s="13"/>
      <c r="D303" s="13"/>
      <c r="E303" s="13"/>
      <c r="G303" s="13"/>
    </row>
    <row r="304" spans="1:7" x14ac:dyDescent="0.2">
      <c r="A304" s="13"/>
      <c r="B304" s="13"/>
      <c r="D304" s="13"/>
      <c r="E304" s="13"/>
      <c r="G304" s="13"/>
    </row>
    <row r="305" spans="1:7" x14ac:dyDescent="0.2">
      <c r="A305" s="13"/>
      <c r="B305" s="13"/>
      <c r="D305" s="13"/>
      <c r="E305" s="13"/>
      <c r="G305" s="13"/>
    </row>
    <row r="306" spans="1:7" x14ac:dyDescent="0.2">
      <c r="A306" s="13"/>
      <c r="B306" s="13"/>
      <c r="D306" s="13"/>
      <c r="E306" s="13"/>
      <c r="G306" s="13"/>
    </row>
    <row r="307" spans="1:7" x14ac:dyDescent="0.2">
      <c r="A307" s="13"/>
      <c r="B307" s="13"/>
      <c r="D307" s="13"/>
      <c r="E307" s="13"/>
      <c r="G307" s="13"/>
    </row>
    <row r="308" spans="1:7" x14ac:dyDescent="0.2">
      <c r="A308" s="13"/>
      <c r="B308" s="13"/>
      <c r="D308" s="13"/>
      <c r="E308" s="13"/>
      <c r="G308" s="13"/>
    </row>
    <row r="309" spans="1:7" x14ac:dyDescent="0.2">
      <c r="A309" s="13"/>
      <c r="B309" s="13"/>
      <c r="D309" s="13"/>
      <c r="E309" s="13"/>
      <c r="G309" s="13"/>
    </row>
    <row r="310" spans="1:7" x14ac:dyDescent="0.2">
      <c r="A310" s="13"/>
      <c r="B310" s="13"/>
      <c r="D310" s="13"/>
      <c r="E310" s="13"/>
      <c r="G310" s="13"/>
    </row>
    <row r="311" spans="1:7" x14ac:dyDescent="0.2">
      <c r="A311" s="13"/>
      <c r="B311" s="13"/>
      <c r="D311" s="13"/>
      <c r="E311" s="13"/>
      <c r="G311" s="13"/>
    </row>
    <row r="312" spans="1:7" x14ac:dyDescent="0.2">
      <c r="A312" s="13"/>
      <c r="B312" s="13"/>
      <c r="D312" s="13"/>
      <c r="E312" s="13"/>
      <c r="G312" s="13"/>
    </row>
    <row r="313" spans="1:7" x14ac:dyDescent="0.2">
      <c r="A313" s="13"/>
      <c r="B313" s="13"/>
      <c r="D313" s="13"/>
      <c r="E313" s="13"/>
      <c r="G313" s="13"/>
    </row>
    <row r="314" spans="1:7" x14ac:dyDescent="0.2">
      <c r="A314" s="13"/>
      <c r="B314" s="13"/>
      <c r="D314" s="13"/>
      <c r="E314" s="13"/>
      <c r="G314" s="13"/>
    </row>
    <row r="315" spans="1:7" x14ac:dyDescent="0.2">
      <c r="A315" s="13"/>
      <c r="B315" s="13"/>
      <c r="D315" s="13"/>
      <c r="E315" s="13"/>
      <c r="G315" s="13"/>
    </row>
    <row r="316" spans="1:7" x14ac:dyDescent="0.2">
      <c r="A316" s="13"/>
    </row>
    <row r="317" spans="1:7" x14ac:dyDescent="0.2">
      <c r="A317" s="13"/>
    </row>
    <row r="318" spans="1:7" x14ac:dyDescent="0.2">
      <c r="A318" s="13"/>
    </row>
    <row r="319" spans="1:7" x14ac:dyDescent="0.2">
      <c r="A319" s="13"/>
      <c r="B319" s="13"/>
      <c r="D319" s="13"/>
      <c r="E319" s="13"/>
      <c r="G319" s="13"/>
    </row>
    <row r="320" spans="1:7" x14ac:dyDescent="0.2">
      <c r="A320" s="13"/>
    </row>
    <row r="321" spans="1:7" x14ac:dyDescent="0.2">
      <c r="A321" s="13"/>
    </row>
    <row r="322" spans="1:7" x14ac:dyDescent="0.2">
      <c r="A322" s="13"/>
    </row>
    <row r="323" spans="1:7" x14ac:dyDescent="0.2">
      <c r="A323" s="13"/>
      <c r="B323" s="13"/>
      <c r="D323" s="13"/>
      <c r="E323" s="13"/>
      <c r="G323" s="13"/>
    </row>
    <row r="324" spans="1:7" x14ac:dyDescent="0.2">
      <c r="A324" s="13"/>
      <c r="B324" s="13"/>
      <c r="D324" s="13"/>
      <c r="E324" s="13"/>
      <c r="G324" s="13"/>
    </row>
    <row r="325" spans="1:7" x14ac:dyDescent="0.2">
      <c r="A325" s="13"/>
    </row>
    <row r="326" spans="1:7" x14ac:dyDescent="0.2">
      <c r="A326" s="13"/>
    </row>
    <row r="327" spans="1:7" x14ac:dyDescent="0.2">
      <c r="A327" s="13"/>
    </row>
    <row r="328" spans="1:7" x14ac:dyDescent="0.2">
      <c r="A328" s="13"/>
      <c r="B328" s="13"/>
      <c r="D328" s="13"/>
      <c r="E328" s="13"/>
      <c r="F328" s="13"/>
    </row>
    <row r="329" spans="1:7" x14ac:dyDescent="0.2">
      <c r="A329" s="13"/>
      <c r="B329" s="13"/>
      <c r="D329" s="13"/>
      <c r="E329" s="13"/>
      <c r="G329" s="13"/>
    </row>
    <row r="330" spans="1:7" x14ac:dyDescent="0.2">
      <c r="A330" s="13"/>
    </row>
    <row r="331" spans="1:7" x14ac:dyDescent="0.2">
      <c r="A331" s="13"/>
    </row>
    <row r="332" spans="1:7" x14ac:dyDescent="0.2">
      <c r="A332" s="13"/>
    </row>
    <row r="333" spans="1:7" x14ac:dyDescent="0.2">
      <c r="A333" s="13"/>
      <c r="B333" s="13"/>
      <c r="C333" s="13"/>
      <c r="D333" s="13"/>
      <c r="E333" s="13"/>
      <c r="F333" s="13"/>
    </row>
    <row r="334" spans="1:7" x14ac:dyDescent="0.2">
      <c r="A334" s="13"/>
      <c r="B334" s="13"/>
      <c r="C334" s="13"/>
      <c r="D334" s="13"/>
      <c r="E334" s="13"/>
      <c r="F334" s="13"/>
    </row>
    <row r="335" spans="1:7" x14ac:dyDescent="0.2">
      <c r="A335" s="13"/>
      <c r="B335" s="13"/>
      <c r="D335" s="13"/>
      <c r="E335" s="13"/>
      <c r="G335" s="13"/>
    </row>
    <row r="336" spans="1:7" x14ac:dyDescent="0.2">
      <c r="A336" s="13"/>
      <c r="B336" s="13"/>
      <c r="D336" s="13"/>
      <c r="E336" s="13"/>
      <c r="F336" s="13"/>
    </row>
    <row r="337" spans="1:7" x14ac:dyDescent="0.2">
      <c r="A337" s="13"/>
      <c r="B337" s="13"/>
      <c r="D337" s="13"/>
      <c r="E337" s="13"/>
      <c r="F337" s="13"/>
    </row>
    <row r="338" spans="1:7" x14ac:dyDescent="0.2">
      <c r="A338" s="13"/>
      <c r="B338" s="13"/>
      <c r="D338" s="13"/>
      <c r="E338" s="13"/>
      <c r="G338" s="13"/>
    </row>
    <row r="339" spans="1:7" x14ac:dyDescent="0.2">
      <c r="A339" s="13"/>
      <c r="B339" s="13"/>
      <c r="D339" s="13"/>
      <c r="E339" s="13"/>
      <c r="G339" s="13"/>
    </row>
    <row r="340" spans="1:7" x14ac:dyDescent="0.2">
      <c r="A340" s="13"/>
      <c r="B340" s="13"/>
      <c r="D340" s="13"/>
      <c r="E340" s="13"/>
      <c r="G340" s="13"/>
    </row>
    <row r="341" spans="1:7" x14ac:dyDescent="0.2">
      <c r="A341" s="13"/>
      <c r="B341" s="13"/>
      <c r="D341" s="13"/>
      <c r="E341" s="13"/>
      <c r="F341" s="13"/>
    </row>
    <row r="342" spans="1:7" x14ac:dyDescent="0.2">
      <c r="A342" s="13"/>
      <c r="B342" s="13"/>
      <c r="D342" s="13"/>
      <c r="E342" s="13"/>
      <c r="G342" s="13"/>
    </row>
    <row r="343" spans="1:7" x14ac:dyDescent="0.2">
      <c r="A343" s="13"/>
      <c r="B343" s="13"/>
      <c r="D343" s="13"/>
      <c r="E343" s="13"/>
      <c r="G343" s="13"/>
    </row>
    <row r="344" spans="1:7" x14ac:dyDescent="0.2">
      <c r="A344" s="13"/>
      <c r="B344" s="13"/>
      <c r="D344" s="13"/>
      <c r="E344" s="13"/>
      <c r="F344" s="13"/>
    </row>
    <row r="345" spans="1:7" x14ac:dyDescent="0.2">
      <c r="A345" s="13"/>
      <c r="B345" s="13"/>
      <c r="D345" s="13"/>
      <c r="E345" s="13"/>
      <c r="G345" s="13"/>
    </row>
    <row r="346" spans="1:7" x14ac:dyDescent="0.2">
      <c r="A346" s="13"/>
      <c r="B346" s="13"/>
      <c r="D346" s="13"/>
      <c r="E346" s="13"/>
      <c r="G346" s="13"/>
    </row>
    <row r="347" spans="1:7" x14ac:dyDescent="0.2">
      <c r="A347" s="13"/>
      <c r="B347" s="13"/>
      <c r="D347" s="13"/>
      <c r="E347" s="13"/>
      <c r="F347" s="13"/>
    </row>
    <row r="348" spans="1:7" x14ac:dyDescent="0.2">
      <c r="A348" s="13"/>
      <c r="B348" s="13"/>
      <c r="D348" s="13"/>
      <c r="E348" s="13"/>
      <c r="F348" s="13"/>
    </row>
    <row r="349" spans="1:7" x14ac:dyDescent="0.2">
      <c r="A349" s="13"/>
      <c r="B349" s="13"/>
      <c r="D349" s="13"/>
      <c r="E349" s="13"/>
      <c r="G349" s="13"/>
    </row>
    <row r="350" spans="1:7" x14ac:dyDescent="0.2">
      <c r="A350" s="13"/>
      <c r="B350" s="13"/>
      <c r="D350" s="13"/>
      <c r="E350" s="13"/>
      <c r="F350" s="13"/>
    </row>
    <row r="351" spans="1:7" x14ac:dyDescent="0.2">
      <c r="A351" s="13"/>
      <c r="B351" s="13"/>
      <c r="D351" s="13"/>
      <c r="E351" s="13"/>
      <c r="F351" s="13"/>
    </row>
    <row r="352" spans="1:7" x14ac:dyDescent="0.2">
      <c r="A352" s="13"/>
      <c r="B352" s="13"/>
      <c r="C352" s="13"/>
      <c r="D352" s="13"/>
      <c r="E352" s="13"/>
      <c r="F352" s="13"/>
    </row>
    <row r="353" spans="1:7" x14ac:dyDescent="0.2">
      <c r="A353" s="13"/>
      <c r="B353" s="13"/>
      <c r="D353" s="13"/>
      <c r="E353" s="13"/>
      <c r="F353" s="13"/>
    </row>
    <row r="354" spans="1:7" x14ac:dyDescent="0.2">
      <c r="A354" s="13"/>
      <c r="B354" s="13"/>
      <c r="D354" s="13"/>
      <c r="E354" s="13"/>
      <c r="G354" s="13"/>
    </row>
    <row r="355" spans="1:7" x14ac:dyDescent="0.2">
      <c r="A355" s="13"/>
    </row>
    <row r="356" spans="1:7" x14ac:dyDescent="0.2">
      <c r="A356" s="13"/>
    </row>
    <row r="357" spans="1:7" x14ac:dyDescent="0.2">
      <c r="A357" s="13"/>
    </row>
    <row r="358" spans="1:7" x14ac:dyDescent="0.2">
      <c r="A358" s="13"/>
      <c r="B358" s="13"/>
      <c r="D358" s="13"/>
      <c r="E358" s="13"/>
      <c r="G358" s="13"/>
    </row>
    <row r="359" spans="1:7" x14ac:dyDescent="0.2">
      <c r="A359" s="13"/>
      <c r="B359" s="13"/>
      <c r="D359" s="13"/>
      <c r="E359" s="13"/>
      <c r="G359" s="13"/>
    </row>
    <row r="360" spans="1:7" x14ac:dyDescent="0.2">
      <c r="A360" s="13"/>
      <c r="B360" s="13"/>
      <c r="D360" s="13"/>
      <c r="E360" s="13"/>
      <c r="G360" s="13"/>
    </row>
    <row r="361" spans="1:7" x14ac:dyDescent="0.2">
      <c r="A361" s="13"/>
      <c r="B361" s="13"/>
      <c r="D361" s="13"/>
      <c r="E361" s="13"/>
      <c r="G361" s="13"/>
    </row>
    <row r="362" spans="1:7" x14ac:dyDescent="0.2">
      <c r="A362" s="13"/>
      <c r="B362" s="13"/>
      <c r="D362" s="13"/>
      <c r="E362" s="13"/>
      <c r="G362" s="13"/>
    </row>
    <row r="363" spans="1:7" x14ac:dyDescent="0.2">
      <c r="A363" s="13"/>
      <c r="B363" s="13"/>
      <c r="D363" s="13"/>
      <c r="E363" s="13"/>
      <c r="G363" s="13"/>
    </row>
    <row r="364" spans="1:7" x14ac:dyDescent="0.2">
      <c r="A364" s="13"/>
      <c r="B364" s="13"/>
      <c r="D364" s="13"/>
      <c r="E364" s="13"/>
      <c r="G364" s="13"/>
    </row>
    <row r="365" spans="1:7" x14ac:dyDescent="0.2">
      <c r="A365" s="13"/>
      <c r="B365" s="13"/>
      <c r="D365" s="13"/>
      <c r="E365" s="13"/>
      <c r="G365" s="13"/>
    </row>
    <row r="366" spans="1:7" x14ac:dyDescent="0.2">
      <c r="A366" s="13"/>
      <c r="B366" s="13"/>
      <c r="D366" s="13"/>
      <c r="E366" s="13"/>
      <c r="G366" s="13"/>
    </row>
    <row r="367" spans="1:7" x14ac:dyDescent="0.2">
      <c r="A367" s="13"/>
      <c r="B367" s="13"/>
      <c r="D367" s="13"/>
      <c r="E367" s="13"/>
      <c r="G367" s="13"/>
    </row>
    <row r="368" spans="1:7" x14ac:dyDescent="0.2">
      <c r="A368" s="13"/>
      <c r="B368" s="13"/>
      <c r="D368" s="13"/>
      <c r="E368" s="13"/>
      <c r="G368" s="13"/>
    </row>
    <row r="369" spans="1:7" x14ac:dyDescent="0.2">
      <c r="A369" s="13"/>
      <c r="B369" s="13"/>
      <c r="D369" s="13"/>
      <c r="E369" s="13"/>
      <c r="G369" s="13"/>
    </row>
    <row r="370" spans="1:7" x14ac:dyDescent="0.2">
      <c r="A370" s="13"/>
      <c r="B370" s="13"/>
      <c r="D370" s="13"/>
      <c r="E370" s="13"/>
      <c r="G370" s="13"/>
    </row>
    <row r="371" spans="1:7" x14ac:dyDescent="0.2">
      <c r="A371" s="13"/>
      <c r="B371" s="13"/>
      <c r="D371" s="13"/>
      <c r="E371" s="13"/>
      <c r="G371" s="13"/>
    </row>
    <row r="372" spans="1:7" x14ac:dyDescent="0.2">
      <c r="A372" s="13"/>
      <c r="B372" s="13"/>
      <c r="D372" s="13"/>
      <c r="E372" s="13"/>
      <c r="G372" s="13"/>
    </row>
    <row r="373" spans="1:7" x14ac:dyDescent="0.2">
      <c r="A373" s="13"/>
      <c r="B373" s="13"/>
      <c r="D373" s="13"/>
      <c r="E373" s="13"/>
      <c r="G373" s="13"/>
    </row>
    <row r="374" spans="1:7" x14ac:dyDescent="0.2">
      <c r="A374" s="13"/>
      <c r="B374" s="13"/>
      <c r="D374" s="13"/>
      <c r="E374" s="13"/>
      <c r="G374" s="13"/>
    </row>
    <row r="375" spans="1:7" x14ac:dyDescent="0.2">
      <c r="A375" s="13"/>
      <c r="B375" s="13"/>
      <c r="D375" s="13"/>
      <c r="E375" s="13"/>
      <c r="G375" s="13"/>
    </row>
    <row r="376" spans="1:7" x14ac:dyDescent="0.2">
      <c r="A376" s="13"/>
      <c r="B376" s="13"/>
      <c r="D376" s="13"/>
      <c r="E376" s="13"/>
      <c r="G376" s="13"/>
    </row>
    <row r="377" spans="1:7" x14ac:dyDescent="0.2">
      <c r="A377" s="13"/>
      <c r="B377" s="13"/>
      <c r="D377" s="13"/>
      <c r="E377" s="13"/>
      <c r="G377" s="13"/>
    </row>
    <row r="378" spans="1:7" x14ac:dyDescent="0.2">
      <c r="A378" s="13"/>
      <c r="B378" s="13"/>
      <c r="D378" s="13"/>
      <c r="E378" s="13"/>
      <c r="G378" s="13"/>
    </row>
    <row r="379" spans="1:7" x14ac:dyDescent="0.2">
      <c r="A379" s="13"/>
      <c r="B379" s="13"/>
      <c r="D379" s="13"/>
      <c r="E379" s="13"/>
      <c r="G379" s="13"/>
    </row>
    <row r="380" spans="1:7" x14ac:dyDescent="0.2">
      <c r="A380" s="13"/>
      <c r="B380" s="13"/>
      <c r="D380" s="13"/>
      <c r="E380" s="13"/>
      <c r="G380" s="13"/>
    </row>
    <row r="381" spans="1:7" x14ac:dyDescent="0.2">
      <c r="A381" s="13"/>
      <c r="B381" s="13"/>
      <c r="D381" s="13"/>
      <c r="E381" s="13"/>
      <c r="G381" s="13"/>
    </row>
    <row r="382" spans="1:7" x14ac:dyDescent="0.2">
      <c r="A382" s="13"/>
      <c r="B382" s="13"/>
      <c r="D382" s="13"/>
      <c r="E382" s="13"/>
      <c r="G382" s="13"/>
    </row>
    <row r="383" spans="1:7" x14ac:dyDescent="0.2">
      <c r="A383" s="13"/>
      <c r="B383" s="13"/>
      <c r="D383" s="13"/>
      <c r="E383" s="13"/>
      <c r="G383" s="13"/>
    </row>
    <row r="384" spans="1:7" x14ac:dyDescent="0.2">
      <c r="A384" s="13"/>
      <c r="B384" s="13"/>
      <c r="D384" s="13"/>
      <c r="E384" s="13"/>
      <c r="G384" s="13"/>
    </row>
    <row r="385" spans="1:7" x14ac:dyDescent="0.2">
      <c r="A385" s="13"/>
      <c r="B385" s="13"/>
      <c r="D385" s="13"/>
      <c r="E385" s="13"/>
      <c r="G385" s="13"/>
    </row>
    <row r="386" spans="1:7" x14ac:dyDescent="0.2">
      <c r="A386" s="13"/>
      <c r="B386" s="13"/>
      <c r="D386" s="13"/>
      <c r="E386" s="13"/>
      <c r="G386" s="13"/>
    </row>
    <row r="387" spans="1:7" x14ac:dyDescent="0.2">
      <c r="A387" s="13"/>
      <c r="B387" s="13"/>
      <c r="D387" s="13"/>
      <c r="E387" s="13"/>
      <c r="G387" s="13"/>
    </row>
    <row r="388" spans="1:7" x14ac:dyDescent="0.2">
      <c r="A388" s="13"/>
      <c r="B388" s="13"/>
      <c r="D388" s="13"/>
      <c r="E388" s="13"/>
      <c r="G388" s="13"/>
    </row>
    <row r="389" spans="1:7" x14ac:dyDescent="0.2">
      <c r="A389" s="13"/>
      <c r="B389" s="13"/>
      <c r="D389" s="13"/>
      <c r="E389" s="13"/>
      <c r="G389" s="13"/>
    </row>
    <row r="390" spans="1:7" x14ac:dyDescent="0.2">
      <c r="A390" s="13"/>
      <c r="B390" s="13"/>
      <c r="D390" s="13"/>
      <c r="E390" s="13"/>
      <c r="G390" s="13"/>
    </row>
    <row r="391" spans="1:7" x14ac:dyDescent="0.2">
      <c r="A391" s="13"/>
    </row>
    <row r="392" spans="1:7" x14ac:dyDescent="0.2">
      <c r="A392" s="13"/>
    </row>
    <row r="393" spans="1:7" x14ac:dyDescent="0.2">
      <c r="A393" s="13"/>
    </row>
    <row r="394" spans="1:7" x14ac:dyDescent="0.2">
      <c r="A394" s="13"/>
      <c r="B394" s="13"/>
      <c r="D394" s="13"/>
      <c r="E394" s="13"/>
      <c r="G394" s="13"/>
    </row>
    <row r="395" spans="1:7" x14ac:dyDescent="0.2">
      <c r="A395" s="13"/>
      <c r="B395" s="13"/>
      <c r="D395" s="13"/>
      <c r="E395" s="13"/>
      <c r="F395" s="13"/>
    </row>
    <row r="396" spans="1:7" x14ac:dyDescent="0.2">
      <c r="A396" s="13"/>
      <c r="B396" s="13"/>
    </row>
    <row r="397" spans="1:7" x14ac:dyDescent="0.2">
      <c r="A397" s="13"/>
    </row>
    <row r="398" spans="1:7" x14ac:dyDescent="0.2">
      <c r="A398" s="13"/>
    </row>
    <row r="399" spans="1:7" x14ac:dyDescent="0.2">
      <c r="A399" s="13"/>
      <c r="B399" s="13"/>
      <c r="D399" s="13"/>
      <c r="E399" s="13"/>
      <c r="G399" s="13"/>
    </row>
    <row r="400" spans="1:7" x14ac:dyDescent="0.2">
      <c r="A400" s="13"/>
      <c r="B400" s="13"/>
      <c r="D400" s="13"/>
      <c r="E400" s="13"/>
      <c r="G400" s="13"/>
    </row>
    <row r="401" spans="1:7" x14ac:dyDescent="0.2">
      <c r="A401" s="13"/>
      <c r="B401" s="13"/>
      <c r="D401" s="13"/>
      <c r="E401" s="13"/>
      <c r="G401" s="13"/>
    </row>
    <row r="402" spans="1:7" x14ac:dyDescent="0.2">
      <c r="A402" s="13"/>
      <c r="B402" s="13"/>
      <c r="D402" s="13"/>
      <c r="E402" s="13"/>
      <c r="G402" s="13"/>
    </row>
    <row r="403" spans="1:7" x14ac:dyDescent="0.2">
      <c r="A403" s="13"/>
      <c r="B403" s="13"/>
      <c r="D403" s="13"/>
      <c r="E403" s="13"/>
      <c r="G403" s="13"/>
    </row>
    <row r="404" spans="1:7" x14ac:dyDescent="0.2">
      <c r="A404" s="13"/>
      <c r="B404" s="13"/>
      <c r="D404" s="13"/>
      <c r="E404" s="13"/>
      <c r="G404" s="13"/>
    </row>
    <row r="405" spans="1:7" x14ac:dyDescent="0.2">
      <c r="A405" s="13"/>
      <c r="B405" s="13"/>
      <c r="D405" s="13"/>
      <c r="E405" s="13"/>
      <c r="G405" s="13"/>
    </row>
    <row r="406" spans="1:7" x14ac:dyDescent="0.2">
      <c r="A406" s="13"/>
      <c r="B406" s="13"/>
      <c r="D406" s="13"/>
      <c r="E406" s="13"/>
      <c r="G406" s="13"/>
    </row>
    <row r="407" spans="1:7" x14ac:dyDescent="0.2">
      <c r="A407" s="13"/>
      <c r="B407" s="13"/>
      <c r="D407" s="13"/>
      <c r="E407" s="13"/>
      <c r="G407" s="13"/>
    </row>
    <row r="408" spans="1:7" x14ac:dyDescent="0.2">
      <c r="A408" s="13"/>
      <c r="B408" s="13"/>
      <c r="D408" s="13"/>
      <c r="E408" s="13"/>
      <c r="G408" s="13"/>
    </row>
    <row r="409" spans="1:7" x14ac:dyDescent="0.2">
      <c r="A409" s="13"/>
    </row>
    <row r="410" spans="1:7" x14ac:dyDescent="0.2">
      <c r="A410" s="13"/>
    </row>
    <row r="411" spans="1:7" x14ac:dyDescent="0.2">
      <c r="A411" s="13"/>
    </row>
    <row r="412" spans="1:7" x14ac:dyDescent="0.2">
      <c r="A412" s="13"/>
      <c r="B412" s="13"/>
      <c r="D412" s="13"/>
      <c r="E412" s="13"/>
      <c r="G412" s="13"/>
    </row>
    <row r="413" spans="1:7" x14ac:dyDescent="0.2">
      <c r="A413" s="13"/>
      <c r="B413" s="13"/>
      <c r="D413" s="13"/>
      <c r="E413" s="13"/>
      <c r="G413" s="13"/>
    </row>
    <row r="414" spans="1:7" x14ac:dyDescent="0.2">
      <c r="A414" s="13"/>
      <c r="B414" s="13"/>
      <c r="D414" s="13"/>
      <c r="E414" s="13"/>
      <c r="G414" s="13"/>
    </row>
    <row r="415" spans="1:7" x14ac:dyDescent="0.2">
      <c r="A415" s="13"/>
      <c r="B415" s="13"/>
      <c r="D415" s="13"/>
      <c r="E415" s="13"/>
      <c r="G415" s="13"/>
    </row>
    <row r="416" spans="1:7" x14ac:dyDescent="0.2">
      <c r="A416" s="13"/>
      <c r="B416" s="13"/>
      <c r="D416" s="13"/>
      <c r="E416" s="13"/>
      <c r="G416" s="13"/>
    </row>
    <row r="417" spans="1:7" x14ac:dyDescent="0.2">
      <c r="A417" s="13"/>
      <c r="B417" s="13"/>
      <c r="D417" s="13"/>
      <c r="E417" s="13"/>
      <c r="G417" s="13"/>
    </row>
    <row r="418" spans="1:7" x14ac:dyDescent="0.2">
      <c r="A418" s="13"/>
      <c r="B418" s="13"/>
      <c r="D418" s="13"/>
      <c r="E418" s="13"/>
      <c r="G418" s="13"/>
    </row>
    <row r="419" spans="1:7" x14ac:dyDescent="0.2">
      <c r="A419" s="13"/>
      <c r="B419" s="13"/>
      <c r="D419" s="13"/>
      <c r="E419" s="13"/>
      <c r="G419" s="13"/>
    </row>
    <row r="420" spans="1:7" x14ac:dyDescent="0.2">
      <c r="A420" s="13"/>
      <c r="B420" s="13"/>
      <c r="D420" s="13"/>
      <c r="E420" s="13"/>
      <c r="G420" s="13"/>
    </row>
    <row r="421" spans="1:7" x14ac:dyDescent="0.2">
      <c r="A421" s="13"/>
      <c r="B421" s="13"/>
      <c r="D421" s="13"/>
      <c r="E421" s="13"/>
      <c r="G421" s="13"/>
    </row>
    <row r="422" spans="1:7" x14ac:dyDescent="0.2">
      <c r="A422" s="13"/>
      <c r="B422" s="13"/>
      <c r="D422" s="13"/>
      <c r="E422" s="13"/>
      <c r="G422" s="13"/>
    </row>
    <row r="423" spans="1:7" x14ac:dyDescent="0.2">
      <c r="A423" s="13"/>
    </row>
    <row r="424" spans="1:7" x14ac:dyDescent="0.2">
      <c r="A424" s="13"/>
    </row>
    <row r="425" spans="1:7" x14ac:dyDescent="0.2">
      <c r="A425" s="13"/>
    </row>
    <row r="426" spans="1:7" x14ac:dyDescent="0.2">
      <c r="A426" s="13"/>
      <c r="B426" s="13"/>
      <c r="D426" s="13"/>
      <c r="E426" s="13"/>
      <c r="G426" s="13"/>
    </row>
    <row r="427" spans="1:7" x14ac:dyDescent="0.2">
      <c r="A427" s="13"/>
      <c r="B427" s="13"/>
      <c r="D427" s="13"/>
      <c r="E427" s="13"/>
      <c r="G427" s="13"/>
    </row>
    <row r="428" spans="1:7" x14ac:dyDescent="0.2">
      <c r="A428" s="13"/>
      <c r="B428" s="13"/>
      <c r="D428" s="13"/>
      <c r="E428" s="13"/>
      <c r="G428" s="13"/>
    </row>
    <row r="429" spans="1:7" x14ac:dyDescent="0.2">
      <c r="A429" s="13"/>
      <c r="B429" s="13"/>
      <c r="D429" s="13"/>
      <c r="E429" s="13"/>
      <c r="G429" s="13"/>
    </row>
    <row r="430" spans="1:7" x14ac:dyDescent="0.2">
      <c r="A430" s="13"/>
    </row>
    <row r="431" spans="1:7" x14ac:dyDescent="0.2">
      <c r="A431" s="13"/>
    </row>
    <row r="432" spans="1:7" x14ac:dyDescent="0.2">
      <c r="A432" s="13"/>
    </row>
    <row r="433" spans="1:7" x14ac:dyDescent="0.2">
      <c r="A433" s="13"/>
      <c r="B433" s="13"/>
      <c r="D433" s="13"/>
      <c r="E433" s="13"/>
      <c r="G433" s="13"/>
    </row>
    <row r="434" spans="1:7" x14ac:dyDescent="0.2">
      <c r="A434" s="13"/>
      <c r="B434" s="13"/>
      <c r="D434" s="13"/>
      <c r="E434" s="13"/>
      <c r="G434" s="13"/>
    </row>
    <row r="435" spans="1:7" x14ac:dyDescent="0.2">
      <c r="A435" s="13"/>
      <c r="B435" s="13"/>
      <c r="D435" s="13"/>
      <c r="E435" s="13"/>
      <c r="G435" s="13"/>
    </row>
    <row r="436" spans="1:7" x14ac:dyDescent="0.2">
      <c r="A436" s="13"/>
      <c r="B436" s="13"/>
      <c r="D436" s="13"/>
      <c r="E436" s="13"/>
      <c r="G436" s="13"/>
    </row>
    <row r="437" spans="1:7" x14ac:dyDescent="0.2">
      <c r="A437" s="13"/>
      <c r="B437" s="13"/>
      <c r="D437" s="13"/>
      <c r="E437" s="13"/>
      <c r="G437" s="13"/>
    </row>
    <row r="438" spans="1:7" x14ac:dyDescent="0.2">
      <c r="A438" s="13"/>
      <c r="B438" s="13"/>
      <c r="D438" s="13"/>
      <c r="E438" s="13"/>
      <c r="G438" s="13"/>
    </row>
    <row r="439" spans="1:7" x14ac:dyDescent="0.2">
      <c r="A439" s="13"/>
      <c r="B439" s="13"/>
      <c r="D439" s="13"/>
      <c r="E439" s="13"/>
      <c r="G439" s="13"/>
    </row>
    <row r="440" spans="1:7" x14ac:dyDescent="0.2">
      <c r="A440" s="13"/>
      <c r="B440" s="13"/>
      <c r="D440" s="13"/>
      <c r="E440" s="13"/>
      <c r="G440" s="13"/>
    </row>
    <row r="441" spans="1:7" x14ac:dyDescent="0.2">
      <c r="A441" s="13"/>
      <c r="B441" s="13"/>
      <c r="D441" s="13"/>
      <c r="E441" s="13"/>
      <c r="G441" s="13"/>
    </row>
    <row r="442" spans="1:7" x14ac:dyDescent="0.2">
      <c r="A442" s="13"/>
      <c r="B442" s="13"/>
      <c r="D442" s="13"/>
      <c r="E442" s="13"/>
      <c r="G442" s="13"/>
    </row>
    <row r="443" spans="1:7" x14ac:dyDescent="0.2">
      <c r="A443" s="13"/>
      <c r="B443" s="13"/>
      <c r="D443" s="13"/>
      <c r="E443" s="13"/>
      <c r="G443" s="13"/>
    </row>
    <row r="444" spans="1:7" x14ac:dyDescent="0.2">
      <c r="A444" s="13"/>
      <c r="B444" s="13"/>
      <c r="D444" s="13"/>
      <c r="E444" s="13"/>
      <c r="G444" s="13"/>
    </row>
    <row r="445" spans="1:7" x14ac:dyDescent="0.2">
      <c r="A445" s="13"/>
    </row>
    <row r="446" spans="1:7" x14ac:dyDescent="0.2">
      <c r="A446" s="13"/>
    </row>
    <row r="447" spans="1:7" x14ac:dyDescent="0.2">
      <c r="A447" s="13"/>
    </row>
    <row r="448" spans="1:7" x14ac:dyDescent="0.2">
      <c r="A448" s="13"/>
      <c r="B448" s="13"/>
      <c r="D448" s="13"/>
      <c r="E448" s="13"/>
      <c r="G448" s="13"/>
    </row>
    <row r="449" spans="1:7" x14ac:dyDescent="0.2">
      <c r="A449" s="13"/>
      <c r="B449" s="13"/>
      <c r="D449" s="13"/>
      <c r="E449" s="13"/>
      <c r="G449" s="13"/>
    </row>
    <row r="450" spans="1:7" x14ac:dyDescent="0.2">
      <c r="A450" s="13"/>
      <c r="B450" s="13"/>
      <c r="D450" s="13"/>
      <c r="E450" s="13"/>
      <c r="G450" s="13"/>
    </row>
    <row r="451" spans="1:7" x14ac:dyDescent="0.2">
      <c r="A451" s="13"/>
      <c r="B451" s="13"/>
      <c r="D451" s="13"/>
      <c r="E451" s="13"/>
      <c r="G451" s="13"/>
    </row>
    <row r="452" spans="1:7" x14ac:dyDescent="0.2">
      <c r="A452" s="13"/>
      <c r="B452" s="13"/>
      <c r="D452" s="13"/>
      <c r="E452" s="13"/>
      <c r="G452" s="13"/>
    </row>
    <row r="453" spans="1:7" x14ac:dyDescent="0.2">
      <c r="A453" s="13"/>
      <c r="B453" s="13"/>
      <c r="D453" s="13"/>
      <c r="E453" s="13"/>
      <c r="G453" s="13"/>
    </row>
    <row r="454" spans="1:7" x14ac:dyDescent="0.2">
      <c r="A454" s="13"/>
      <c r="B454" s="13"/>
      <c r="D454" s="13"/>
      <c r="E454" s="13"/>
      <c r="G454" s="13"/>
    </row>
    <row r="455" spans="1:7" x14ac:dyDescent="0.2">
      <c r="A455" s="13"/>
      <c r="B455" s="13"/>
      <c r="D455" s="13"/>
      <c r="E455" s="13"/>
      <c r="G455" s="13"/>
    </row>
    <row r="456" spans="1:7" x14ac:dyDescent="0.2">
      <c r="A456" s="13"/>
      <c r="B456" s="13"/>
      <c r="D456" s="13"/>
      <c r="E456" s="13"/>
      <c r="G456" s="13"/>
    </row>
    <row r="457" spans="1:7" x14ac:dyDescent="0.2">
      <c r="A457" s="13"/>
      <c r="B457" s="13"/>
      <c r="D457" s="13"/>
      <c r="E457" s="13"/>
      <c r="G457" s="13"/>
    </row>
    <row r="458" spans="1:7" x14ac:dyDescent="0.2">
      <c r="A458" s="13"/>
      <c r="B458" s="13"/>
      <c r="D458" s="13"/>
      <c r="E458" s="13"/>
      <c r="G458" s="13"/>
    </row>
    <row r="459" spans="1:7" x14ac:dyDescent="0.2">
      <c r="A459" s="13"/>
      <c r="B459" s="13"/>
      <c r="D459" s="13"/>
      <c r="E459" s="13"/>
      <c r="G459" s="13"/>
    </row>
    <row r="460" spans="1:7" x14ac:dyDescent="0.2">
      <c r="A460" s="13"/>
      <c r="B460" s="13"/>
      <c r="D460" s="13"/>
      <c r="E460" s="13"/>
      <c r="G460" s="13"/>
    </row>
    <row r="461" spans="1:7" x14ac:dyDescent="0.2">
      <c r="A461" s="13"/>
      <c r="B461" s="13"/>
      <c r="D461" s="13"/>
      <c r="E461" s="13"/>
      <c r="G461" s="13"/>
    </row>
    <row r="462" spans="1:7" x14ac:dyDescent="0.2">
      <c r="A462" s="13"/>
      <c r="B462" s="13"/>
      <c r="D462" s="13"/>
      <c r="E462" s="13"/>
      <c r="G462" s="13"/>
    </row>
    <row r="463" spans="1:7" x14ac:dyDescent="0.2">
      <c r="A463" s="13"/>
    </row>
    <row r="464" spans="1:7" x14ac:dyDescent="0.2">
      <c r="A464" s="13"/>
    </row>
    <row r="465" spans="1:7" x14ac:dyDescent="0.2">
      <c r="A465" s="13"/>
    </row>
    <row r="466" spans="1:7" x14ac:dyDescent="0.2">
      <c r="A466" s="13"/>
      <c r="B466" s="13"/>
      <c r="D466" s="13"/>
      <c r="E466" s="13"/>
      <c r="G466" s="13"/>
    </row>
    <row r="467" spans="1:7" x14ac:dyDescent="0.2">
      <c r="A467" s="13"/>
    </row>
    <row r="468" spans="1:7" x14ac:dyDescent="0.2">
      <c r="A468" s="13"/>
    </row>
    <row r="469" spans="1:7" x14ac:dyDescent="0.2">
      <c r="A469" s="13"/>
    </row>
    <row r="470" spans="1:7" x14ac:dyDescent="0.2">
      <c r="A470" s="13"/>
      <c r="B470" s="13"/>
      <c r="D470" s="13"/>
      <c r="E470" s="13"/>
      <c r="G470" s="13"/>
    </row>
    <row r="471" spans="1:7" x14ac:dyDescent="0.2">
      <c r="A471" s="13"/>
      <c r="B471" s="13"/>
      <c r="D471" s="13"/>
      <c r="E471" s="13"/>
      <c r="G471" s="13"/>
    </row>
    <row r="472" spans="1:7" x14ac:dyDescent="0.2">
      <c r="A472" s="13"/>
      <c r="B472" s="13"/>
      <c r="D472" s="13"/>
      <c r="E472" s="13"/>
      <c r="G472" s="13"/>
    </row>
    <row r="473" spans="1:7" x14ac:dyDescent="0.2">
      <c r="A473" s="13"/>
      <c r="B473" s="13"/>
      <c r="D473" s="13"/>
      <c r="E473" s="13"/>
      <c r="G473" s="13"/>
    </row>
    <row r="474" spans="1:7" x14ac:dyDescent="0.2">
      <c r="A474" s="13"/>
      <c r="B474" s="13"/>
      <c r="D474" s="13"/>
      <c r="E474" s="13"/>
      <c r="G474" s="13"/>
    </row>
    <row r="475" spans="1:7" x14ac:dyDescent="0.2">
      <c r="A475" s="13"/>
    </row>
    <row r="476" spans="1:7" x14ac:dyDescent="0.2">
      <c r="A476" s="13"/>
    </row>
    <row r="477" spans="1:7" x14ac:dyDescent="0.2">
      <c r="A477" s="13"/>
    </row>
    <row r="478" spans="1:7" x14ac:dyDescent="0.2">
      <c r="A478" s="13"/>
      <c r="B478" s="13"/>
      <c r="D478" s="13"/>
      <c r="E478" s="13"/>
      <c r="G478" s="13"/>
    </row>
    <row r="479" spans="1:7" x14ac:dyDescent="0.2">
      <c r="A479" s="13"/>
      <c r="B479" s="13"/>
      <c r="D479" s="13"/>
      <c r="E479" s="13"/>
      <c r="G479" s="13"/>
    </row>
    <row r="480" spans="1:7" x14ac:dyDescent="0.2">
      <c r="A480" s="13"/>
      <c r="B480" s="13"/>
      <c r="D480" s="13"/>
      <c r="E480" s="13"/>
      <c r="G480" s="13"/>
    </row>
    <row r="481" spans="1:7" x14ac:dyDescent="0.2">
      <c r="A481" s="13"/>
      <c r="B481" s="13"/>
      <c r="D481" s="13"/>
      <c r="E481" s="13"/>
      <c r="G481" s="13"/>
    </row>
    <row r="482" spans="1:7" x14ac:dyDescent="0.2">
      <c r="A482" s="13"/>
      <c r="B482" s="13"/>
      <c r="D482" s="13"/>
      <c r="E482" s="13"/>
      <c r="G482" s="13"/>
    </row>
    <row r="483" spans="1:7" x14ac:dyDescent="0.2">
      <c r="A483" s="13"/>
      <c r="B483" s="13"/>
      <c r="D483" s="13"/>
      <c r="E483" s="13"/>
      <c r="G483" s="13"/>
    </row>
    <row r="484" spans="1:7" x14ac:dyDescent="0.2">
      <c r="A484" s="13"/>
      <c r="B484" s="13"/>
      <c r="D484" s="13"/>
      <c r="E484" s="13"/>
      <c r="G484" s="13"/>
    </row>
    <row r="485" spans="1:7" x14ac:dyDescent="0.2">
      <c r="A485" s="13"/>
      <c r="B485" s="13"/>
      <c r="D485" s="13"/>
      <c r="E485" s="13"/>
      <c r="G485" s="13"/>
    </row>
    <row r="486" spans="1:7" x14ac:dyDescent="0.2">
      <c r="A486" s="13"/>
      <c r="B486" s="13"/>
      <c r="D486" s="13"/>
      <c r="E486" s="13"/>
      <c r="G486" s="13"/>
    </row>
    <row r="487" spans="1:7" x14ac:dyDescent="0.2">
      <c r="A487" s="13"/>
      <c r="B487" s="13"/>
      <c r="D487" s="13"/>
      <c r="E487" s="13"/>
      <c r="G487" s="13"/>
    </row>
    <row r="488" spans="1:7" x14ac:dyDescent="0.2">
      <c r="A488" s="13"/>
      <c r="B488" s="13"/>
      <c r="D488" s="13"/>
      <c r="E488" s="13"/>
      <c r="G488" s="13"/>
    </row>
    <row r="489" spans="1:7" x14ac:dyDescent="0.2">
      <c r="A489" s="13"/>
      <c r="B489" s="13"/>
      <c r="D489" s="13"/>
      <c r="E489" s="13"/>
      <c r="G489" s="13"/>
    </row>
    <row r="490" spans="1:7" x14ac:dyDescent="0.2">
      <c r="A490" s="13"/>
      <c r="B490" s="13"/>
      <c r="D490" s="13"/>
      <c r="E490" s="13"/>
      <c r="G490" s="13"/>
    </row>
    <row r="491" spans="1:7" x14ac:dyDescent="0.2">
      <c r="A491" s="13"/>
      <c r="B491" s="13"/>
      <c r="D491" s="13"/>
      <c r="E491" s="13"/>
      <c r="G491" s="13"/>
    </row>
    <row r="492" spans="1:7" x14ac:dyDescent="0.2">
      <c r="A492" s="13"/>
      <c r="B492" s="13"/>
      <c r="D492" s="13"/>
      <c r="E492" s="13"/>
      <c r="G492" s="13"/>
    </row>
    <row r="493" spans="1:7" x14ac:dyDescent="0.2">
      <c r="A493" s="13"/>
      <c r="B493" s="13"/>
      <c r="D493" s="13"/>
      <c r="E493" s="13"/>
      <c r="G493" s="13"/>
    </row>
    <row r="494" spans="1:7" x14ac:dyDescent="0.2">
      <c r="A494" s="13"/>
      <c r="B494" s="13"/>
      <c r="D494" s="13"/>
      <c r="E494" s="13"/>
      <c r="G494" s="13"/>
    </row>
    <row r="495" spans="1:7" x14ac:dyDescent="0.2">
      <c r="A495" s="13"/>
      <c r="B495" s="13"/>
      <c r="D495" s="13"/>
      <c r="E495" s="13"/>
      <c r="G495" s="13"/>
    </row>
    <row r="496" spans="1:7" x14ac:dyDescent="0.2">
      <c r="A496" s="13"/>
      <c r="B496" s="13"/>
      <c r="D496" s="13"/>
      <c r="E496" s="13"/>
      <c r="G496" s="13"/>
    </row>
    <row r="497" spans="1:7" x14ac:dyDescent="0.2">
      <c r="A497" s="13"/>
      <c r="B497" s="13"/>
      <c r="D497" s="13"/>
      <c r="E497" s="13"/>
      <c r="G497" s="13"/>
    </row>
    <row r="498" spans="1:7" x14ac:dyDescent="0.2">
      <c r="A498" s="13"/>
      <c r="B498" s="13"/>
      <c r="D498" s="13"/>
      <c r="E498" s="13"/>
      <c r="G498" s="13"/>
    </row>
    <row r="499" spans="1:7" x14ac:dyDescent="0.2">
      <c r="A499" s="13"/>
      <c r="B499" s="13"/>
      <c r="D499" s="13"/>
      <c r="E499" s="13"/>
      <c r="G499" s="13"/>
    </row>
    <row r="500" spans="1:7" x14ac:dyDescent="0.2">
      <c r="A500" s="13"/>
      <c r="B500" s="13"/>
      <c r="D500" s="13"/>
      <c r="E500" s="13"/>
      <c r="G500" s="13"/>
    </row>
    <row r="501" spans="1:7" x14ac:dyDescent="0.2">
      <c r="A501" s="13"/>
      <c r="B501" s="13"/>
      <c r="D501" s="13"/>
      <c r="E501" s="13"/>
      <c r="G501" s="13"/>
    </row>
    <row r="502" spans="1:7" x14ac:dyDescent="0.2">
      <c r="A502" s="13"/>
      <c r="B502" s="13"/>
      <c r="D502" s="13"/>
      <c r="E502" s="13"/>
      <c r="G502" s="13"/>
    </row>
    <row r="503" spans="1:7" x14ac:dyDescent="0.2">
      <c r="A503" s="13"/>
      <c r="B503" s="13"/>
      <c r="D503" s="13"/>
      <c r="E503" s="13"/>
      <c r="G503" s="13"/>
    </row>
    <row r="504" spans="1:7" x14ac:dyDescent="0.2">
      <c r="A504" s="13"/>
      <c r="B504" s="13"/>
      <c r="D504" s="13"/>
      <c r="E504" s="13"/>
      <c r="G504" s="13"/>
    </row>
    <row r="505" spans="1:7" x14ac:dyDescent="0.2">
      <c r="A505" s="13"/>
    </row>
    <row r="506" spans="1:7" x14ac:dyDescent="0.2">
      <c r="A506" s="13"/>
    </row>
    <row r="507" spans="1:7" x14ac:dyDescent="0.2">
      <c r="A507" s="13"/>
    </row>
    <row r="508" spans="1:7" x14ac:dyDescent="0.2">
      <c r="A508" s="13"/>
      <c r="B508" s="13"/>
      <c r="D508" s="13"/>
      <c r="E508" s="13"/>
      <c r="G508" s="13"/>
    </row>
    <row r="509" spans="1:7" x14ac:dyDescent="0.2">
      <c r="A509" s="13"/>
      <c r="B509" s="13"/>
      <c r="D509" s="13"/>
      <c r="E509" s="13"/>
      <c r="G509" s="13"/>
    </row>
    <row r="510" spans="1:7" x14ac:dyDescent="0.2">
      <c r="A510" s="13"/>
      <c r="B510" s="13"/>
      <c r="D510" s="13"/>
      <c r="E510" s="13"/>
      <c r="G510" s="13"/>
    </row>
    <row r="511" spans="1:7" x14ac:dyDescent="0.2">
      <c r="A511" s="13"/>
      <c r="B511" s="13"/>
      <c r="D511" s="13"/>
      <c r="E511" s="13"/>
      <c r="G511" s="13"/>
    </row>
    <row r="512" spans="1:7" x14ac:dyDescent="0.2">
      <c r="A512" s="13"/>
      <c r="B512" s="13"/>
      <c r="D512" s="13"/>
      <c r="E512" s="13"/>
      <c r="G512" s="13"/>
    </row>
    <row r="513" spans="1:7" x14ac:dyDescent="0.2">
      <c r="A513" s="13"/>
      <c r="B513" s="13"/>
      <c r="D513" s="13"/>
      <c r="E513" s="13"/>
      <c r="G513" s="13"/>
    </row>
    <row r="514" spans="1:7" x14ac:dyDescent="0.2">
      <c r="A514" s="13"/>
      <c r="B514" s="13"/>
      <c r="D514" s="13"/>
      <c r="E514" s="13"/>
      <c r="G514" s="13"/>
    </row>
    <row r="515" spans="1:7" x14ac:dyDescent="0.2">
      <c r="A515" s="13"/>
      <c r="B515" s="13"/>
      <c r="D515" s="13"/>
      <c r="E515" s="13"/>
      <c r="G515" s="13"/>
    </row>
    <row r="516" spans="1:7" x14ac:dyDescent="0.2">
      <c r="A516" s="13"/>
      <c r="B516" s="13"/>
      <c r="D516" s="13"/>
      <c r="E516" s="13"/>
      <c r="G516" s="13"/>
    </row>
    <row r="517" spans="1:7" x14ac:dyDescent="0.2">
      <c r="A517" s="13"/>
      <c r="B517" s="13"/>
      <c r="D517" s="13"/>
      <c r="E517" s="13"/>
      <c r="G517" s="13"/>
    </row>
    <row r="518" spans="1:7" x14ac:dyDescent="0.2">
      <c r="A518" s="13"/>
      <c r="B518" s="13"/>
      <c r="D518" s="13"/>
      <c r="E518" s="13"/>
      <c r="G518" s="13"/>
    </row>
    <row r="519" spans="1:7" x14ac:dyDescent="0.2">
      <c r="A519" s="13"/>
      <c r="B519" s="13"/>
      <c r="D519" s="13"/>
      <c r="E519" s="13"/>
      <c r="G519" s="13"/>
    </row>
    <row r="520" spans="1:7" x14ac:dyDescent="0.2">
      <c r="A520" s="13"/>
      <c r="B520" s="13"/>
      <c r="D520" s="13"/>
      <c r="E520" s="13"/>
      <c r="G520" s="13"/>
    </row>
    <row r="521" spans="1:7" x14ac:dyDescent="0.2">
      <c r="A521" s="13"/>
      <c r="B521" s="13"/>
      <c r="D521" s="13"/>
      <c r="E521" s="13"/>
      <c r="G521" s="13"/>
    </row>
    <row r="522" spans="1:7" x14ac:dyDescent="0.2">
      <c r="A522" s="13"/>
    </row>
    <row r="523" spans="1:7" x14ac:dyDescent="0.2">
      <c r="A523" s="13"/>
    </row>
    <row r="524" spans="1:7" x14ac:dyDescent="0.2">
      <c r="A524" s="13"/>
    </row>
    <row r="525" spans="1:7" x14ac:dyDescent="0.2">
      <c r="A525" s="13"/>
      <c r="B525" s="13"/>
      <c r="D525" s="13"/>
      <c r="E525" s="13"/>
      <c r="G525" s="13"/>
    </row>
    <row r="526" spans="1:7" x14ac:dyDescent="0.2">
      <c r="A526" s="13"/>
    </row>
    <row r="527" spans="1:7" x14ac:dyDescent="0.2">
      <c r="A527" s="13"/>
    </row>
    <row r="528" spans="1:7" x14ac:dyDescent="0.2">
      <c r="A528" s="13"/>
    </row>
    <row r="529" spans="1:7" x14ac:dyDescent="0.2">
      <c r="A529" s="13"/>
      <c r="B529" s="13"/>
      <c r="D529" s="13"/>
      <c r="E529" s="13"/>
      <c r="G529" s="13"/>
    </row>
    <row r="530" spans="1:7" x14ac:dyDescent="0.2">
      <c r="A530" s="13"/>
      <c r="B530" s="13"/>
      <c r="D530" s="13"/>
      <c r="E530" s="13"/>
      <c r="G530" s="13"/>
    </row>
    <row r="531" spans="1:7" x14ac:dyDescent="0.2">
      <c r="A531" s="13"/>
    </row>
    <row r="532" spans="1:7" x14ac:dyDescent="0.2">
      <c r="A532" s="13"/>
    </row>
    <row r="533" spans="1:7" x14ac:dyDescent="0.2">
      <c r="A533" s="13"/>
    </row>
    <row r="534" spans="1:7" x14ac:dyDescent="0.2">
      <c r="A534" s="13"/>
      <c r="B534" s="13"/>
      <c r="D534" s="13"/>
      <c r="E534" s="13"/>
      <c r="G534" s="13"/>
    </row>
    <row r="535" spans="1:7" x14ac:dyDescent="0.2">
      <c r="A535" s="13"/>
      <c r="B535" s="13"/>
      <c r="D535" s="13"/>
      <c r="E535" s="13"/>
      <c r="G535" s="13"/>
    </row>
    <row r="536" spans="1:7" x14ac:dyDescent="0.2">
      <c r="A536" s="13"/>
      <c r="B536" s="13"/>
      <c r="D536" s="13"/>
      <c r="E536" s="13"/>
      <c r="G536" s="13"/>
    </row>
    <row r="537" spans="1:7" x14ac:dyDescent="0.2">
      <c r="A537" s="13"/>
      <c r="B537" s="13"/>
      <c r="D537" s="13"/>
      <c r="E537" s="13"/>
      <c r="G537" s="13"/>
    </row>
    <row r="538" spans="1:7" x14ac:dyDescent="0.2">
      <c r="A538" s="13"/>
      <c r="B538" s="13"/>
      <c r="D538" s="13"/>
      <c r="E538" s="13"/>
      <c r="F538" s="13"/>
    </row>
    <row r="539" spans="1:7" x14ac:dyDescent="0.2">
      <c r="A539" s="13"/>
      <c r="B539" s="13"/>
      <c r="D539" s="13"/>
      <c r="E539" s="13"/>
      <c r="G539" s="13"/>
    </row>
    <row r="540" spans="1:7" x14ac:dyDescent="0.2">
      <c r="A540" s="13"/>
      <c r="B540" s="13"/>
      <c r="D540" s="13"/>
      <c r="E540" s="13"/>
      <c r="G540" s="13"/>
    </row>
    <row r="541" spans="1:7" x14ac:dyDescent="0.2">
      <c r="A541" s="13"/>
      <c r="B541" s="13"/>
      <c r="D541" s="13"/>
      <c r="E541" s="13"/>
      <c r="G541" s="13"/>
    </row>
    <row r="542" spans="1:7" x14ac:dyDescent="0.2">
      <c r="A542" s="13"/>
      <c r="B542" s="13"/>
      <c r="D542" s="13"/>
      <c r="E542" s="13"/>
      <c r="G542" s="13"/>
    </row>
    <row r="543" spans="1:7" x14ac:dyDescent="0.2">
      <c r="A543" s="13"/>
      <c r="B543" s="13"/>
      <c r="D543" s="13"/>
      <c r="E543" s="13"/>
      <c r="G543" s="13"/>
    </row>
    <row r="544" spans="1:7" x14ac:dyDescent="0.2">
      <c r="A544" s="13"/>
      <c r="B544" s="13"/>
      <c r="D544" s="13"/>
      <c r="E544" s="13"/>
      <c r="G544" s="13"/>
    </row>
    <row r="545" spans="1:7" x14ac:dyDescent="0.2">
      <c r="A545" s="13"/>
      <c r="B545" s="13"/>
      <c r="D545" s="13"/>
      <c r="E545" s="13"/>
      <c r="G545" s="13"/>
    </row>
    <row r="546" spans="1:7" x14ac:dyDescent="0.2">
      <c r="A546" s="13"/>
      <c r="B546" s="13"/>
      <c r="D546" s="13"/>
      <c r="E546" s="13"/>
      <c r="G546" s="13"/>
    </row>
    <row r="547" spans="1:7" x14ac:dyDescent="0.2">
      <c r="A547" s="13"/>
      <c r="B547" s="13"/>
      <c r="D547" s="13"/>
      <c r="E547" s="13"/>
      <c r="G547" s="13"/>
    </row>
    <row r="548" spans="1:7" x14ac:dyDescent="0.2">
      <c r="A548" s="13"/>
      <c r="B548" s="13"/>
      <c r="D548" s="13"/>
      <c r="E548" s="13"/>
      <c r="G548" s="13"/>
    </row>
    <row r="549" spans="1:7" x14ac:dyDescent="0.2">
      <c r="A549" s="13"/>
      <c r="B549" s="13"/>
      <c r="D549" s="13"/>
      <c r="E549" s="13"/>
      <c r="G549" s="13"/>
    </row>
    <row r="550" spans="1:7" x14ac:dyDescent="0.2">
      <c r="A550" s="13"/>
      <c r="B550" s="13"/>
      <c r="D550" s="13"/>
      <c r="E550" s="13"/>
      <c r="G550" s="13"/>
    </row>
    <row r="551" spans="1:7" x14ac:dyDescent="0.2">
      <c r="A551" s="13"/>
      <c r="B551" s="13"/>
      <c r="D551" s="13"/>
      <c r="E551" s="13"/>
      <c r="G551" s="13"/>
    </row>
    <row r="552" spans="1:7" x14ac:dyDescent="0.2">
      <c r="A552" s="13"/>
      <c r="B552" s="13"/>
      <c r="D552" s="13"/>
      <c r="E552" s="13"/>
      <c r="G552" s="13"/>
    </row>
    <row r="553" spans="1:7" x14ac:dyDescent="0.2">
      <c r="A553" s="13"/>
      <c r="B553" s="13"/>
      <c r="D553" s="13"/>
      <c r="E553" s="13"/>
      <c r="G553" s="13"/>
    </row>
    <row r="554" spans="1:7" x14ac:dyDescent="0.2">
      <c r="A554" s="13"/>
      <c r="B554" s="13"/>
      <c r="D554" s="13"/>
      <c r="E554" s="13"/>
      <c r="G554" s="13"/>
    </row>
    <row r="555" spans="1:7" x14ac:dyDescent="0.2">
      <c r="A555" s="13"/>
      <c r="B555" s="13"/>
      <c r="D555" s="13"/>
      <c r="E555" s="13"/>
      <c r="G555" s="13"/>
    </row>
    <row r="556" spans="1:7" x14ac:dyDescent="0.2">
      <c r="A556" s="13"/>
      <c r="B556" s="13"/>
      <c r="D556" s="13"/>
      <c r="E556" s="13"/>
      <c r="G556" s="13"/>
    </row>
    <row r="557" spans="1:7" x14ac:dyDescent="0.2">
      <c r="A557" s="13"/>
      <c r="B557" s="13"/>
      <c r="D557" s="13"/>
      <c r="E557" s="13"/>
      <c r="G557" s="13"/>
    </row>
    <row r="558" spans="1:7" x14ac:dyDescent="0.2">
      <c r="A558" s="13"/>
      <c r="B558" s="13"/>
      <c r="D558" s="13"/>
      <c r="E558" s="13"/>
      <c r="G558" s="13"/>
    </row>
    <row r="559" spans="1:7" x14ac:dyDescent="0.2">
      <c r="A559" s="13"/>
      <c r="B559" s="13"/>
      <c r="D559" s="13"/>
      <c r="E559" s="13"/>
      <c r="G559" s="13"/>
    </row>
    <row r="560" spans="1:7" x14ac:dyDescent="0.2">
      <c r="A560" s="13"/>
      <c r="B560" s="13"/>
      <c r="D560" s="13"/>
      <c r="E560" s="13"/>
      <c r="G560" s="13"/>
    </row>
    <row r="561" spans="1:7" x14ac:dyDescent="0.2">
      <c r="A561" s="13"/>
    </row>
    <row r="562" spans="1:7" x14ac:dyDescent="0.2">
      <c r="A562" s="13"/>
    </row>
    <row r="563" spans="1:7" x14ac:dyDescent="0.2">
      <c r="A563" s="13"/>
    </row>
    <row r="564" spans="1:7" x14ac:dyDescent="0.2">
      <c r="A564" s="13"/>
      <c r="B564" s="13"/>
      <c r="D564" s="13"/>
      <c r="E564" s="13"/>
      <c r="G564" s="13"/>
    </row>
    <row r="565" spans="1:7" x14ac:dyDescent="0.2">
      <c r="A565" s="13"/>
      <c r="B565" s="13"/>
      <c r="D565" s="13"/>
      <c r="E565" s="13"/>
      <c r="G565" s="13"/>
    </row>
    <row r="566" spans="1:7" x14ac:dyDescent="0.2">
      <c r="A566" s="13"/>
      <c r="B566" s="13"/>
      <c r="D566" s="13"/>
      <c r="E566" s="13"/>
      <c r="G566" s="13"/>
    </row>
    <row r="567" spans="1:7" x14ac:dyDescent="0.2">
      <c r="A567" s="13"/>
      <c r="B567" s="13"/>
      <c r="D567" s="13"/>
      <c r="E567" s="13"/>
      <c r="G567" s="13"/>
    </row>
    <row r="568" spans="1:7" x14ac:dyDescent="0.2">
      <c r="A568" s="13"/>
      <c r="B568" s="13"/>
      <c r="D568" s="13"/>
      <c r="E568" s="13"/>
      <c r="G568" s="13"/>
    </row>
    <row r="569" spans="1:7" x14ac:dyDescent="0.2">
      <c r="A569" s="13"/>
      <c r="B569" s="13"/>
      <c r="D569" s="13"/>
      <c r="E569" s="13"/>
      <c r="G569" s="13"/>
    </row>
    <row r="570" spans="1:7" x14ac:dyDescent="0.2">
      <c r="A570" s="13"/>
      <c r="B570" s="13"/>
      <c r="D570" s="13"/>
      <c r="E570" s="13"/>
      <c r="G570" s="13"/>
    </row>
    <row r="571" spans="1:7" x14ac:dyDescent="0.2">
      <c r="A571" s="13"/>
      <c r="B571" s="13"/>
      <c r="D571" s="13"/>
      <c r="E571" s="13"/>
      <c r="G571" s="13"/>
    </row>
    <row r="572" spans="1:7" x14ac:dyDescent="0.2">
      <c r="A572" s="13"/>
      <c r="B572" s="13"/>
      <c r="D572" s="13"/>
      <c r="E572" s="13"/>
      <c r="G572" s="13"/>
    </row>
    <row r="573" spans="1:7" x14ac:dyDescent="0.2">
      <c r="A573" s="13"/>
      <c r="B573" s="13"/>
      <c r="D573" s="13"/>
      <c r="E573" s="13"/>
      <c r="G573" s="13"/>
    </row>
    <row r="574" spans="1:7" x14ac:dyDescent="0.2">
      <c r="A574" s="13"/>
      <c r="B574" s="13"/>
      <c r="D574" s="13"/>
      <c r="E574" s="13"/>
      <c r="G574" s="13"/>
    </row>
    <row r="575" spans="1:7" x14ac:dyDescent="0.2">
      <c r="A575" s="13"/>
    </row>
    <row r="576" spans="1:7" x14ac:dyDescent="0.2">
      <c r="A576" s="13"/>
    </row>
    <row r="577" spans="1:7" x14ac:dyDescent="0.2">
      <c r="A577" s="13"/>
    </row>
    <row r="578" spans="1:7" x14ac:dyDescent="0.2">
      <c r="A578" s="13"/>
      <c r="B578" s="13"/>
      <c r="D578" s="13"/>
      <c r="E578" s="13"/>
      <c r="G578" s="13"/>
    </row>
    <row r="579" spans="1:7" x14ac:dyDescent="0.2">
      <c r="A579" s="13"/>
      <c r="B579" s="13"/>
      <c r="D579" s="13"/>
      <c r="E579" s="13"/>
      <c r="G579" s="13"/>
    </row>
    <row r="580" spans="1:7" x14ac:dyDescent="0.2">
      <c r="A580" s="13"/>
      <c r="B580" s="13"/>
      <c r="D580" s="13"/>
      <c r="E580" s="13"/>
      <c r="G580" s="13"/>
    </row>
    <row r="581" spans="1:7" x14ac:dyDescent="0.2">
      <c r="A581" s="13"/>
      <c r="B581" s="13"/>
      <c r="D581" s="13"/>
      <c r="E581" s="13"/>
      <c r="G581" s="13"/>
    </row>
    <row r="582" spans="1:7" x14ac:dyDescent="0.2">
      <c r="A582" s="13"/>
    </row>
    <row r="583" spans="1:7" x14ac:dyDescent="0.2">
      <c r="A583" s="13"/>
    </row>
    <row r="584" spans="1:7" x14ac:dyDescent="0.2">
      <c r="A584" s="13"/>
    </row>
    <row r="585" spans="1:7" x14ac:dyDescent="0.2">
      <c r="A585" s="13"/>
      <c r="B585" s="13"/>
      <c r="D585" s="13"/>
      <c r="E585" s="13"/>
      <c r="G585" s="13"/>
    </row>
    <row r="586" spans="1:7" x14ac:dyDescent="0.2">
      <c r="A586" s="13"/>
    </row>
    <row r="587" spans="1:7" x14ac:dyDescent="0.2">
      <c r="A587" s="13"/>
    </row>
    <row r="588" spans="1:7" x14ac:dyDescent="0.2">
      <c r="A588" s="13"/>
    </row>
    <row r="589" spans="1:7" x14ac:dyDescent="0.2">
      <c r="A589" s="13"/>
      <c r="B589" s="13"/>
      <c r="D589" s="13"/>
      <c r="E589" s="13"/>
      <c r="G589" s="13"/>
    </row>
    <row r="590" spans="1:7" x14ac:dyDescent="0.2">
      <c r="A590" s="13"/>
      <c r="B590" s="13"/>
      <c r="D590" s="13"/>
      <c r="E590" s="13"/>
      <c r="G590" s="13"/>
    </row>
    <row r="591" spans="1:7" x14ac:dyDescent="0.2">
      <c r="A591" s="13"/>
      <c r="B591" s="13"/>
      <c r="D591" s="13"/>
      <c r="E591" s="13"/>
      <c r="G591" s="13"/>
    </row>
    <row r="592" spans="1:7" x14ac:dyDescent="0.2">
      <c r="A592" s="13"/>
      <c r="B592" s="13"/>
      <c r="D592" s="13"/>
      <c r="E592" s="13"/>
      <c r="G592" s="13"/>
    </row>
    <row r="593" spans="1:7" x14ac:dyDescent="0.2">
      <c r="A593" s="13"/>
      <c r="B593" s="13"/>
      <c r="D593" s="13"/>
      <c r="E593" s="13"/>
      <c r="G593" s="13"/>
    </row>
    <row r="594" spans="1:7" x14ac:dyDescent="0.2">
      <c r="A594" s="13"/>
      <c r="B594" s="13"/>
      <c r="D594" s="13"/>
      <c r="E594" s="13"/>
      <c r="G594" s="13"/>
    </row>
    <row r="595" spans="1:7" x14ac:dyDescent="0.2">
      <c r="A595" s="13"/>
      <c r="B595" s="13"/>
      <c r="D595" s="13"/>
      <c r="E595" s="13"/>
      <c r="G595" s="13"/>
    </row>
    <row r="596" spans="1:7" x14ac:dyDescent="0.2">
      <c r="A596" s="13"/>
      <c r="B596" s="13"/>
      <c r="D596" s="13"/>
      <c r="E596" s="13"/>
      <c r="G596" s="13"/>
    </row>
    <row r="597" spans="1:7" x14ac:dyDescent="0.2">
      <c r="A597" s="13"/>
      <c r="B597" s="13"/>
      <c r="D597" s="13"/>
      <c r="E597" s="13"/>
      <c r="G597" s="13"/>
    </row>
    <row r="598" spans="1:7" x14ac:dyDescent="0.2">
      <c r="A598" s="13"/>
      <c r="B598" s="13"/>
      <c r="D598" s="13"/>
      <c r="E598" s="13"/>
      <c r="G598" s="13"/>
    </row>
    <row r="599" spans="1:7" x14ac:dyDescent="0.2">
      <c r="A599" s="13"/>
      <c r="B599" s="13"/>
      <c r="D599" s="13"/>
      <c r="E599" s="13"/>
      <c r="G599" s="13"/>
    </row>
    <row r="600" spans="1:7" x14ac:dyDescent="0.2">
      <c r="A600" s="13"/>
      <c r="B600" s="13"/>
      <c r="D600" s="13"/>
      <c r="E600" s="13"/>
      <c r="G600" s="13"/>
    </row>
    <row r="601" spans="1:7" x14ac:dyDescent="0.2">
      <c r="A601" s="13"/>
      <c r="B601" s="13"/>
      <c r="D601" s="13"/>
      <c r="E601" s="13"/>
      <c r="G601" s="13"/>
    </row>
    <row r="602" spans="1:7" x14ac:dyDescent="0.2">
      <c r="A602" s="13"/>
      <c r="B602" s="13"/>
      <c r="D602" s="13"/>
      <c r="E602" s="13"/>
      <c r="G602" s="13"/>
    </row>
    <row r="603" spans="1:7" x14ac:dyDescent="0.2">
      <c r="A603" s="13"/>
      <c r="B603" s="13"/>
      <c r="D603" s="13"/>
      <c r="E603" s="13"/>
      <c r="G603" s="13"/>
    </row>
    <row r="604" spans="1:7" x14ac:dyDescent="0.2">
      <c r="A604" s="13"/>
      <c r="B604" s="13"/>
      <c r="D604" s="13"/>
      <c r="E604" s="13"/>
      <c r="G604" s="13"/>
    </row>
    <row r="605" spans="1:7" x14ac:dyDescent="0.2">
      <c r="A605" s="13"/>
      <c r="B605" s="13"/>
      <c r="D605" s="13"/>
      <c r="E605" s="13"/>
      <c r="G605" s="13"/>
    </row>
    <row r="606" spans="1:7" x14ac:dyDescent="0.2">
      <c r="A606" s="13"/>
      <c r="B606" s="13"/>
      <c r="D606" s="13"/>
      <c r="E606" s="13"/>
      <c r="G606" s="13"/>
    </row>
    <row r="607" spans="1:7" x14ac:dyDescent="0.2">
      <c r="A607" s="13"/>
      <c r="B607" s="13"/>
      <c r="D607" s="13"/>
      <c r="E607" s="13"/>
      <c r="G607" s="13"/>
    </row>
    <row r="608" spans="1:7" x14ac:dyDescent="0.2">
      <c r="A608" s="13"/>
      <c r="B608" s="13"/>
      <c r="D608" s="13"/>
      <c r="E608" s="13"/>
      <c r="G608" s="13"/>
    </row>
    <row r="609" spans="1:7" x14ac:dyDescent="0.2">
      <c r="A609" s="13"/>
      <c r="B609" s="13"/>
      <c r="D609" s="13"/>
      <c r="E609" s="13"/>
      <c r="G609" s="13"/>
    </row>
    <row r="610" spans="1:7" x14ac:dyDescent="0.2">
      <c r="A610" s="13"/>
      <c r="B610" s="13"/>
      <c r="D610" s="13"/>
      <c r="E610" s="13"/>
      <c r="G610" s="13"/>
    </row>
    <row r="611" spans="1:7" x14ac:dyDescent="0.2">
      <c r="A611" s="13"/>
      <c r="B611" s="13"/>
      <c r="D611" s="13"/>
      <c r="E611" s="13"/>
      <c r="G611" s="13"/>
    </row>
    <row r="612" spans="1:7" x14ac:dyDescent="0.2">
      <c r="A612" s="13"/>
      <c r="B612" s="13"/>
      <c r="D612" s="13"/>
      <c r="E612" s="13"/>
      <c r="G612" s="13"/>
    </row>
    <row r="613" spans="1:7" x14ac:dyDescent="0.2">
      <c r="A613" s="13"/>
      <c r="B613" s="13"/>
      <c r="D613" s="13"/>
      <c r="E613" s="13"/>
      <c r="G613" s="13"/>
    </row>
    <row r="614" spans="1:7" x14ac:dyDescent="0.2">
      <c r="A614" s="13"/>
      <c r="B614" s="13"/>
      <c r="D614" s="13"/>
      <c r="E614" s="13"/>
      <c r="G614" s="13"/>
    </row>
    <row r="615" spans="1:7" x14ac:dyDescent="0.2">
      <c r="A615" s="13"/>
      <c r="B615" s="13"/>
      <c r="D615" s="13"/>
      <c r="E615" s="13"/>
      <c r="G615" s="13"/>
    </row>
    <row r="616" spans="1:7" x14ac:dyDescent="0.2">
      <c r="A616" s="13"/>
      <c r="B616" s="13"/>
      <c r="D616" s="13"/>
      <c r="E616" s="13"/>
      <c r="G616" s="13"/>
    </row>
    <row r="617" spans="1:7" x14ac:dyDescent="0.2">
      <c r="A617" s="13"/>
      <c r="B617" s="13"/>
      <c r="D617" s="13"/>
      <c r="E617" s="13"/>
      <c r="G617" s="13"/>
    </row>
    <row r="618" spans="1:7" x14ac:dyDescent="0.2">
      <c r="A618" s="13"/>
      <c r="B618" s="13"/>
      <c r="D618" s="13"/>
      <c r="E618" s="13"/>
      <c r="G618" s="13"/>
    </row>
    <row r="619" spans="1:7" x14ac:dyDescent="0.2">
      <c r="A619" s="13"/>
      <c r="B619" s="13"/>
      <c r="D619" s="13"/>
      <c r="E619" s="13"/>
      <c r="G619" s="13"/>
    </row>
    <row r="620" spans="1:7" x14ac:dyDescent="0.2">
      <c r="A620" s="13"/>
      <c r="B620" s="13"/>
      <c r="D620" s="13"/>
      <c r="E620" s="13"/>
      <c r="G620" s="13"/>
    </row>
    <row r="621" spans="1:7" x14ac:dyDescent="0.2">
      <c r="A621" s="13"/>
      <c r="B621" s="13"/>
      <c r="D621" s="13"/>
      <c r="E621" s="13"/>
      <c r="G621" s="13"/>
    </row>
    <row r="622" spans="1:7" x14ac:dyDescent="0.2">
      <c r="A622" s="13"/>
      <c r="B622" s="13"/>
      <c r="D622" s="13"/>
      <c r="E622" s="13"/>
      <c r="G622" s="13"/>
    </row>
    <row r="623" spans="1:7" x14ac:dyDescent="0.2">
      <c r="A623" s="13"/>
      <c r="B623" s="13"/>
      <c r="D623" s="13"/>
      <c r="E623" s="13"/>
      <c r="G623" s="13"/>
    </row>
    <row r="624" spans="1:7" x14ac:dyDescent="0.2">
      <c r="A624" s="13"/>
      <c r="B624" s="13"/>
      <c r="D624" s="13"/>
      <c r="E624" s="13"/>
      <c r="G624" s="13"/>
    </row>
    <row r="625" spans="1:7" x14ac:dyDescent="0.2">
      <c r="A625" s="13"/>
      <c r="B625" s="13"/>
      <c r="D625" s="13"/>
      <c r="E625" s="13"/>
      <c r="G625" s="13"/>
    </row>
    <row r="626" spans="1:7" x14ac:dyDescent="0.2">
      <c r="A626" s="13"/>
      <c r="B626" s="13"/>
      <c r="D626" s="13"/>
      <c r="E626" s="13"/>
      <c r="G626" s="13"/>
    </row>
    <row r="627" spans="1:7" x14ac:dyDescent="0.2">
      <c r="A627" s="13"/>
      <c r="B627" s="13"/>
      <c r="D627" s="13"/>
      <c r="E627" s="13"/>
      <c r="G627" s="13"/>
    </row>
    <row r="628" spans="1:7" x14ac:dyDescent="0.2">
      <c r="A628" s="13"/>
      <c r="B628" s="13"/>
      <c r="D628" s="13"/>
      <c r="E628" s="13"/>
      <c r="G628" s="13"/>
    </row>
    <row r="629" spans="1:7" x14ac:dyDescent="0.2">
      <c r="A629" s="13"/>
      <c r="B629" s="13"/>
      <c r="D629" s="13"/>
      <c r="E629" s="13"/>
      <c r="G629" s="13"/>
    </row>
    <row r="630" spans="1:7" x14ac:dyDescent="0.2">
      <c r="A630" s="13"/>
      <c r="B630" s="13"/>
      <c r="D630" s="13"/>
      <c r="E630" s="13"/>
      <c r="G630" s="13"/>
    </row>
    <row r="631" spans="1:7" x14ac:dyDescent="0.2">
      <c r="A631" s="13"/>
      <c r="B631" s="13"/>
      <c r="D631" s="13"/>
      <c r="E631" s="13"/>
      <c r="G631" s="13"/>
    </row>
    <row r="632" spans="1:7" x14ac:dyDescent="0.2">
      <c r="A632" s="13"/>
      <c r="B632" s="13"/>
      <c r="D632" s="13"/>
      <c r="E632" s="13"/>
      <c r="G632" s="13"/>
    </row>
    <row r="633" spans="1:7" x14ac:dyDescent="0.2">
      <c r="A633" s="13"/>
      <c r="B633" s="13"/>
      <c r="D633" s="13"/>
      <c r="E633" s="13"/>
      <c r="G633" s="13"/>
    </row>
    <row r="634" spans="1:7" x14ac:dyDescent="0.2">
      <c r="A634" s="13"/>
      <c r="B634" s="13"/>
      <c r="D634" s="13"/>
      <c r="E634" s="13"/>
      <c r="G634" s="13"/>
    </row>
    <row r="635" spans="1:7" x14ac:dyDescent="0.2">
      <c r="A635" s="13"/>
      <c r="B635" s="13"/>
      <c r="D635" s="13"/>
      <c r="E635" s="13"/>
      <c r="G635" s="13"/>
    </row>
    <row r="636" spans="1:7" x14ac:dyDescent="0.2">
      <c r="A636" s="13"/>
      <c r="B636" s="13"/>
      <c r="D636" s="13"/>
      <c r="E636" s="13"/>
      <c r="G636" s="13"/>
    </row>
    <row r="637" spans="1:7" x14ac:dyDescent="0.2">
      <c r="A637" s="13"/>
      <c r="B637" s="13"/>
      <c r="D637" s="13"/>
      <c r="E637" s="13"/>
      <c r="G637" s="13"/>
    </row>
    <row r="638" spans="1:7" x14ac:dyDescent="0.2">
      <c r="A638" s="13"/>
      <c r="B638" s="13"/>
      <c r="D638" s="13"/>
      <c r="E638" s="13"/>
      <c r="G638" s="13"/>
    </row>
    <row r="639" spans="1:7" x14ac:dyDescent="0.2">
      <c r="A639" s="13"/>
      <c r="B639" s="13"/>
      <c r="D639" s="13"/>
      <c r="E639" s="13"/>
      <c r="G639" s="13"/>
    </row>
    <row r="640" spans="1:7" x14ac:dyDescent="0.2">
      <c r="A640" s="13"/>
      <c r="B640" s="13"/>
      <c r="D640" s="13"/>
      <c r="E640" s="13"/>
      <c r="G640" s="13"/>
    </row>
    <row r="641" spans="1:7" x14ac:dyDescent="0.2">
      <c r="A641" s="13"/>
    </row>
    <row r="642" spans="1:7" x14ac:dyDescent="0.2">
      <c r="A642" s="13"/>
    </row>
    <row r="643" spans="1:7" x14ac:dyDescent="0.2">
      <c r="A643" s="13"/>
    </row>
    <row r="644" spans="1:7" x14ac:dyDescent="0.2">
      <c r="A644" s="13"/>
      <c r="B644" s="13"/>
      <c r="D644" s="13"/>
      <c r="E644" s="13"/>
      <c r="G644" s="13"/>
    </row>
    <row r="645" spans="1:7" x14ac:dyDescent="0.2">
      <c r="A645" s="13"/>
      <c r="B645" s="13"/>
      <c r="D645" s="13"/>
      <c r="E645" s="13"/>
      <c r="G645" s="13"/>
    </row>
    <row r="646" spans="1:7" x14ac:dyDescent="0.2">
      <c r="A646" s="13"/>
      <c r="B646" s="13"/>
      <c r="D646" s="13"/>
      <c r="E646" s="13"/>
      <c r="G646" s="13"/>
    </row>
    <row r="647" spans="1:7" x14ac:dyDescent="0.2">
      <c r="A647" s="13"/>
      <c r="B647" s="13"/>
      <c r="D647" s="13"/>
      <c r="E647" s="13"/>
      <c r="G647" s="13"/>
    </row>
    <row r="648" spans="1:7" x14ac:dyDescent="0.2">
      <c r="A648" s="13"/>
      <c r="B648" s="13"/>
      <c r="D648" s="13"/>
      <c r="E648" s="13"/>
      <c r="G648" s="13"/>
    </row>
    <row r="649" spans="1:7" x14ac:dyDescent="0.2">
      <c r="A649" s="13"/>
      <c r="B649" s="13"/>
      <c r="D649" s="13"/>
      <c r="E649" s="13"/>
      <c r="G649" s="13"/>
    </row>
    <row r="650" spans="1:7" x14ac:dyDescent="0.2">
      <c r="A650" s="13"/>
      <c r="B650" s="13"/>
      <c r="D650" s="13"/>
      <c r="E650" s="13"/>
      <c r="G650" s="13"/>
    </row>
    <row r="651" spans="1:7" x14ac:dyDescent="0.2">
      <c r="A651" s="13"/>
      <c r="B651" s="13"/>
      <c r="D651" s="13"/>
      <c r="E651" s="13"/>
      <c r="G651" s="13"/>
    </row>
    <row r="652" spans="1:7" x14ac:dyDescent="0.2">
      <c r="A652" s="13"/>
      <c r="B652" s="13"/>
      <c r="D652" s="13"/>
      <c r="E652" s="13"/>
      <c r="G652" s="13"/>
    </row>
    <row r="653" spans="1:7" x14ac:dyDescent="0.2">
      <c r="A653" s="13"/>
      <c r="B653" s="13"/>
      <c r="D653" s="13"/>
      <c r="E653" s="13"/>
      <c r="G653" s="13"/>
    </row>
    <row r="654" spans="1:7" x14ac:dyDescent="0.2">
      <c r="A654" s="13"/>
      <c r="B654" s="13"/>
      <c r="D654" s="13"/>
      <c r="E654" s="13"/>
      <c r="G654" s="13"/>
    </row>
    <row r="655" spans="1:7" x14ac:dyDescent="0.2">
      <c r="A655" s="13"/>
    </row>
    <row r="656" spans="1:7" x14ac:dyDescent="0.2">
      <c r="A656" s="13"/>
    </row>
    <row r="657" spans="1:7" x14ac:dyDescent="0.2">
      <c r="A657" s="13"/>
      <c r="B657" s="13"/>
    </row>
    <row r="658" spans="1:7" x14ac:dyDescent="0.2">
      <c r="A658" s="13"/>
      <c r="B658" s="13"/>
    </row>
    <row r="659" spans="1:7" x14ac:dyDescent="0.2">
      <c r="A659" s="13"/>
    </row>
    <row r="660" spans="1:7" x14ac:dyDescent="0.2">
      <c r="A660" s="13"/>
      <c r="B660" s="13"/>
    </row>
    <row r="661" spans="1:7" x14ac:dyDescent="0.2">
      <c r="A661" s="13"/>
      <c r="B661" s="13"/>
      <c r="D661" s="13"/>
      <c r="E661" s="13"/>
      <c r="F661" s="13"/>
    </row>
    <row r="662" spans="1:7" x14ac:dyDescent="0.2">
      <c r="A662" s="13"/>
      <c r="B662" s="13"/>
      <c r="D662" s="13"/>
      <c r="E662" s="13"/>
      <c r="G662" s="13"/>
    </row>
    <row r="663" spans="1:7" x14ac:dyDescent="0.2">
      <c r="A663" s="13"/>
      <c r="B663" s="13"/>
      <c r="D663" s="13"/>
      <c r="E663" s="13"/>
      <c r="F663" s="13"/>
    </row>
    <row r="664" spans="1:7" x14ac:dyDescent="0.2">
      <c r="A664" s="13"/>
      <c r="B664" s="13"/>
      <c r="D664" s="13"/>
      <c r="E664" s="13"/>
      <c r="G664" s="13"/>
    </row>
    <row r="665" spans="1:7" x14ac:dyDescent="0.2">
      <c r="A665" s="13"/>
      <c r="B665" s="13"/>
      <c r="D665" s="13"/>
      <c r="E665" s="13"/>
      <c r="F665" s="13"/>
    </row>
    <row r="666" spans="1:7" x14ac:dyDescent="0.2">
      <c r="A666" s="13"/>
      <c r="B666" s="13"/>
      <c r="D666" s="13"/>
      <c r="E666" s="13"/>
      <c r="G666" s="13"/>
    </row>
    <row r="667" spans="1:7" x14ac:dyDescent="0.2">
      <c r="A667" s="13"/>
      <c r="B667" s="13"/>
      <c r="D667" s="13"/>
      <c r="E667" s="13"/>
      <c r="G667" s="13"/>
    </row>
    <row r="668" spans="1:7" x14ac:dyDescent="0.2">
      <c r="A668" s="13"/>
      <c r="B668" s="13"/>
      <c r="D668" s="13"/>
      <c r="E668" s="13"/>
      <c r="G668" s="13"/>
    </row>
    <row r="669" spans="1:7" x14ac:dyDescent="0.2">
      <c r="A669" s="13"/>
      <c r="B669" s="13"/>
      <c r="D669" s="13"/>
      <c r="E669" s="13"/>
      <c r="G669" s="13"/>
    </row>
    <row r="670" spans="1:7" x14ac:dyDescent="0.2">
      <c r="A670" s="13"/>
      <c r="B670" s="13"/>
      <c r="D670" s="13"/>
      <c r="E670" s="13"/>
      <c r="F670" s="13"/>
    </row>
    <row r="671" spans="1:7" x14ac:dyDescent="0.2">
      <c r="A671" s="13"/>
      <c r="B671" s="13"/>
    </row>
    <row r="672" spans="1:7" x14ac:dyDescent="0.2">
      <c r="A672" s="13"/>
    </row>
    <row r="673" spans="1:7" x14ac:dyDescent="0.2">
      <c r="A673" s="13"/>
      <c r="B673" s="13"/>
    </row>
    <row r="674" spans="1:7" x14ac:dyDescent="0.2">
      <c r="A674" s="13"/>
      <c r="B674" s="13"/>
      <c r="D674" s="13"/>
      <c r="E674" s="13"/>
      <c r="F674" s="13"/>
    </row>
    <row r="675" spans="1:7" x14ac:dyDescent="0.2">
      <c r="A675" s="13"/>
      <c r="B675" s="13"/>
      <c r="D675" s="13"/>
      <c r="E675" s="13"/>
      <c r="F675" s="13"/>
    </row>
    <row r="676" spans="1:7" x14ac:dyDescent="0.2">
      <c r="A676" s="13"/>
      <c r="B676" s="13"/>
      <c r="D676" s="13"/>
      <c r="E676" s="13"/>
      <c r="F676" s="13"/>
    </row>
    <row r="677" spans="1:7" x14ac:dyDescent="0.2">
      <c r="A677" s="13"/>
      <c r="B677" s="13"/>
      <c r="D677" s="13"/>
      <c r="E677" s="13"/>
      <c r="F677" s="13"/>
    </row>
    <row r="678" spans="1:7" x14ac:dyDescent="0.2">
      <c r="A678" s="13"/>
      <c r="B678" s="13"/>
      <c r="D678" s="13"/>
      <c r="E678" s="13"/>
      <c r="F678" s="13"/>
    </row>
    <row r="679" spans="1:7" x14ac:dyDescent="0.2">
      <c r="A679" s="13"/>
      <c r="B679" s="13"/>
      <c r="D679" s="13"/>
      <c r="E679" s="13"/>
      <c r="G679" s="13"/>
    </row>
    <row r="680" spans="1:7" x14ac:dyDescent="0.2">
      <c r="A680" s="13"/>
      <c r="B680" s="13"/>
      <c r="D680" s="13"/>
      <c r="E680" s="13"/>
      <c r="G680" s="13"/>
    </row>
    <row r="681" spans="1:7" x14ac:dyDescent="0.2">
      <c r="A681" s="13"/>
      <c r="B681" s="13"/>
      <c r="D681" s="13"/>
      <c r="E681" s="13"/>
      <c r="G681" s="13"/>
    </row>
    <row r="682" spans="1:7" x14ac:dyDescent="0.2">
      <c r="A682" s="13"/>
      <c r="B682" s="13"/>
      <c r="D682" s="13"/>
      <c r="E682" s="13"/>
      <c r="F682" s="13"/>
    </row>
    <row r="683" spans="1:7" x14ac:dyDescent="0.2">
      <c r="A683" s="13"/>
      <c r="B683" s="13"/>
      <c r="D683" s="13"/>
      <c r="E683" s="13"/>
      <c r="F683" s="13"/>
    </row>
    <row r="684" spans="1:7" x14ac:dyDescent="0.2">
      <c r="A684" s="13"/>
      <c r="B684" s="13"/>
      <c r="D684" s="13"/>
      <c r="E684" s="13"/>
      <c r="G684" s="13"/>
    </row>
    <row r="685" spans="1:7" x14ac:dyDescent="0.2">
      <c r="A685" s="13"/>
      <c r="B685" s="13"/>
      <c r="D685" s="13"/>
      <c r="E685" s="13"/>
      <c r="F685" s="13"/>
    </row>
    <row r="686" spans="1:7" x14ac:dyDescent="0.2">
      <c r="A686" s="13"/>
      <c r="B686" s="13"/>
      <c r="D686" s="13"/>
      <c r="E686" s="13"/>
      <c r="G686" s="13"/>
    </row>
    <row r="687" spans="1:7" x14ac:dyDescent="0.2">
      <c r="A687" s="13"/>
      <c r="B687" s="13"/>
      <c r="D687" s="13"/>
      <c r="E687" s="13"/>
      <c r="G687" s="13"/>
    </row>
    <row r="688" spans="1:7" x14ac:dyDescent="0.2">
      <c r="A688" s="13"/>
      <c r="B688" s="13"/>
      <c r="D688" s="13"/>
      <c r="E688" s="13"/>
      <c r="F688" s="13"/>
    </row>
    <row r="689" spans="1:7" x14ac:dyDescent="0.2">
      <c r="A689" s="13"/>
      <c r="B689" s="13"/>
      <c r="D689" s="13"/>
      <c r="E689" s="13"/>
      <c r="G689" s="13"/>
    </row>
    <row r="690" spans="1:7" x14ac:dyDescent="0.2">
      <c r="A690" s="13"/>
      <c r="B690" s="13"/>
      <c r="D690" s="13"/>
      <c r="E690" s="13"/>
      <c r="G690" s="13"/>
    </row>
    <row r="691" spans="1:7" x14ac:dyDescent="0.2">
      <c r="A691" s="13"/>
      <c r="B691" s="13"/>
      <c r="D691" s="13"/>
      <c r="E691" s="13"/>
      <c r="G691" s="13"/>
    </row>
    <row r="692" spans="1:7" x14ac:dyDescent="0.2">
      <c r="A692" s="13"/>
      <c r="B692" s="13"/>
      <c r="D692" s="13"/>
      <c r="E692" s="13"/>
      <c r="G692" s="13"/>
    </row>
    <row r="693" spans="1:7" x14ac:dyDescent="0.2">
      <c r="A693" s="13"/>
      <c r="B693" s="13"/>
      <c r="D693" s="13"/>
      <c r="E693" s="13"/>
      <c r="G693" s="13"/>
    </row>
    <row r="694" spans="1:7" x14ac:dyDescent="0.2">
      <c r="A694" s="13"/>
      <c r="B694" s="13"/>
      <c r="D694" s="13"/>
      <c r="E694" s="13"/>
      <c r="G694" s="13"/>
    </row>
    <row r="695" spans="1:7" x14ac:dyDescent="0.2">
      <c r="A695" s="13"/>
      <c r="B695" s="13"/>
      <c r="D695" s="13"/>
      <c r="E695" s="13"/>
      <c r="F695" s="13"/>
    </row>
    <row r="696" spans="1:7" x14ac:dyDescent="0.2">
      <c r="A696" s="13"/>
      <c r="B696" s="13"/>
      <c r="D696" s="13"/>
      <c r="E696" s="13"/>
      <c r="G696" s="13"/>
    </row>
    <row r="697" spans="1:7" x14ac:dyDescent="0.2">
      <c r="A697" s="13"/>
      <c r="B697" s="13"/>
      <c r="D697" s="13"/>
      <c r="E697" s="13"/>
      <c r="F697" s="13"/>
    </row>
    <row r="698" spans="1:7" x14ac:dyDescent="0.2">
      <c r="A698" s="13"/>
      <c r="B698" s="13"/>
      <c r="D698" s="13"/>
      <c r="E698" s="13"/>
      <c r="F698" s="13"/>
    </row>
    <row r="699" spans="1:7" x14ac:dyDescent="0.2">
      <c r="A699" s="13"/>
      <c r="B699" s="13"/>
      <c r="D699" s="13"/>
      <c r="E699" s="13"/>
      <c r="F699" s="13"/>
    </row>
    <row r="700" spans="1:7" x14ac:dyDescent="0.2">
      <c r="A700" s="13"/>
      <c r="B700" s="13"/>
      <c r="D700" s="13"/>
      <c r="E700" s="13"/>
      <c r="G700" s="13"/>
    </row>
    <row r="701" spans="1:7" x14ac:dyDescent="0.2">
      <c r="A701" s="13"/>
      <c r="B701" s="13"/>
      <c r="D701" s="13"/>
      <c r="E701" s="13"/>
      <c r="F701" s="13"/>
    </row>
    <row r="702" spans="1:7" x14ac:dyDescent="0.2">
      <c r="A702" s="13"/>
      <c r="B702" s="13"/>
      <c r="D702" s="13"/>
      <c r="E702" s="13"/>
      <c r="G702" s="13"/>
    </row>
    <row r="703" spans="1:7" x14ac:dyDescent="0.2">
      <c r="A703" s="13"/>
      <c r="B703" s="13"/>
      <c r="D703" s="13"/>
      <c r="E703" s="13"/>
      <c r="G703" s="13"/>
    </row>
    <row r="704" spans="1:7" x14ac:dyDescent="0.2">
      <c r="A704" s="13"/>
      <c r="B704" s="13"/>
      <c r="D704" s="13"/>
      <c r="E704" s="13"/>
      <c r="F704" s="13"/>
    </row>
    <row r="705" spans="1:7" x14ac:dyDescent="0.2">
      <c r="A705" s="13"/>
      <c r="B705" s="13"/>
      <c r="D705" s="13"/>
      <c r="E705" s="13"/>
      <c r="G705" s="13"/>
    </row>
    <row r="706" spans="1:7" x14ac:dyDescent="0.2">
      <c r="A706" s="13"/>
      <c r="B706" s="13"/>
      <c r="D706" s="13"/>
      <c r="E706" s="13"/>
      <c r="F706" s="13"/>
    </row>
    <row r="707" spans="1:7" x14ac:dyDescent="0.2">
      <c r="A707" s="13"/>
      <c r="B707" s="13"/>
    </row>
    <row r="708" spans="1:7" x14ac:dyDescent="0.2">
      <c r="A708" s="13"/>
    </row>
    <row r="709" spans="1:7" x14ac:dyDescent="0.2">
      <c r="A709" s="13"/>
    </row>
    <row r="710" spans="1:7" x14ac:dyDescent="0.2">
      <c r="A710" s="13"/>
      <c r="B710" s="13"/>
      <c r="D710" s="13"/>
      <c r="E710" s="13"/>
      <c r="F710" s="13"/>
    </row>
    <row r="711" spans="1:7" x14ac:dyDescent="0.2">
      <c r="A711" s="13"/>
      <c r="B711" s="13"/>
      <c r="D711" s="13"/>
      <c r="E711" s="13"/>
      <c r="G711" s="13"/>
    </row>
    <row r="712" spans="1:7" x14ac:dyDescent="0.2">
      <c r="A712" s="13"/>
      <c r="B712" s="13"/>
      <c r="D712" s="13"/>
      <c r="E712" s="13"/>
      <c r="F712" s="13"/>
    </row>
    <row r="713" spans="1:7" x14ac:dyDescent="0.2">
      <c r="A713" s="13"/>
      <c r="B713" s="13"/>
      <c r="D713" s="13"/>
      <c r="E713" s="13"/>
      <c r="G713" s="13"/>
    </row>
    <row r="714" spans="1:7" x14ac:dyDescent="0.2">
      <c r="A714" s="13"/>
      <c r="B714" s="13"/>
      <c r="D714" s="13"/>
      <c r="E714" s="13"/>
      <c r="G714" s="13"/>
    </row>
    <row r="715" spans="1:7" x14ac:dyDescent="0.2">
      <c r="A715" s="13"/>
      <c r="B715" s="13"/>
      <c r="D715" s="13"/>
      <c r="E715" s="13"/>
      <c r="F715" s="13"/>
    </row>
    <row r="716" spans="1:7" x14ac:dyDescent="0.2">
      <c r="A716" s="13"/>
      <c r="B716" s="13"/>
      <c r="D716" s="13"/>
      <c r="E716" s="13"/>
      <c r="G716" s="13"/>
    </row>
    <row r="717" spans="1:7" x14ac:dyDescent="0.2">
      <c r="A717" s="13"/>
      <c r="B717" s="13"/>
      <c r="D717" s="13"/>
      <c r="E717" s="13"/>
      <c r="F717" s="13"/>
    </row>
    <row r="718" spans="1:7" x14ac:dyDescent="0.2">
      <c r="A718" s="13"/>
      <c r="B718" s="13"/>
      <c r="D718" s="13"/>
      <c r="E718" s="13"/>
      <c r="G718" s="13"/>
    </row>
    <row r="719" spans="1:7" x14ac:dyDescent="0.2">
      <c r="A719" s="13"/>
    </row>
    <row r="720" spans="1:7" x14ac:dyDescent="0.2">
      <c r="A720" s="13"/>
    </row>
    <row r="721" spans="1:7" x14ac:dyDescent="0.2">
      <c r="A721" s="13"/>
    </row>
    <row r="722" spans="1:7" x14ac:dyDescent="0.2">
      <c r="A722" s="13"/>
      <c r="B722" s="13"/>
      <c r="D722" s="13"/>
      <c r="E722" s="13"/>
      <c r="G722" s="13"/>
    </row>
    <row r="723" spans="1:7" x14ac:dyDescent="0.2">
      <c r="A723" s="13"/>
    </row>
    <row r="724" spans="1:7" x14ac:dyDescent="0.2">
      <c r="A724" s="13"/>
    </row>
    <row r="725" spans="1:7" x14ac:dyDescent="0.2">
      <c r="A725" s="13"/>
    </row>
    <row r="726" spans="1:7" x14ac:dyDescent="0.2">
      <c r="A726" s="13"/>
      <c r="B726" s="13"/>
      <c r="D726" s="13"/>
      <c r="E726" s="13"/>
      <c r="F726" s="13"/>
    </row>
    <row r="727" spans="1:7" x14ac:dyDescent="0.2">
      <c r="A727" s="13"/>
    </row>
    <row r="728" spans="1:7" x14ac:dyDescent="0.2">
      <c r="A728" s="13"/>
    </row>
    <row r="729" spans="1:7" x14ac:dyDescent="0.2">
      <c r="A729" s="13"/>
      <c r="B729" s="13"/>
    </row>
    <row r="730" spans="1:7" x14ac:dyDescent="0.2">
      <c r="A730" s="13"/>
      <c r="B730" s="13"/>
      <c r="D730" s="13"/>
      <c r="E730" s="13"/>
      <c r="G730" s="13"/>
    </row>
    <row r="731" spans="1:7" x14ac:dyDescent="0.2">
      <c r="A731" s="13"/>
      <c r="B731" s="13"/>
      <c r="D731" s="13"/>
      <c r="E731" s="13"/>
      <c r="G731" s="13"/>
    </row>
    <row r="732" spans="1:7" x14ac:dyDescent="0.2">
      <c r="A732" s="13"/>
      <c r="B732" s="13"/>
    </row>
    <row r="733" spans="1:7" x14ac:dyDescent="0.2">
      <c r="A733" s="13"/>
    </row>
    <row r="734" spans="1:7" x14ac:dyDescent="0.2">
      <c r="A734" s="13"/>
    </row>
    <row r="735" spans="1:7" x14ac:dyDescent="0.2">
      <c r="A735" s="13"/>
      <c r="B735" s="13"/>
      <c r="D735" s="13"/>
      <c r="E735" s="13"/>
      <c r="F735" s="13"/>
    </row>
    <row r="736" spans="1:7" x14ac:dyDescent="0.2">
      <c r="A736" s="13"/>
      <c r="B736" s="13"/>
      <c r="D736" s="13"/>
      <c r="E736" s="13"/>
      <c r="G736" s="13"/>
    </row>
    <row r="737" spans="1:7" x14ac:dyDescent="0.2">
      <c r="A737" s="13"/>
      <c r="B737" s="13"/>
      <c r="D737" s="13"/>
      <c r="E737" s="13"/>
      <c r="F737" s="13"/>
    </row>
    <row r="738" spans="1:7" x14ac:dyDescent="0.2">
      <c r="A738" s="13"/>
      <c r="B738" s="13"/>
      <c r="D738" s="13"/>
      <c r="E738" s="13"/>
      <c r="F738" s="13"/>
    </row>
    <row r="739" spans="1:7" x14ac:dyDescent="0.2">
      <c r="A739" s="13"/>
      <c r="B739" s="13"/>
      <c r="D739" s="13"/>
      <c r="E739" s="13"/>
      <c r="F739" s="13"/>
    </row>
    <row r="740" spans="1:7" x14ac:dyDescent="0.2">
      <c r="A740" s="13"/>
      <c r="B740" s="13"/>
      <c r="D740" s="13"/>
      <c r="E740" s="13"/>
      <c r="G740" s="13"/>
    </row>
    <row r="741" spans="1:7" x14ac:dyDescent="0.2">
      <c r="A741" s="13"/>
      <c r="B741" s="13"/>
      <c r="D741" s="13"/>
      <c r="E741" s="13"/>
      <c r="G741" s="13"/>
    </row>
    <row r="742" spans="1:7" x14ac:dyDescent="0.2">
      <c r="A742" s="13"/>
      <c r="B742" s="13"/>
      <c r="D742" s="13"/>
      <c r="E742" s="13"/>
      <c r="G742" s="13"/>
    </row>
    <row r="743" spans="1:7" x14ac:dyDescent="0.2">
      <c r="A743" s="13"/>
      <c r="B743" s="13"/>
      <c r="D743" s="13"/>
      <c r="E743" s="13"/>
      <c r="G743" s="13"/>
    </row>
    <row r="744" spans="1:7" x14ac:dyDescent="0.2">
      <c r="A744" s="13"/>
      <c r="B744" s="13"/>
      <c r="D744" s="13"/>
      <c r="E744" s="13"/>
      <c r="G744" s="13"/>
    </row>
    <row r="745" spans="1:7" x14ac:dyDescent="0.2">
      <c r="A745" s="13"/>
    </row>
    <row r="746" spans="1:7" x14ac:dyDescent="0.2">
      <c r="A746" s="13"/>
    </row>
    <row r="747" spans="1:7" x14ac:dyDescent="0.2">
      <c r="A747" s="13"/>
    </row>
    <row r="748" spans="1:7" x14ac:dyDescent="0.2">
      <c r="A748" s="13"/>
      <c r="B748" s="13"/>
      <c r="D748" s="13"/>
      <c r="E748" s="13"/>
      <c r="F748" s="13"/>
    </row>
    <row r="749" spans="1:7" x14ac:dyDescent="0.2">
      <c r="A749" s="13"/>
      <c r="B749" s="13"/>
      <c r="D749" s="13"/>
      <c r="E749" s="13"/>
      <c r="G749" s="13"/>
    </row>
    <row r="750" spans="1:7" x14ac:dyDescent="0.2">
      <c r="A750" s="13"/>
    </row>
    <row r="751" spans="1:7" x14ac:dyDescent="0.2">
      <c r="A751" s="13"/>
    </row>
    <row r="752" spans="1:7" x14ac:dyDescent="0.2">
      <c r="A752" s="13"/>
    </row>
    <row r="753" spans="1:7" x14ac:dyDescent="0.2">
      <c r="A753" s="13"/>
      <c r="B753" s="13"/>
      <c r="D753" s="13"/>
      <c r="E753" s="13"/>
      <c r="F753" s="13"/>
    </row>
    <row r="754" spans="1:7" x14ac:dyDescent="0.2">
      <c r="A754" s="13"/>
      <c r="B754" s="13"/>
      <c r="D754" s="13"/>
      <c r="E754" s="13"/>
      <c r="G754" s="13"/>
    </row>
    <row r="755" spans="1:7" x14ac:dyDescent="0.2">
      <c r="A755" s="13"/>
    </row>
    <row r="756" spans="1:7" x14ac:dyDescent="0.2">
      <c r="A756" s="13"/>
    </row>
    <row r="757" spans="1:7" x14ac:dyDescent="0.2">
      <c r="A757" s="13"/>
    </row>
    <row r="758" spans="1:7" x14ac:dyDescent="0.2">
      <c r="A758" s="13"/>
      <c r="B758" s="13"/>
      <c r="D758" s="13"/>
      <c r="E758" s="13"/>
      <c r="G758" s="13"/>
    </row>
    <row r="759" spans="1:7" x14ac:dyDescent="0.2">
      <c r="A759" s="13"/>
    </row>
    <row r="760" spans="1:7" x14ac:dyDescent="0.2">
      <c r="A760" s="13"/>
    </row>
    <row r="761" spans="1:7" x14ac:dyDescent="0.2">
      <c r="A761" s="13"/>
    </row>
    <row r="762" spans="1:7" x14ac:dyDescent="0.2">
      <c r="A762" s="13"/>
      <c r="B762" s="13"/>
      <c r="D762" s="13"/>
      <c r="E762" s="13"/>
      <c r="F762" s="13"/>
    </row>
    <row r="763" spans="1:7" x14ac:dyDescent="0.2">
      <c r="A763" s="13"/>
      <c r="B763" s="13"/>
      <c r="D763" s="13"/>
      <c r="E763" s="13"/>
      <c r="G763" s="13"/>
    </row>
    <row r="764" spans="1:7" x14ac:dyDescent="0.2">
      <c r="A764" s="13"/>
    </row>
    <row r="765" spans="1:7" x14ac:dyDescent="0.2">
      <c r="A765" s="13"/>
    </row>
    <row r="766" spans="1:7" x14ac:dyDescent="0.2">
      <c r="A766" s="13"/>
      <c r="B766" s="13"/>
    </row>
    <row r="767" spans="1:7" x14ac:dyDescent="0.2">
      <c r="A767" s="13"/>
      <c r="B767" s="13"/>
    </row>
    <row r="768" spans="1:7" x14ac:dyDescent="0.2">
      <c r="A768" s="13"/>
    </row>
    <row r="769" spans="1:7" x14ac:dyDescent="0.2">
      <c r="A769" s="13"/>
      <c r="B769" s="13"/>
    </row>
    <row r="770" spans="1:7" x14ac:dyDescent="0.2">
      <c r="A770" s="13"/>
      <c r="B770" s="13"/>
      <c r="D770" s="13"/>
      <c r="E770" s="13"/>
      <c r="F770" s="13"/>
    </row>
    <row r="771" spans="1:7" x14ac:dyDescent="0.2">
      <c r="A771" s="13"/>
      <c r="B771" s="13"/>
      <c r="D771" s="13"/>
      <c r="E771" s="13"/>
      <c r="F771" s="13"/>
    </row>
    <row r="772" spans="1:7" x14ac:dyDescent="0.2">
      <c r="A772" s="13"/>
      <c r="B772" s="13"/>
      <c r="D772" s="13"/>
      <c r="E772" s="13"/>
      <c r="G772" s="13"/>
    </row>
    <row r="773" spans="1:7" x14ac:dyDescent="0.2">
      <c r="A773" s="13"/>
      <c r="B773" s="13"/>
      <c r="D773" s="13"/>
      <c r="E773" s="13"/>
      <c r="G773" s="13"/>
    </row>
    <row r="774" spans="1:7" x14ac:dyDescent="0.2">
      <c r="A774" s="13"/>
      <c r="B774" s="13"/>
      <c r="D774" s="13"/>
      <c r="E774" s="13"/>
      <c r="F774" s="13"/>
    </row>
    <row r="775" spans="1:7" x14ac:dyDescent="0.2">
      <c r="A775" s="13"/>
      <c r="B775" s="13"/>
      <c r="D775" s="13"/>
      <c r="E775" s="13"/>
      <c r="G775" s="13"/>
    </row>
    <row r="776" spans="1:7" x14ac:dyDescent="0.2">
      <c r="A776" s="13"/>
      <c r="B776" s="13"/>
      <c r="D776" s="13"/>
      <c r="E776" s="13"/>
      <c r="G776" s="13"/>
    </row>
    <row r="777" spans="1:7" x14ac:dyDescent="0.2">
      <c r="A777" s="13"/>
      <c r="B777" s="13"/>
      <c r="D777" s="13"/>
      <c r="E777" s="13"/>
      <c r="F777" s="13"/>
    </row>
    <row r="778" spans="1:7" x14ac:dyDescent="0.2">
      <c r="A778" s="13"/>
      <c r="B778" s="13"/>
      <c r="D778" s="13"/>
      <c r="E778" s="13"/>
      <c r="G778" s="13"/>
    </row>
    <row r="779" spans="1:7" x14ac:dyDescent="0.2">
      <c r="A779" s="13"/>
      <c r="B779" s="13"/>
      <c r="D779" s="13"/>
      <c r="E779" s="13"/>
      <c r="G779" s="13"/>
    </row>
    <row r="780" spans="1:7" x14ac:dyDescent="0.2">
      <c r="A780" s="13"/>
      <c r="B780" s="13"/>
      <c r="D780" s="13"/>
      <c r="E780" s="13"/>
      <c r="F780" s="13"/>
    </row>
    <row r="781" spans="1:7" x14ac:dyDescent="0.2">
      <c r="A781" s="13"/>
      <c r="B781" s="13"/>
      <c r="D781" s="13"/>
      <c r="E781" s="13"/>
      <c r="G781" s="13"/>
    </row>
    <row r="782" spans="1:7" x14ac:dyDescent="0.2">
      <c r="A782" s="13"/>
      <c r="B782" s="13"/>
    </row>
    <row r="783" spans="1:7" x14ac:dyDescent="0.2">
      <c r="A783" s="13"/>
    </row>
    <row r="784" spans="1:7" x14ac:dyDescent="0.2">
      <c r="A784" s="13"/>
    </row>
    <row r="785" spans="1:6" x14ac:dyDescent="0.2">
      <c r="A785" s="13"/>
      <c r="C785" s="13"/>
    </row>
    <row r="786" spans="1:6" x14ac:dyDescent="0.2">
      <c r="A786" s="13"/>
    </row>
    <row r="787" spans="1:6" x14ac:dyDescent="0.2">
      <c r="A787" s="13"/>
    </row>
    <row r="788" spans="1:6" x14ac:dyDescent="0.2">
      <c r="A788" s="13"/>
      <c r="C788" s="13"/>
    </row>
    <row r="789" spans="1:6" x14ac:dyDescent="0.2">
      <c r="A789" s="13"/>
    </row>
    <row r="790" spans="1:6" x14ac:dyDescent="0.2">
      <c r="A790" s="13"/>
      <c r="B790" s="13"/>
    </row>
    <row r="791" spans="1:6" x14ac:dyDescent="0.2">
      <c r="A791" s="13"/>
      <c r="B791" s="13"/>
    </row>
    <row r="792" spans="1:6" x14ac:dyDescent="0.2">
      <c r="A792" s="13"/>
    </row>
    <row r="793" spans="1:6" x14ac:dyDescent="0.2">
      <c r="A793" s="13"/>
    </row>
    <row r="794" spans="1:6" x14ac:dyDescent="0.2">
      <c r="A794" s="13"/>
      <c r="C794" s="13"/>
    </row>
    <row r="795" spans="1:6" x14ac:dyDescent="0.2">
      <c r="A795" s="13"/>
    </row>
    <row r="796" spans="1:6" x14ac:dyDescent="0.2">
      <c r="A796" s="13"/>
    </row>
    <row r="797" spans="1:6" x14ac:dyDescent="0.2">
      <c r="A797" s="13"/>
      <c r="C797" s="13"/>
    </row>
    <row r="798" spans="1:6" x14ac:dyDescent="0.2">
      <c r="A798" s="13"/>
    </row>
    <row r="799" spans="1:6" x14ac:dyDescent="0.2">
      <c r="A799" s="13"/>
      <c r="B799" s="13"/>
    </row>
    <row r="800" spans="1:6" x14ac:dyDescent="0.2">
      <c r="A800" s="13"/>
      <c r="B800" s="13"/>
      <c r="D800" s="13"/>
      <c r="E800" s="13"/>
      <c r="F800" s="13"/>
    </row>
    <row r="801" spans="1:7" x14ac:dyDescent="0.2">
      <c r="A801" s="13"/>
      <c r="B801" s="13"/>
      <c r="D801" s="13"/>
      <c r="E801" s="13"/>
      <c r="F801" s="13"/>
    </row>
    <row r="802" spans="1:7" x14ac:dyDescent="0.2">
      <c r="A802" s="13"/>
      <c r="B802" s="13"/>
      <c r="D802" s="13"/>
      <c r="E802" s="13"/>
      <c r="G802" s="13"/>
    </row>
    <row r="803" spans="1:7" x14ac:dyDescent="0.2">
      <c r="A803" s="13"/>
      <c r="B803" s="13"/>
      <c r="D803" s="13"/>
      <c r="E803" s="13"/>
      <c r="G803" s="13"/>
    </row>
    <row r="804" spans="1:7" x14ac:dyDescent="0.2">
      <c r="A804" s="13"/>
      <c r="B804" s="13"/>
      <c r="D804" s="13"/>
      <c r="E804" s="13"/>
      <c r="G804" s="13"/>
    </row>
    <row r="805" spans="1:7" x14ac:dyDescent="0.2">
      <c r="A805" s="13"/>
      <c r="B805" s="13"/>
      <c r="D805" s="13"/>
      <c r="E805" s="13"/>
      <c r="G805" s="13"/>
    </row>
    <row r="806" spans="1:7" x14ac:dyDescent="0.2">
      <c r="A806" s="13"/>
      <c r="B806" s="13"/>
      <c r="D806" s="13"/>
      <c r="E806" s="13"/>
      <c r="F806" s="13"/>
    </row>
    <row r="807" spans="1:7" x14ac:dyDescent="0.2">
      <c r="A807" s="13"/>
      <c r="B807" s="13"/>
      <c r="D807" s="13"/>
      <c r="E807" s="13"/>
      <c r="F807" s="13"/>
    </row>
    <row r="808" spans="1:7" x14ac:dyDescent="0.2">
      <c r="A808" s="13"/>
      <c r="B808" s="13"/>
      <c r="D808" s="13"/>
      <c r="E808" s="13"/>
      <c r="G808" s="13"/>
    </row>
    <row r="809" spans="1:7" x14ac:dyDescent="0.2">
      <c r="A809" s="13"/>
      <c r="B809" s="13"/>
    </row>
    <row r="810" spans="1:7" x14ac:dyDescent="0.2">
      <c r="A810" s="13"/>
    </row>
    <row r="811" spans="1:7" x14ac:dyDescent="0.2">
      <c r="A811" s="13"/>
    </row>
    <row r="812" spans="1:7" x14ac:dyDescent="0.2">
      <c r="A812" s="13"/>
      <c r="B812" s="13"/>
      <c r="D812" s="13"/>
      <c r="E812" s="13"/>
      <c r="F812" s="13"/>
    </row>
    <row r="813" spans="1:7" x14ac:dyDescent="0.2">
      <c r="A813" s="13"/>
      <c r="B813" s="13"/>
      <c r="D813" s="13"/>
      <c r="E813" s="13"/>
      <c r="F813" s="13"/>
    </row>
    <row r="814" spans="1:7" x14ac:dyDescent="0.2">
      <c r="A814" s="13"/>
      <c r="B814" s="13"/>
      <c r="D814" s="13"/>
      <c r="E814" s="13"/>
      <c r="F814" s="13"/>
    </row>
    <row r="815" spans="1:7" x14ac:dyDescent="0.2">
      <c r="A815" s="13"/>
      <c r="B815" s="13"/>
      <c r="D815" s="13"/>
      <c r="E815" s="13"/>
      <c r="G815" s="13"/>
    </row>
    <row r="816" spans="1:7" x14ac:dyDescent="0.2">
      <c r="A816" s="13"/>
      <c r="B816" s="13"/>
    </row>
    <row r="817" spans="1:7" x14ac:dyDescent="0.2">
      <c r="A817" s="13"/>
    </row>
    <row r="818" spans="1:7" x14ac:dyDescent="0.2">
      <c r="A818" s="13"/>
    </row>
    <row r="819" spans="1:7" x14ac:dyDescent="0.2">
      <c r="A819" s="13"/>
      <c r="C819" s="13"/>
    </row>
    <row r="820" spans="1:7" x14ac:dyDescent="0.2">
      <c r="A820" s="13"/>
    </row>
    <row r="821" spans="1:7" x14ac:dyDescent="0.2">
      <c r="A821" s="13"/>
      <c r="B821" s="13"/>
    </row>
    <row r="822" spans="1:7" x14ac:dyDescent="0.2">
      <c r="A822" s="13"/>
      <c r="B822" s="13"/>
      <c r="D822" s="13"/>
      <c r="E822" s="13"/>
      <c r="G822" s="13"/>
    </row>
    <row r="823" spans="1:7" x14ac:dyDescent="0.2">
      <c r="A823" s="13"/>
      <c r="B823" s="13"/>
      <c r="D823" s="13"/>
      <c r="E823" s="13"/>
      <c r="G823" s="13"/>
    </row>
    <row r="824" spans="1:7" x14ac:dyDescent="0.2">
      <c r="A824" s="13"/>
      <c r="B824" s="13"/>
      <c r="D824" s="13"/>
      <c r="E824" s="13"/>
      <c r="G824" s="13"/>
    </row>
    <row r="825" spans="1:7" x14ac:dyDescent="0.2">
      <c r="A825" s="13"/>
      <c r="B825" s="13"/>
    </row>
    <row r="826" spans="1:7" x14ac:dyDescent="0.2">
      <c r="A826" s="13"/>
    </row>
    <row r="827" spans="1:7" x14ac:dyDescent="0.2">
      <c r="A827" s="13"/>
    </row>
    <row r="828" spans="1:7" x14ac:dyDescent="0.2">
      <c r="A828" s="13"/>
      <c r="C828" s="13"/>
    </row>
    <row r="829" spans="1:7" x14ac:dyDescent="0.2">
      <c r="A829" s="13"/>
    </row>
    <row r="830" spans="1:7" x14ac:dyDescent="0.2">
      <c r="A830" s="13"/>
      <c r="B830" s="13"/>
    </row>
    <row r="831" spans="1:7" x14ac:dyDescent="0.2">
      <c r="A831" s="13"/>
      <c r="B831" s="13"/>
    </row>
    <row r="832" spans="1:7" x14ac:dyDescent="0.2">
      <c r="A832" s="13"/>
    </row>
    <row r="833" spans="1:7" x14ac:dyDescent="0.2">
      <c r="A833" s="13"/>
    </row>
    <row r="834" spans="1:7" x14ac:dyDescent="0.2">
      <c r="A834" s="13"/>
      <c r="C834" s="13"/>
    </row>
    <row r="835" spans="1:7" x14ac:dyDescent="0.2">
      <c r="A835" s="13"/>
    </row>
    <row r="836" spans="1:7" x14ac:dyDescent="0.2">
      <c r="A836" s="13"/>
    </row>
    <row r="837" spans="1:7" x14ac:dyDescent="0.2">
      <c r="A837" s="13"/>
      <c r="B837" s="13"/>
      <c r="D837" s="13"/>
      <c r="E837" s="13"/>
      <c r="F837" s="13"/>
    </row>
    <row r="838" spans="1:7" x14ac:dyDescent="0.2">
      <c r="A838" s="13"/>
      <c r="B838" s="13"/>
      <c r="D838" s="13"/>
      <c r="E838" s="13"/>
      <c r="F838" s="13"/>
    </row>
    <row r="839" spans="1:7" x14ac:dyDescent="0.2">
      <c r="A839" s="13"/>
      <c r="B839" s="13"/>
      <c r="D839" s="13"/>
      <c r="E839" s="13"/>
      <c r="G839" s="13"/>
    </row>
    <row r="840" spans="1:7" x14ac:dyDescent="0.2">
      <c r="A840" s="13"/>
      <c r="B840" s="13"/>
    </row>
    <row r="841" spans="1:7" x14ac:dyDescent="0.2">
      <c r="A841" s="13"/>
    </row>
    <row r="842" spans="1:7" x14ac:dyDescent="0.2">
      <c r="A842" s="13"/>
    </row>
    <row r="843" spans="1:7" x14ac:dyDescent="0.2">
      <c r="A843" s="13"/>
      <c r="C843" s="13"/>
    </row>
    <row r="844" spans="1:7" x14ac:dyDescent="0.2">
      <c r="A844" s="13"/>
    </row>
    <row r="845" spans="1:7" x14ac:dyDescent="0.2">
      <c r="A845" s="13"/>
    </row>
    <row r="846" spans="1:7" x14ac:dyDescent="0.2">
      <c r="A846" s="13"/>
      <c r="C846" s="13"/>
    </row>
    <row r="847" spans="1:7" x14ac:dyDescent="0.2">
      <c r="A847" s="13"/>
    </row>
    <row r="848" spans="1:7" x14ac:dyDescent="0.2">
      <c r="A848" s="13"/>
    </row>
    <row r="849" spans="1:7" x14ac:dyDescent="0.2">
      <c r="A849" s="13"/>
      <c r="C849" s="13"/>
    </row>
    <row r="850" spans="1:7" x14ac:dyDescent="0.2">
      <c r="A850" s="13"/>
    </row>
    <row r="851" spans="1:7" x14ac:dyDescent="0.2">
      <c r="A851" s="13"/>
      <c r="B851" s="13"/>
    </row>
    <row r="852" spans="1:7" x14ac:dyDescent="0.2">
      <c r="A852" s="13"/>
      <c r="B852" s="13"/>
    </row>
    <row r="853" spans="1:7" x14ac:dyDescent="0.2">
      <c r="A853" s="13"/>
    </row>
    <row r="854" spans="1:7" x14ac:dyDescent="0.2">
      <c r="A854" s="13"/>
      <c r="B854" s="13"/>
    </row>
    <row r="855" spans="1:7" x14ac:dyDescent="0.2">
      <c r="A855" s="13"/>
      <c r="B855" s="13"/>
      <c r="D855" s="13"/>
      <c r="E855" s="13"/>
      <c r="F855" s="13"/>
    </row>
    <row r="856" spans="1:7" x14ac:dyDescent="0.2">
      <c r="A856" s="13"/>
      <c r="B856" s="13"/>
      <c r="D856" s="13"/>
      <c r="E856" s="13"/>
      <c r="F856" s="13"/>
    </row>
    <row r="857" spans="1:7" x14ac:dyDescent="0.2">
      <c r="A857" s="13"/>
      <c r="B857" s="13"/>
      <c r="D857" s="13"/>
      <c r="E857" s="13"/>
      <c r="F857" s="13"/>
    </row>
    <row r="858" spans="1:7" x14ac:dyDescent="0.2">
      <c r="A858" s="13"/>
      <c r="B858" s="13"/>
      <c r="D858" s="13"/>
      <c r="E858" s="13"/>
      <c r="F858" s="13"/>
    </row>
    <row r="859" spans="1:7" x14ac:dyDescent="0.2">
      <c r="A859" s="13"/>
      <c r="B859" s="13"/>
      <c r="D859" s="13"/>
      <c r="E859" s="13"/>
      <c r="G859" s="13"/>
    </row>
    <row r="860" spans="1:7" x14ac:dyDescent="0.2">
      <c r="A860" s="13"/>
      <c r="B860" s="13"/>
      <c r="D860" s="13"/>
      <c r="E860" s="13"/>
      <c r="G860" s="13"/>
    </row>
    <row r="861" spans="1:7" x14ac:dyDescent="0.2">
      <c r="A861" s="13"/>
      <c r="B861" s="13"/>
      <c r="D861" s="13"/>
      <c r="E861" s="13"/>
      <c r="G861" s="13"/>
    </row>
    <row r="862" spans="1:7" x14ac:dyDescent="0.2">
      <c r="A862" s="13"/>
      <c r="B862" s="13"/>
    </row>
    <row r="863" spans="1:7" x14ac:dyDescent="0.2">
      <c r="A863" s="13"/>
    </row>
    <row r="864" spans="1:7" x14ac:dyDescent="0.2">
      <c r="A864" s="13"/>
    </row>
    <row r="865" spans="1:7" x14ac:dyDescent="0.2">
      <c r="A865" s="13"/>
      <c r="B865" s="13"/>
      <c r="D865" s="13"/>
      <c r="E865" s="13"/>
      <c r="G865" s="13"/>
    </row>
    <row r="866" spans="1:7" x14ac:dyDescent="0.2">
      <c r="A866" s="13"/>
      <c r="B866" s="13"/>
      <c r="D866" s="13"/>
      <c r="E866" s="13"/>
      <c r="G866" s="13"/>
    </row>
    <row r="867" spans="1:7" x14ac:dyDescent="0.2">
      <c r="A867" s="13"/>
      <c r="B867" s="13"/>
      <c r="D867" s="13"/>
      <c r="E867" s="13"/>
      <c r="G867" s="13"/>
    </row>
    <row r="868" spans="1:7" x14ac:dyDescent="0.2">
      <c r="A868" s="13"/>
      <c r="B868" s="13"/>
      <c r="D868" s="13"/>
      <c r="E868" s="13"/>
      <c r="G868" s="13"/>
    </row>
    <row r="869" spans="1:7" x14ac:dyDescent="0.2">
      <c r="A869" s="13"/>
      <c r="B869" s="13"/>
      <c r="D869" s="13"/>
      <c r="E869" s="13"/>
      <c r="G869" s="13"/>
    </row>
    <row r="870" spans="1:7" x14ac:dyDescent="0.2">
      <c r="A870" s="13"/>
      <c r="B870" s="13"/>
      <c r="D870" s="13"/>
      <c r="E870" s="13"/>
      <c r="G870" s="13"/>
    </row>
    <row r="871" spans="1:7" x14ac:dyDescent="0.2">
      <c r="A871" s="13"/>
      <c r="B871" s="13"/>
      <c r="D871" s="13"/>
      <c r="E871" s="13"/>
      <c r="G871" s="13"/>
    </row>
    <row r="872" spans="1:7" x14ac:dyDescent="0.2">
      <c r="A872" s="13"/>
      <c r="B872" s="13"/>
      <c r="D872" s="13"/>
      <c r="E872" s="13"/>
      <c r="G872" s="13"/>
    </row>
    <row r="873" spans="1:7" x14ac:dyDescent="0.2">
      <c r="A873" s="13"/>
      <c r="B873" s="13"/>
      <c r="D873" s="13"/>
      <c r="E873" s="13"/>
      <c r="G873" s="13"/>
    </row>
    <row r="874" spans="1:7" x14ac:dyDescent="0.2">
      <c r="A874" s="13"/>
      <c r="B874" s="13"/>
      <c r="D874" s="13"/>
      <c r="E874" s="13"/>
      <c r="G874" s="13"/>
    </row>
    <row r="875" spans="1:7" x14ac:dyDescent="0.2">
      <c r="A875" s="13"/>
      <c r="B875" s="13"/>
      <c r="D875" s="13"/>
      <c r="E875" s="13"/>
      <c r="G875" s="13"/>
    </row>
    <row r="876" spans="1:7" x14ac:dyDescent="0.2">
      <c r="A876" s="13"/>
      <c r="B876" s="13"/>
      <c r="D876" s="13"/>
      <c r="E876" s="13"/>
      <c r="G876" s="13"/>
    </row>
    <row r="877" spans="1:7" x14ac:dyDescent="0.2">
      <c r="A877" s="13"/>
      <c r="B877" s="13"/>
      <c r="D877" s="13"/>
      <c r="E877" s="13"/>
      <c r="G877" s="13"/>
    </row>
    <row r="878" spans="1:7" x14ac:dyDescent="0.2">
      <c r="A878" s="13"/>
      <c r="B878" s="13"/>
      <c r="D878" s="13"/>
      <c r="E878" s="13"/>
      <c r="G878" s="13"/>
    </row>
    <row r="879" spans="1:7" x14ac:dyDescent="0.2">
      <c r="A879" s="13"/>
      <c r="B879" s="13"/>
      <c r="D879" s="13"/>
      <c r="E879" s="13"/>
      <c r="G879" s="13"/>
    </row>
    <row r="880" spans="1:7" x14ac:dyDescent="0.2">
      <c r="A880" s="13"/>
      <c r="B880" s="13"/>
      <c r="D880" s="13"/>
      <c r="E880" s="13"/>
      <c r="G880" s="13"/>
    </row>
    <row r="881" spans="1:7" x14ac:dyDescent="0.2">
      <c r="A881" s="13"/>
      <c r="B881" s="13"/>
      <c r="D881" s="13"/>
      <c r="E881" s="13"/>
      <c r="G881" s="13"/>
    </row>
    <row r="882" spans="1:7" x14ac:dyDescent="0.2">
      <c r="A882" s="13"/>
      <c r="B882" s="13"/>
      <c r="D882" s="13"/>
      <c r="E882" s="13"/>
      <c r="G882" s="13"/>
    </row>
    <row r="883" spans="1:7" x14ac:dyDescent="0.2">
      <c r="A883" s="13"/>
      <c r="B883" s="13"/>
      <c r="D883" s="13"/>
      <c r="E883" s="13"/>
      <c r="G883" s="13"/>
    </row>
    <row r="884" spans="1:7" x14ac:dyDescent="0.2">
      <c r="A884" s="13"/>
      <c r="B884" s="13"/>
      <c r="D884" s="13"/>
      <c r="E884" s="13"/>
      <c r="G884" s="13"/>
    </row>
    <row r="885" spans="1:7" x14ac:dyDescent="0.2">
      <c r="A885" s="13"/>
      <c r="B885" s="13"/>
      <c r="D885" s="13"/>
      <c r="E885" s="13"/>
      <c r="G885" s="13"/>
    </row>
    <row r="886" spans="1:7" x14ac:dyDescent="0.2">
      <c r="A886" s="13"/>
      <c r="B886" s="13"/>
      <c r="D886" s="13"/>
      <c r="E886" s="13"/>
      <c r="G886" s="13"/>
    </row>
    <row r="887" spans="1:7" x14ac:dyDescent="0.2">
      <c r="A887" s="13"/>
    </row>
    <row r="888" spans="1:7" x14ac:dyDescent="0.2">
      <c r="A888" s="13"/>
    </row>
    <row r="889" spans="1:7" x14ac:dyDescent="0.2">
      <c r="A889" s="13"/>
    </row>
    <row r="890" spans="1:7" x14ac:dyDescent="0.2">
      <c r="A890" s="13"/>
      <c r="C890" s="13"/>
    </row>
    <row r="891" spans="1:7" x14ac:dyDescent="0.2">
      <c r="A891" s="13"/>
    </row>
    <row r="892" spans="1:7" x14ac:dyDescent="0.2">
      <c r="A892" s="13"/>
    </row>
    <row r="893" spans="1:7" x14ac:dyDescent="0.2">
      <c r="A893" s="13"/>
      <c r="B893" s="13"/>
      <c r="D893" s="13"/>
      <c r="E893" s="13"/>
      <c r="F893" s="13"/>
    </row>
    <row r="894" spans="1:7" x14ac:dyDescent="0.2">
      <c r="A894" s="13"/>
      <c r="B894" s="13"/>
      <c r="D894" s="13"/>
      <c r="E894" s="13"/>
      <c r="G894" s="13"/>
    </row>
    <row r="895" spans="1:7" x14ac:dyDescent="0.2">
      <c r="A895" s="13"/>
      <c r="B895" s="13"/>
      <c r="D895" s="13"/>
      <c r="E895" s="13"/>
      <c r="F895" s="13"/>
    </row>
    <row r="896" spans="1:7" x14ac:dyDescent="0.2">
      <c r="A896" s="13"/>
      <c r="B896" s="13"/>
      <c r="D896" s="13"/>
      <c r="E896" s="13"/>
      <c r="G896" s="13"/>
    </row>
    <row r="897" spans="1:7" x14ac:dyDescent="0.2">
      <c r="A897" s="13"/>
    </row>
    <row r="898" spans="1:7" x14ac:dyDescent="0.2">
      <c r="A898" s="13"/>
    </row>
    <row r="899" spans="1:7" x14ac:dyDescent="0.2">
      <c r="A899" s="13"/>
      <c r="B899" s="13"/>
    </row>
    <row r="900" spans="1:7" x14ac:dyDescent="0.2">
      <c r="A900" s="13"/>
      <c r="B900" s="13"/>
    </row>
    <row r="901" spans="1:7" x14ac:dyDescent="0.2">
      <c r="A901" s="13"/>
    </row>
    <row r="902" spans="1:7" x14ac:dyDescent="0.2">
      <c r="A902" s="13"/>
      <c r="B902" s="13"/>
    </row>
    <row r="903" spans="1:7" x14ac:dyDescent="0.2">
      <c r="A903" s="13"/>
      <c r="B903" s="13"/>
      <c r="D903" s="13"/>
      <c r="E903" s="13"/>
      <c r="F903" s="13"/>
    </row>
    <row r="904" spans="1:7" x14ac:dyDescent="0.2">
      <c r="A904" s="13"/>
      <c r="B904" s="13"/>
      <c r="D904" s="13"/>
      <c r="E904" s="13"/>
      <c r="G904" s="13"/>
    </row>
    <row r="905" spans="1:7" x14ac:dyDescent="0.2">
      <c r="A905" s="13"/>
      <c r="B905" s="13"/>
    </row>
    <row r="906" spans="1:7" x14ac:dyDescent="0.2">
      <c r="A906" s="13"/>
    </row>
    <row r="907" spans="1:7" x14ac:dyDescent="0.2">
      <c r="A907" s="13"/>
    </row>
    <row r="908" spans="1:7" x14ac:dyDescent="0.2">
      <c r="A908" s="13"/>
      <c r="C908" s="13"/>
    </row>
    <row r="909" spans="1:7" x14ac:dyDescent="0.2">
      <c r="A909" s="13"/>
    </row>
    <row r="910" spans="1:7" x14ac:dyDescent="0.2">
      <c r="A910" s="13"/>
    </row>
    <row r="911" spans="1:7" x14ac:dyDescent="0.2">
      <c r="A911" s="13"/>
      <c r="B911" s="13"/>
      <c r="D911" s="13"/>
      <c r="E911" s="13"/>
      <c r="G911" s="13"/>
    </row>
    <row r="912" spans="1:7" x14ac:dyDescent="0.2">
      <c r="A912" s="13"/>
      <c r="B912" s="13"/>
      <c r="D912" s="13"/>
      <c r="E912" s="13"/>
      <c r="G912" s="13"/>
    </row>
    <row r="913" spans="1:7" x14ac:dyDescent="0.2">
      <c r="A913" s="13"/>
      <c r="B913" s="13"/>
      <c r="D913" s="13"/>
      <c r="E913" s="13"/>
      <c r="G913" s="13"/>
    </row>
    <row r="914" spans="1:7" x14ac:dyDescent="0.2">
      <c r="A914" s="13"/>
      <c r="B914" s="13"/>
      <c r="D914" s="13"/>
      <c r="E914" s="13"/>
      <c r="G914" s="13"/>
    </row>
    <row r="915" spans="1:7" x14ac:dyDescent="0.2">
      <c r="A915" s="13"/>
      <c r="B915" s="13"/>
      <c r="D915" s="13"/>
      <c r="E915" s="13"/>
      <c r="G915" s="13"/>
    </row>
    <row r="916" spans="1:7" x14ac:dyDescent="0.2">
      <c r="A916" s="13"/>
      <c r="B916" s="13"/>
      <c r="D916" s="13"/>
      <c r="E916" s="13"/>
      <c r="G916" s="13"/>
    </row>
    <row r="917" spans="1:7" x14ac:dyDescent="0.2">
      <c r="A917" s="13"/>
      <c r="B917" s="13"/>
      <c r="D917" s="13"/>
      <c r="E917" s="13"/>
      <c r="G917" s="13"/>
    </row>
    <row r="918" spans="1:7" x14ac:dyDescent="0.2">
      <c r="A918" s="13"/>
      <c r="B918" s="13"/>
      <c r="D918" s="13"/>
      <c r="E918" s="13"/>
      <c r="G918" s="13"/>
    </row>
    <row r="919" spans="1:7" x14ac:dyDescent="0.2">
      <c r="A919" s="13"/>
      <c r="B919" s="13"/>
      <c r="D919" s="13"/>
      <c r="E919" s="13"/>
      <c r="G919" s="13"/>
    </row>
    <row r="920" spans="1:7" x14ac:dyDescent="0.2">
      <c r="A920" s="13"/>
      <c r="B920" s="13"/>
      <c r="D920" s="13"/>
      <c r="E920" s="13"/>
      <c r="G920" s="13"/>
    </row>
    <row r="921" spans="1:7" x14ac:dyDescent="0.2">
      <c r="A921" s="13"/>
      <c r="B921" s="13"/>
      <c r="D921" s="13"/>
      <c r="E921" s="13"/>
      <c r="G921" s="13"/>
    </row>
    <row r="922" spans="1:7" x14ac:dyDescent="0.2">
      <c r="A922" s="13"/>
      <c r="B922" s="13"/>
      <c r="D922" s="13"/>
      <c r="E922" s="13"/>
      <c r="G922" s="13"/>
    </row>
    <row r="923" spans="1:7" x14ac:dyDescent="0.2">
      <c r="A923" s="13"/>
      <c r="B923" s="13"/>
      <c r="D923" s="13"/>
      <c r="E923" s="13"/>
      <c r="G923" s="13"/>
    </row>
    <row r="924" spans="1:7" x14ac:dyDescent="0.2">
      <c r="A924" s="13"/>
      <c r="B924" s="13"/>
      <c r="D924" s="13"/>
      <c r="E924" s="13"/>
      <c r="F924" s="13"/>
    </row>
    <row r="925" spans="1:7" x14ac:dyDescent="0.2">
      <c r="A925" s="13"/>
      <c r="B925" s="13"/>
      <c r="D925" s="13"/>
      <c r="E925" s="13"/>
      <c r="G925" s="13"/>
    </row>
    <row r="926" spans="1:7" x14ac:dyDescent="0.2">
      <c r="A926" s="13"/>
      <c r="B926" s="13"/>
      <c r="D926" s="13"/>
      <c r="E926" s="13"/>
      <c r="G926" s="13"/>
    </row>
    <row r="927" spans="1:7" x14ac:dyDescent="0.2">
      <c r="A927" s="13"/>
      <c r="B927" s="13"/>
      <c r="D927" s="13"/>
      <c r="E927" s="13"/>
      <c r="F927" s="13"/>
    </row>
    <row r="928" spans="1:7" x14ac:dyDescent="0.2">
      <c r="A928" s="13"/>
      <c r="B928" s="13"/>
      <c r="D928" s="13"/>
      <c r="E928" s="13"/>
      <c r="F928" s="13"/>
    </row>
    <row r="929" spans="1:7" x14ac:dyDescent="0.2">
      <c r="A929" s="13"/>
      <c r="B929" s="13"/>
      <c r="D929" s="13"/>
      <c r="E929" s="13"/>
      <c r="G929" s="13"/>
    </row>
    <row r="930" spans="1:7" x14ac:dyDescent="0.2">
      <c r="A930" s="13"/>
      <c r="B930" s="13"/>
      <c r="D930" s="13"/>
      <c r="E930" s="13"/>
      <c r="G930" s="13"/>
    </row>
    <row r="931" spans="1:7" x14ac:dyDescent="0.2">
      <c r="A931" s="13"/>
      <c r="B931" s="13"/>
      <c r="D931" s="13"/>
      <c r="E931" s="13"/>
      <c r="G931" s="13"/>
    </row>
    <row r="932" spans="1:7" x14ac:dyDescent="0.2">
      <c r="A932" s="13"/>
      <c r="B932" s="13"/>
      <c r="D932" s="13"/>
      <c r="E932" s="13"/>
      <c r="G932" s="13"/>
    </row>
    <row r="933" spans="1:7" x14ac:dyDescent="0.2">
      <c r="A933" s="13"/>
      <c r="B933" s="13"/>
      <c r="D933" s="13"/>
      <c r="E933" s="13"/>
      <c r="G933" s="13"/>
    </row>
    <row r="934" spans="1:7" x14ac:dyDescent="0.2">
      <c r="A934" s="13"/>
      <c r="B934" s="13"/>
      <c r="D934" s="13"/>
      <c r="E934" s="13"/>
      <c r="G934" s="13"/>
    </row>
    <row r="935" spans="1:7" x14ac:dyDescent="0.2">
      <c r="A935" s="13"/>
      <c r="B935" s="13"/>
      <c r="D935" s="13"/>
      <c r="E935" s="13"/>
      <c r="G935" s="13"/>
    </row>
    <row r="936" spans="1:7" x14ac:dyDescent="0.2">
      <c r="A936" s="13"/>
      <c r="B936" s="13"/>
      <c r="D936" s="13"/>
      <c r="E936" s="13"/>
      <c r="G936" s="13"/>
    </row>
    <row r="937" spans="1:7" x14ac:dyDescent="0.2">
      <c r="A937" s="13"/>
      <c r="B937" s="13"/>
      <c r="D937" s="13"/>
      <c r="E937" s="13"/>
      <c r="G937" s="13"/>
    </row>
    <row r="938" spans="1:7" x14ac:dyDescent="0.2">
      <c r="A938" s="13"/>
      <c r="B938" s="13"/>
      <c r="D938" s="13"/>
      <c r="E938" s="13"/>
      <c r="F938" s="13"/>
    </row>
    <row r="939" spans="1:7" x14ac:dyDescent="0.2">
      <c r="A939" s="13"/>
      <c r="B939" s="13"/>
      <c r="D939" s="13"/>
      <c r="E939" s="13"/>
      <c r="G939" s="13"/>
    </row>
    <row r="940" spans="1:7" x14ac:dyDescent="0.2">
      <c r="A940" s="13"/>
      <c r="B940" s="13"/>
      <c r="D940" s="13"/>
      <c r="E940" s="13"/>
      <c r="G940" s="13"/>
    </row>
    <row r="941" spans="1:7" x14ac:dyDescent="0.2">
      <c r="A941" s="13"/>
      <c r="B941" s="13"/>
      <c r="D941" s="13"/>
      <c r="E941" s="13"/>
      <c r="G941" s="13"/>
    </row>
    <row r="942" spans="1:7" x14ac:dyDescent="0.2">
      <c r="A942" s="13"/>
      <c r="B942" s="13"/>
      <c r="D942" s="13"/>
      <c r="E942" s="13"/>
      <c r="G942" s="13"/>
    </row>
    <row r="943" spans="1:7" x14ac:dyDescent="0.2">
      <c r="A943" s="13"/>
      <c r="B943" s="13"/>
      <c r="D943" s="13"/>
      <c r="E943" s="13"/>
      <c r="G943" s="13"/>
    </row>
    <row r="944" spans="1:7" x14ac:dyDescent="0.2">
      <c r="A944" s="13"/>
      <c r="B944" s="13"/>
      <c r="D944" s="13"/>
      <c r="E944" s="13"/>
      <c r="G944" s="13"/>
    </row>
    <row r="945" spans="1:7" x14ac:dyDescent="0.2">
      <c r="A945" s="13"/>
      <c r="B945" s="13"/>
      <c r="D945" s="13"/>
      <c r="E945" s="13"/>
      <c r="F945" s="13"/>
    </row>
    <row r="946" spans="1:7" x14ac:dyDescent="0.2">
      <c r="A946" s="13"/>
      <c r="B946" s="13"/>
      <c r="D946" s="13"/>
      <c r="E946" s="13"/>
      <c r="F946" s="13"/>
    </row>
    <row r="947" spans="1:7" x14ac:dyDescent="0.2">
      <c r="A947" s="13"/>
      <c r="B947" s="13"/>
      <c r="D947" s="13"/>
      <c r="E947" s="13"/>
      <c r="G947" s="13"/>
    </row>
    <row r="948" spans="1:7" x14ac:dyDescent="0.2">
      <c r="A948" s="13"/>
      <c r="B948" s="13"/>
      <c r="D948" s="13"/>
      <c r="E948" s="13"/>
      <c r="G948" s="13"/>
    </row>
    <row r="949" spans="1:7" x14ac:dyDescent="0.2">
      <c r="A949" s="13"/>
      <c r="B949" s="13"/>
      <c r="D949" s="13"/>
      <c r="E949" s="13"/>
      <c r="G949" s="13"/>
    </row>
    <row r="950" spans="1:7" x14ac:dyDescent="0.2">
      <c r="A950" s="13"/>
      <c r="B950" s="13"/>
      <c r="D950" s="13"/>
      <c r="E950" s="13"/>
      <c r="F950" s="13"/>
    </row>
    <row r="951" spans="1:7" x14ac:dyDescent="0.2">
      <c r="A951" s="13"/>
      <c r="B951" s="13"/>
      <c r="D951" s="13"/>
      <c r="E951" s="13"/>
      <c r="F951" s="13"/>
    </row>
    <row r="952" spans="1:7" x14ac:dyDescent="0.2">
      <c r="A952" s="13"/>
      <c r="B952" s="13"/>
      <c r="D952" s="13"/>
      <c r="E952" s="13"/>
      <c r="G952" s="13"/>
    </row>
    <row r="953" spans="1:7" x14ac:dyDescent="0.2">
      <c r="A953" s="13"/>
      <c r="B953" s="13"/>
      <c r="D953" s="13"/>
      <c r="E953" s="13"/>
      <c r="G953" s="13"/>
    </row>
    <row r="954" spans="1:7" x14ac:dyDescent="0.2">
      <c r="A954" s="13"/>
      <c r="B954" s="13"/>
      <c r="D954" s="13"/>
      <c r="E954" s="13"/>
      <c r="G954" s="13"/>
    </row>
    <row r="955" spans="1:7" x14ac:dyDescent="0.2">
      <c r="A955" s="13"/>
      <c r="B955" s="13"/>
      <c r="D955" s="13"/>
      <c r="E955" s="13"/>
      <c r="G955" s="13"/>
    </row>
    <row r="956" spans="1:7" x14ac:dyDescent="0.2">
      <c r="A956" s="13"/>
      <c r="B956" s="13"/>
      <c r="D956" s="13"/>
      <c r="E956" s="13"/>
      <c r="G956" s="13"/>
    </row>
    <row r="957" spans="1:7" x14ac:dyDescent="0.2">
      <c r="A957" s="13"/>
      <c r="B957" s="13"/>
      <c r="D957" s="13"/>
      <c r="E957" s="13"/>
      <c r="G957" s="13"/>
    </row>
    <row r="958" spans="1:7" x14ac:dyDescent="0.2">
      <c r="A958" s="13"/>
      <c r="B958" s="13"/>
      <c r="D958" s="13"/>
      <c r="E958" s="13"/>
      <c r="F958" s="13"/>
    </row>
    <row r="959" spans="1:7" x14ac:dyDescent="0.2">
      <c r="A959" s="13"/>
      <c r="B959" s="13"/>
      <c r="D959" s="13"/>
      <c r="E959" s="13"/>
      <c r="G959" s="13"/>
    </row>
    <row r="960" spans="1:7" x14ac:dyDescent="0.2">
      <c r="A960" s="13"/>
      <c r="B960" s="13"/>
      <c r="D960" s="13"/>
      <c r="E960" s="13"/>
      <c r="G960" s="13"/>
    </row>
    <row r="961" spans="1:7" x14ac:dyDescent="0.2">
      <c r="A961" s="13"/>
      <c r="B961" s="13"/>
      <c r="D961" s="13"/>
      <c r="E961" s="13"/>
      <c r="G961" s="13"/>
    </row>
    <row r="962" spans="1:7" x14ac:dyDescent="0.2">
      <c r="A962" s="13"/>
      <c r="B962" s="13"/>
      <c r="D962" s="13"/>
      <c r="E962" s="13"/>
      <c r="G962" s="13"/>
    </row>
    <row r="963" spans="1:7" x14ac:dyDescent="0.2">
      <c r="A963" s="13"/>
      <c r="B963" s="13"/>
      <c r="D963" s="13"/>
      <c r="E963" s="13"/>
      <c r="F963" s="13"/>
    </row>
    <row r="964" spans="1:7" x14ac:dyDescent="0.2">
      <c r="A964" s="13"/>
      <c r="B964" s="13"/>
      <c r="D964" s="13"/>
      <c r="E964" s="13"/>
      <c r="F964" s="13"/>
    </row>
    <row r="965" spans="1:7" x14ac:dyDescent="0.2">
      <c r="A965" s="13"/>
      <c r="B965" s="13"/>
      <c r="D965" s="13"/>
      <c r="E965" s="13"/>
      <c r="F965" s="13"/>
    </row>
    <row r="966" spans="1:7" x14ac:dyDescent="0.2">
      <c r="A966" s="13"/>
      <c r="B966" s="13"/>
      <c r="D966" s="13"/>
      <c r="E966" s="13"/>
      <c r="F966" s="13"/>
    </row>
    <row r="967" spans="1:7" x14ac:dyDescent="0.2">
      <c r="A967" s="13"/>
      <c r="B967" s="13"/>
      <c r="D967" s="13"/>
      <c r="E967" s="13"/>
      <c r="G967" s="13"/>
    </row>
    <row r="968" spans="1:7" x14ac:dyDescent="0.2">
      <c r="A968" s="13"/>
      <c r="B968" s="13"/>
      <c r="D968" s="13"/>
      <c r="E968" s="13"/>
      <c r="G968" s="13"/>
    </row>
    <row r="969" spans="1:7" x14ac:dyDescent="0.2">
      <c r="A969" s="13"/>
      <c r="B969" s="13"/>
      <c r="D969" s="13"/>
      <c r="E969" s="13"/>
      <c r="G969" s="13"/>
    </row>
    <row r="970" spans="1:7" x14ac:dyDescent="0.2">
      <c r="A970" s="13"/>
      <c r="B970" s="13"/>
      <c r="D970" s="13"/>
      <c r="E970" s="13"/>
      <c r="G970" s="13"/>
    </row>
    <row r="971" spans="1:7" x14ac:dyDescent="0.2">
      <c r="A971" s="13"/>
      <c r="B971" s="13"/>
      <c r="D971" s="13"/>
      <c r="E971" s="13"/>
      <c r="G971" s="13"/>
    </row>
    <row r="972" spans="1:7" x14ac:dyDescent="0.2">
      <c r="A972" s="13"/>
      <c r="B972" s="13"/>
      <c r="D972" s="13"/>
      <c r="E972" s="13"/>
      <c r="F972" s="13"/>
    </row>
    <row r="973" spans="1:7" x14ac:dyDescent="0.2">
      <c r="A973" s="13"/>
      <c r="B973" s="13"/>
      <c r="D973" s="13"/>
      <c r="E973" s="13"/>
      <c r="G973" s="13"/>
    </row>
    <row r="974" spans="1:7" x14ac:dyDescent="0.2">
      <c r="A974" s="13"/>
      <c r="B974" s="13"/>
      <c r="D974" s="13"/>
      <c r="E974" s="13"/>
      <c r="G974" s="13"/>
    </row>
    <row r="975" spans="1:7" x14ac:dyDescent="0.2">
      <c r="A975" s="13"/>
      <c r="B975" s="13"/>
      <c r="D975" s="13"/>
      <c r="E975" s="13"/>
      <c r="F975" s="13"/>
    </row>
    <row r="976" spans="1:7" x14ac:dyDescent="0.2">
      <c r="A976" s="13"/>
      <c r="B976" s="13"/>
      <c r="D976" s="13"/>
      <c r="E976" s="13"/>
      <c r="G976" s="13"/>
    </row>
    <row r="977" spans="1:7" x14ac:dyDescent="0.2">
      <c r="A977" s="13"/>
      <c r="B977" s="13"/>
      <c r="D977" s="13"/>
      <c r="E977" s="13"/>
      <c r="G977" s="13"/>
    </row>
    <row r="978" spans="1:7" x14ac:dyDescent="0.2">
      <c r="A978" s="13"/>
      <c r="B978" s="13"/>
      <c r="D978" s="13"/>
      <c r="E978" s="13"/>
      <c r="G978" s="13"/>
    </row>
    <row r="979" spans="1:7" x14ac:dyDescent="0.2">
      <c r="A979" s="13"/>
      <c r="B979" s="13"/>
      <c r="D979" s="13"/>
      <c r="E979" s="13"/>
      <c r="G979" s="13"/>
    </row>
    <row r="980" spans="1:7" x14ac:dyDescent="0.2">
      <c r="A980" s="13"/>
      <c r="B980" s="13"/>
      <c r="D980" s="13"/>
      <c r="E980" s="13"/>
      <c r="G980" s="13"/>
    </row>
    <row r="981" spans="1:7" x14ac:dyDescent="0.2">
      <c r="A981" s="13"/>
      <c r="B981" s="13"/>
      <c r="D981" s="13"/>
      <c r="E981" s="13"/>
      <c r="G981" s="13"/>
    </row>
    <row r="982" spans="1:7" x14ac:dyDescent="0.2">
      <c r="A982" s="13"/>
      <c r="B982" s="13"/>
      <c r="D982" s="13"/>
      <c r="E982" s="13"/>
      <c r="F982" s="13"/>
    </row>
    <row r="983" spans="1:7" x14ac:dyDescent="0.2">
      <c r="A983" s="13"/>
      <c r="B983" s="13"/>
      <c r="D983" s="13"/>
      <c r="E983" s="13"/>
      <c r="F983" s="13"/>
    </row>
    <row r="984" spans="1:7" x14ac:dyDescent="0.2">
      <c r="A984" s="13"/>
      <c r="B984" s="13"/>
      <c r="D984" s="13"/>
      <c r="E984" s="13"/>
      <c r="G984" s="13"/>
    </row>
    <row r="985" spans="1:7" x14ac:dyDescent="0.2">
      <c r="A985" s="13"/>
      <c r="B985" s="13"/>
      <c r="D985" s="13"/>
      <c r="E985" s="13"/>
      <c r="G985" s="13"/>
    </row>
    <row r="986" spans="1:7" x14ac:dyDescent="0.2">
      <c r="A986" s="13"/>
      <c r="B986" s="13"/>
      <c r="D986" s="13"/>
      <c r="E986" s="13"/>
      <c r="G986" s="13"/>
    </row>
    <row r="987" spans="1:7" x14ac:dyDescent="0.2">
      <c r="A987" s="13"/>
      <c r="B987" s="13"/>
      <c r="D987" s="13"/>
      <c r="E987" s="13"/>
      <c r="G987" s="13"/>
    </row>
    <row r="988" spans="1:7" x14ac:dyDescent="0.2">
      <c r="A988" s="13"/>
    </row>
    <row r="989" spans="1:7" x14ac:dyDescent="0.2">
      <c r="A989" s="13"/>
    </row>
    <row r="990" spans="1:7" x14ac:dyDescent="0.2">
      <c r="A990" s="13"/>
      <c r="B990" s="13"/>
    </row>
    <row r="991" spans="1:7" x14ac:dyDescent="0.2">
      <c r="A991" s="13"/>
      <c r="B991" s="13"/>
    </row>
    <row r="992" spans="1:7" x14ac:dyDescent="0.2">
      <c r="A992" s="13"/>
    </row>
    <row r="993" spans="1:7" x14ac:dyDescent="0.2">
      <c r="A993" s="13"/>
    </row>
    <row r="994" spans="1:7" x14ac:dyDescent="0.2">
      <c r="A994" s="13"/>
      <c r="C994" s="13"/>
    </row>
    <row r="995" spans="1:7" x14ac:dyDescent="0.2">
      <c r="A995" s="13"/>
    </row>
    <row r="996" spans="1:7" x14ac:dyDescent="0.2">
      <c r="A996" s="13"/>
    </row>
    <row r="997" spans="1:7" x14ac:dyDescent="0.2">
      <c r="A997" s="13"/>
      <c r="B997" s="13"/>
      <c r="D997" s="13"/>
      <c r="E997" s="13"/>
      <c r="F997" s="13"/>
    </row>
    <row r="998" spans="1:7" x14ac:dyDescent="0.2">
      <c r="A998" s="13"/>
      <c r="B998" s="13"/>
      <c r="D998" s="13"/>
      <c r="E998" s="13"/>
      <c r="G998" s="13"/>
    </row>
    <row r="999" spans="1:7" x14ac:dyDescent="0.2">
      <c r="A999" s="13"/>
    </row>
    <row r="1000" spans="1:7" x14ac:dyDescent="0.2">
      <c r="A1000" s="13"/>
    </row>
    <row r="1001" spans="1:7" x14ac:dyDescent="0.2">
      <c r="A1001" s="13"/>
    </row>
    <row r="1002" spans="1:7" x14ac:dyDescent="0.2">
      <c r="A1002" s="13"/>
      <c r="C1002" s="13"/>
    </row>
    <row r="1003" spans="1:7" x14ac:dyDescent="0.2">
      <c r="A1003" s="13"/>
    </row>
    <row r="1004" spans="1:7" x14ac:dyDescent="0.2">
      <c r="A1004" s="13"/>
    </row>
    <row r="1005" spans="1:7" x14ac:dyDescent="0.2">
      <c r="A1005" s="13"/>
      <c r="C1005" s="13"/>
    </row>
    <row r="1006" spans="1:7" x14ac:dyDescent="0.2">
      <c r="A1006" s="13"/>
    </row>
    <row r="1007" spans="1:7" x14ac:dyDescent="0.2">
      <c r="A1007" s="13"/>
    </row>
    <row r="1008" spans="1:7" x14ac:dyDescent="0.2">
      <c r="A1008" s="13"/>
      <c r="C1008" s="13"/>
    </row>
    <row r="1009" spans="1:3" x14ac:dyDescent="0.2">
      <c r="A1009" s="13"/>
    </row>
    <row r="1010" spans="1:3" x14ac:dyDescent="0.2">
      <c r="A1010" s="13"/>
    </row>
    <row r="1011" spans="1:3" x14ac:dyDescent="0.2">
      <c r="A1011" s="13"/>
      <c r="C1011" s="13"/>
    </row>
    <row r="1012" spans="1:3" x14ac:dyDescent="0.2">
      <c r="A1012" s="13"/>
    </row>
    <row r="1013" spans="1:3" x14ac:dyDescent="0.2">
      <c r="A1013" s="13"/>
    </row>
    <row r="1014" spans="1:3" x14ac:dyDescent="0.2">
      <c r="A1014" s="13"/>
      <c r="C1014" s="13"/>
    </row>
    <row r="1015" spans="1:3" x14ac:dyDescent="0.2">
      <c r="A1015" s="13"/>
    </row>
    <row r="1016" spans="1:3" x14ac:dyDescent="0.2">
      <c r="A1016" s="13"/>
    </row>
    <row r="1017" spans="1:3" x14ac:dyDescent="0.2">
      <c r="A1017" s="13"/>
      <c r="C1017" s="13"/>
    </row>
    <row r="1018" spans="1:3" x14ac:dyDescent="0.2">
      <c r="A1018" s="13"/>
    </row>
    <row r="1019" spans="1:3" x14ac:dyDescent="0.2">
      <c r="A1019" s="13"/>
    </row>
    <row r="1020" spans="1:3" x14ac:dyDescent="0.2">
      <c r="A1020" s="13"/>
      <c r="C1020" s="13"/>
    </row>
    <row r="1021" spans="1:3" x14ac:dyDescent="0.2">
      <c r="A1021" s="13"/>
    </row>
    <row r="1022" spans="1:3" x14ac:dyDescent="0.2">
      <c r="A1022" s="13"/>
      <c r="B1022" s="13"/>
    </row>
    <row r="1023" spans="1:3" x14ac:dyDescent="0.2">
      <c r="A1023" s="13"/>
      <c r="B1023" s="13"/>
    </row>
    <row r="1024" spans="1:3" x14ac:dyDescent="0.2">
      <c r="A1024" s="13"/>
    </row>
    <row r="1025" spans="1:7" x14ac:dyDescent="0.2">
      <c r="A1025" s="13"/>
      <c r="B1025" s="13"/>
    </row>
    <row r="1026" spans="1:7" x14ac:dyDescent="0.2">
      <c r="A1026" s="13"/>
      <c r="B1026" s="13"/>
    </row>
    <row r="1027" spans="1:7" x14ac:dyDescent="0.2">
      <c r="A1027" s="13"/>
    </row>
    <row r="1028" spans="1:7" x14ac:dyDescent="0.2">
      <c r="A1028" s="13"/>
    </row>
    <row r="1029" spans="1:7" x14ac:dyDescent="0.2">
      <c r="A1029" s="13"/>
      <c r="B1029" s="13"/>
      <c r="D1029" s="13"/>
      <c r="E1029" s="13"/>
      <c r="F1029" s="13"/>
    </row>
    <row r="1030" spans="1:7" x14ac:dyDescent="0.2">
      <c r="A1030" s="13"/>
      <c r="B1030" s="13"/>
    </row>
    <row r="1031" spans="1:7" x14ac:dyDescent="0.2">
      <c r="A1031" s="13"/>
    </row>
    <row r="1032" spans="1:7" x14ac:dyDescent="0.2">
      <c r="A1032" s="13"/>
    </row>
    <row r="1033" spans="1:7" x14ac:dyDescent="0.2">
      <c r="A1033" s="13"/>
      <c r="C1033" s="13"/>
    </row>
    <row r="1034" spans="1:7" x14ac:dyDescent="0.2">
      <c r="A1034" s="13"/>
    </row>
    <row r="1035" spans="1:7" x14ac:dyDescent="0.2">
      <c r="A1035" s="13"/>
    </row>
    <row r="1036" spans="1:7" x14ac:dyDescent="0.2">
      <c r="A1036" s="13"/>
      <c r="C1036" s="13"/>
    </row>
    <row r="1037" spans="1:7" x14ac:dyDescent="0.2">
      <c r="A1037" s="13"/>
    </row>
    <row r="1038" spans="1:7" x14ac:dyDescent="0.2">
      <c r="A1038" s="13"/>
      <c r="B1038" s="13"/>
    </row>
    <row r="1039" spans="1:7" x14ac:dyDescent="0.2">
      <c r="A1039" s="13"/>
      <c r="B1039" s="13"/>
      <c r="D1039" s="13"/>
      <c r="E1039" s="13"/>
      <c r="G1039" s="13"/>
    </row>
    <row r="1040" spans="1:7" x14ac:dyDescent="0.2">
      <c r="A1040" s="13"/>
      <c r="B1040" s="13"/>
      <c r="D1040" s="13"/>
      <c r="E1040" s="13"/>
      <c r="F1040" s="13"/>
    </row>
    <row r="1041" spans="1:7" x14ac:dyDescent="0.2">
      <c r="A1041" s="13"/>
      <c r="B1041" s="13"/>
      <c r="D1041" s="13"/>
      <c r="E1041" s="13"/>
      <c r="G1041" s="13"/>
    </row>
    <row r="1042" spans="1:7" x14ac:dyDescent="0.2">
      <c r="A1042" s="13"/>
      <c r="B1042" s="13"/>
      <c r="D1042" s="13"/>
      <c r="E1042" s="13"/>
      <c r="G1042" s="13"/>
    </row>
    <row r="1043" spans="1:7" x14ac:dyDescent="0.2">
      <c r="A1043" s="13"/>
      <c r="B1043" s="13"/>
      <c r="D1043" s="13"/>
      <c r="E1043" s="13"/>
      <c r="F1043" s="13"/>
    </row>
    <row r="1044" spans="1:7" x14ac:dyDescent="0.2">
      <c r="A1044" s="13"/>
      <c r="B1044" s="13"/>
      <c r="D1044" s="13"/>
      <c r="E1044" s="13"/>
      <c r="G1044" s="13"/>
    </row>
    <row r="1045" spans="1:7" x14ac:dyDescent="0.2">
      <c r="A1045" s="13"/>
      <c r="B1045" s="13"/>
      <c r="D1045" s="13"/>
      <c r="E1045" s="13"/>
      <c r="F1045" s="13"/>
    </row>
    <row r="1046" spans="1:7" x14ac:dyDescent="0.2">
      <c r="A1046" s="13"/>
      <c r="B1046" s="13"/>
      <c r="D1046" s="13"/>
      <c r="E1046" s="13"/>
      <c r="F1046" s="13"/>
    </row>
    <row r="1047" spans="1:7" x14ac:dyDescent="0.2">
      <c r="A1047" s="13"/>
      <c r="B1047" s="13"/>
      <c r="D1047" s="13"/>
      <c r="E1047" s="13"/>
      <c r="G1047" s="13"/>
    </row>
    <row r="1048" spans="1:7" x14ac:dyDescent="0.2">
      <c r="A1048" s="13"/>
      <c r="B1048" s="13"/>
      <c r="D1048" s="13"/>
      <c r="E1048" s="13"/>
      <c r="G1048" s="13"/>
    </row>
    <row r="1049" spans="1:7" x14ac:dyDescent="0.2">
      <c r="A1049" s="13"/>
      <c r="B1049" s="13"/>
      <c r="D1049" s="13"/>
      <c r="E1049" s="13"/>
      <c r="F1049" s="13"/>
    </row>
    <row r="1050" spans="1:7" x14ac:dyDescent="0.2">
      <c r="A1050" s="13"/>
      <c r="B1050" s="13"/>
      <c r="D1050" s="13"/>
      <c r="E1050" s="13"/>
      <c r="F1050" s="13"/>
    </row>
    <row r="1051" spans="1:7" x14ac:dyDescent="0.2">
      <c r="A1051" s="13"/>
      <c r="B1051" s="13"/>
      <c r="D1051" s="13"/>
      <c r="E1051" s="13"/>
      <c r="F1051" s="13"/>
    </row>
    <row r="1052" spans="1:7" x14ac:dyDescent="0.2">
      <c r="A1052" s="13"/>
      <c r="B1052" s="13"/>
      <c r="D1052" s="13"/>
      <c r="E1052" s="13"/>
      <c r="G1052" s="13"/>
    </row>
    <row r="1053" spans="1:7" x14ac:dyDescent="0.2">
      <c r="A1053" s="13"/>
      <c r="B1053" s="13"/>
      <c r="D1053" s="13"/>
      <c r="E1053" s="13"/>
      <c r="F1053" s="13"/>
    </row>
    <row r="1054" spans="1:7" x14ac:dyDescent="0.2">
      <c r="A1054" s="13"/>
      <c r="B1054" s="13"/>
      <c r="D1054" s="13"/>
      <c r="E1054" s="13"/>
      <c r="F1054" s="13"/>
    </row>
    <row r="1055" spans="1:7" x14ac:dyDescent="0.2">
      <c r="A1055" s="13"/>
      <c r="B1055" s="13"/>
      <c r="D1055" s="13"/>
      <c r="E1055" s="13"/>
      <c r="F1055" s="13"/>
    </row>
    <row r="1056" spans="1:7" x14ac:dyDescent="0.2">
      <c r="A1056" s="13"/>
      <c r="B1056" s="13"/>
      <c r="D1056" s="13"/>
      <c r="E1056" s="13"/>
      <c r="F1056" s="13"/>
    </row>
    <row r="1057" spans="1:7" x14ac:dyDescent="0.2">
      <c r="A1057" s="13"/>
      <c r="B1057" s="13"/>
      <c r="D1057" s="13"/>
      <c r="E1057" s="13"/>
      <c r="F1057" s="13"/>
    </row>
    <row r="1058" spans="1:7" x14ac:dyDescent="0.2">
      <c r="A1058" s="13"/>
      <c r="B1058" s="13"/>
      <c r="D1058" s="13"/>
      <c r="E1058" s="13"/>
      <c r="F1058" s="13"/>
    </row>
    <row r="1059" spans="1:7" x14ac:dyDescent="0.2">
      <c r="A1059" s="13"/>
      <c r="B1059" s="13"/>
      <c r="D1059" s="13"/>
      <c r="E1059" s="13"/>
      <c r="G1059" s="13"/>
    </row>
    <row r="1060" spans="1:7" x14ac:dyDescent="0.2">
      <c r="A1060" s="13"/>
      <c r="B1060" s="13"/>
      <c r="D1060" s="13"/>
      <c r="E1060" s="13"/>
      <c r="F1060" s="13"/>
    </row>
    <row r="1061" spans="1:7" x14ac:dyDescent="0.2">
      <c r="A1061" s="13"/>
      <c r="B1061" s="13"/>
      <c r="D1061" s="13"/>
      <c r="E1061" s="13"/>
      <c r="F1061" s="13"/>
    </row>
    <row r="1062" spans="1:7" x14ac:dyDescent="0.2">
      <c r="A1062" s="13"/>
      <c r="B1062" s="13"/>
      <c r="D1062" s="13"/>
      <c r="E1062" s="13"/>
      <c r="F1062" s="13"/>
    </row>
    <row r="1063" spans="1:7" x14ac:dyDescent="0.2">
      <c r="A1063" s="13"/>
      <c r="B1063" s="13"/>
      <c r="D1063" s="13"/>
      <c r="E1063" s="13"/>
      <c r="G1063" s="13"/>
    </row>
    <row r="1064" spans="1:7" x14ac:dyDescent="0.2">
      <c r="A1064" s="13"/>
      <c r="B1064" s="13"/>
      <c r="D1064" s="13"/>
      <c r="E1064" s="13"/>
      <c r="G1064" s="13"/>
    </row>
    <row r="1065" spans="1:7" x14ac:dyDescent="0.2">
      <c r="A1065" s="13"/>
      <c r="B1065" s="13"/>
      <c r="D1065" s="13"/>
      <c r="E1065" s="13"/>
      <c r="F1065" s="13"/>
    </row>
    <row r="1066" spans="1:7" x14ac:dyDescent="0.2">
      <c r="A1066" s="13"/>
      <c r="B1066" s="13"/>
      <c r="D1066" s="13"/>
      <c r="E1066" s="13"/>
      <c r="F1066" s="13"/>
    </row>
    <row r="1067" spans="1:7" x14ac:dyDescent="0.2">
      <c r="A1067" s="13"/>
      <c r="B1067" s="13"/>
      <c r="D1067" s="13"/>
      <c r="E1067" s="13"/>
      <c r="F1067" s="13"/>
    </row>
    <row r="1068" spans="1:7" x14ac:dyDescent="0.2">
      <c r="A1068" s="13"/>
      <c r="B1068" s="13"/>
      <c r="D1068" s="13"/>
      <c r="E1068" s="13"/>
      <c r="G1068" s="13"/>
    </row>
    <row r="1069" spans="1:7" x14ac:dyDescent="0.2">
      <c r="A1069" s="13"/>
      <c r="B1069" s="13"/>
      <c r="D1069" s="13"/>
      <c r="E1069" s="13"/>
      <c r="G1069" s="13"/>
    </row>
    <row r="1070" spans="1:7" x14ac:dyDescent="0.2">
      <c r="A1070" s="13"/>
      <c r="B1070" s="13"/>
      <c r="D1070" s="13"/>
      <c r="E1070" s="13"/>
      <c r="F1070" s="13"/>
    </row>
    <row r="1071" spans="1:7" x14ac:dyDescent="0.2">
      <c r="A1071" s="13"/>
      <c r="B1071" s="13"/>
      <c r="D1071" s="13"/>
      <c r="E1071" s="13"/>
      <c r="F1071" s="13"/>
    </row>
    <row r="1072" spans="1:7" x14ac:dyDescent="0.2">
      <c r="A1072" s="13"/>
      <c r="B1072" s="13"/>
      <c r="D1072" s="13"/>
      <c r="E1072" s="13"/>
      <c r="G1072" s="13"/>
    </row>
    <row r="1073" spans="1:7" x14ac:dyDescent="0.2">
      <c r="A1073" s="13"/>
      <c r="B1073" s="13"/>
      <c r="D1073" s="13"/>
      <c r="E1073" s="13"/>
      <c r="F1073" s="13"/>
    </row>
    <row r="1074" spans="1:7" x14ac:dyDescent="0.2">
      <c r="A1074" s="13"/>
      <c r="B1074" s="13"/>
      <c r="D1074" s="13"/>
      <c r="E1074" s="13"/>
      <c r="F1074" s="13"/>
    </row>
    <row r="1075" spans="1:7" x14ac:dyDescent="0.2">
      <c r="A1075" s="13"/>
      <c r="B1075" s="13"/>
      <c r="D1075" s="13"/>
      <c r="E1075" s="13"/>
      <c r="F1075" s="13"/>
    </row>
    <row r="1076" spans="1:7" x14ac:dyDescent="0.2">
      <c r="A1076" s="13"/>
      <c r="B1076" s="13"/>
      <c r="D1076" s="13"/>
      <c r="E1076" s="13"/>
      <c r="F1076" s="13"/>
    </row>
    <row r="1077" spans="1:7" x14ac:dyDescent="0.2">
      <c r="A1077" s="13"/>
      <c r="B1077" s="13"/>
      <c r="D1077" s="13"/>
      <c r="E1077" s="13"/>
      <c r="G1077" s="13"/>
    </row>
    <row r="1078" spans="1:7" x14ac:dyDescent="0.2">
      <c r="A1078" s="13"/>
      <c r="B1078" s="13"/>
      <c r="D1078" s="13"/>
      <c r="E1078" s="13"/>
      <c r="F1078" s="13"/>
    </row>
    <row r="1079" spans="1:7" x14ac:dyDescent="0.2">
      <c r="A1079" s="13"/>
      <c r="B1079" s="13"/>
      <c r="D1079" s="13"/>
      <c r="E1079" s="13"/>
      <c r="F1079" s="13"/>
    </row>
    <row r="1080" spans="1:7" x14ac:dyDescent="0.2">
      <c r="A1080" s="13"/>
      <c r="B1080" s="13"/>
      <c r="D1080" s="13"/>
      <c r="E1080" s="13"/>
      <c r="F1080" s="13"/>
    </row>
    <row r="1081" spans="1:7" x14ac:dyDescent="0.2">
      <c r="A1081" s="13"/>
      <c r="B1081" s="13"/>
      <c r="D1081" s="13"/>
      <c r="E1081" s="13"/>
      <c r="G1081" s="13"/>
    </row>
    <row r="1082" spans="1:7" x14ac:dyDescent="0.2">
      <c r="A1082" s="13"/>
      <c r="B1082" s="13"/>
      <c r="D1082" s="13"/>
      <c r="E1082" s="13"/>
      <c r="G1082" s="13"/>
    </row>
    <row r="1083" spans="1:7" x14ac:dyDescent="0.2">
      <c r="A1083" s="13"/>
      <c r="B1083" s="13"/>
      <c r="D1083" s="13"/>
      <c r="E1083" s="13"/>
      <c r="F1083" s="13"/>
    </row>
    <row r="1084" spans="1:7" x14ac:dyDescent="0.2">
      <c r="A1084" s="13"/>
      <c r="B1084" s="13"/>
      <c r="D1084" s="13"/>
      <c r="E1084" s="13"/>
      <c r="F1084" s="13"/>
    </row>
    <row r="1085" spans="1:7" x14ac:dyDescent="0.2">
      <c r="A1085" s="13"/>
      <c r="B1085" s="13"/>
      <c r="D1085" s="13"/>
      <c r="E1085" s="13"/>
      <c r="G1085" s="13"/>
    </row>
    <row r="1086" spans="1:7" x14ac:dyDescent="0.2">
      <c r="A1086" s="13"/>
      <c r="B1086" s="13"/>
      <c r="D1086" s="13"/>
      <c r="E1086" s="13"/>
      <c r="F1086" s="13"/>
    </row>
    <row r="1087" spans="1:7" x14ac:dyDescent="0.2">
      <c r="A1087" s="13"/>
      <c r="B1087" s="13"/>
      <c r="D1087" s="13"/>
      <c r="E1087" s="13"/>
      <c r="G1087" s="13"/>
    </row>
    <row r="1088" spans="1:7" x14ac:dyDescent="0.2">
      <c r="A1088" s="13"/>
      <c r="B1088" s="13"/>
      <c r="D1088" s="13"/>
      <c r="E1088" s="13"/>
      <c r="G1088" s="13"/>
    </row>
    <row r="1089" spans="1:7" x14ac:dyDescent="0.2">
      <c r="A1089" s="13"/>
      <c r="B1089" s="13"/>
      <c r="D1089" s="13"/>
      <c r="E1089" s="13"/>
      <c r="F1089" s="13"/>
    </row>
    <row r="1090" spans="1:7" x14ac:dyDescent="0.2">
      <c r="A1090" s="13"/>
      <c r="B1090" s="13"/>
      <c r="D1090" s="13"/>
      <c r="E1090" s="13"/>
      <c r="F1090" s="13"/>
    </row>
    <row r="1091" spans="1:7" x14ac:dyDescent="0.2">
      <c r="A1091" s="13"/>
      <c r="B1091" s="13"/>
      <c r="D1091" s="13"/>
      <c r="E1091" s="13"/>
      <c r="G1091" s="13"/>
    </row>
    <row r="1092" spans="1:7" x14ac:dyDescent="0.2">
      <c r="A1092" s="13"/>
      <c r="B1092" s="13"/>
      <c r="D1092" s="13"/>
      <c r="E1092" s="13"/>
      <c r="F1092" s="13"/>
    </row>
    <row r="1093" spans="1:7" x14ac:dyDescent="0.2">
      <c r="A1093" s="13"/>
      <c r="B1093" s="13"/>
      <c r="D1093" s="13"/>
      <c r="E1093" s="13"/>
      <c r="F1093" s="13"/>
    </row>
    <row r="1094" spans="1:7" x14ac:dyDescent="0.2">
      <c r="A1094" s="13"/>
      <c r="B1094" s="13"/>
      <c r="D1094" s="13"/>
      <c r="E1094" s="13"/>
      <c r="F1094" s="13"/>
    </row>
    <row r="1095" spans="1:7" x14ac:dyDescent="0.2">
      <c r="A1095" s="13"/>
      <c r="B1095" s="13"/>
      <c r="D1095" s="13"/>
      <c r="E1095" s="13"/>
      <c r="F1095" s="13"/>
    </row>
    <row r="1096" spans="1:7" x14ac:dyDescent="0.2">
      <c r="A1096" s="13"/>
      <c r="B1096" s="13"/>
      <c r="D1096" s="13"/>
      <c r="E1096" s="13"/>
      <c r="G1096" s="13"/>
    </row>
    <row r="1097" spans="1:7" x14ac:dyDescent="0.2">
      <c r="A1097" s="13"/>
      <c r="B1097" s="13"/>
      <c r="D1097" s="13"/>
      <c r="E1097" s="13"/>
      <c r="F1097" s="13"/>
    </row>
    <row r="1098" spans="1:7" x14ac:dyDescent="0.2">
      <c r="A1098" s="13"/>
      <c r="B1098" s="13"/>
      <c r="D1098" s="13"/>
      <c r="E1098" s="13"/>
      <c r="F1098" s="13"/>
    </row>
    <row r="1099" spans="1:7" x14ac:dyDescent="0.2">
      <c r="A1099" s="13"/>
      <c r="B1099" s="13"/>
      <c r="D1099" s="13"/>
      <c r="E1099" s="13"/>
      <c r="G1099" s="13"/>
    </row>
    <row r="1100" spans="1:7" x14ac:dyDescent="0.2">
      <c r="A1100" s="13"/>
      <c r="B1100" s="13"/>
      <c r="D1100" s="13"/>
      <c r="E1100" s="13"/>
      <c r="G1100" s="13"/>
    </row>
    <row r="1101" spans="1:7" x14ac:dyDescent="0.2">
      <c r="A1101" s="13"/>
      <c r="B1101" s="13"/>
      <c r="D1101" s="13"/>
      <c r="E1101" s="13"/>
      <c r="F1101" s="13"/>
    </row>
    <row r="1102" spans="1:7" x14ac:dyDescent="0.2">
      <c r="A1102" s="13"/>
      <c r="B1102" s="13"/>
      <c r="D1102" s="13"/>
      <c r="E1102" s="13"/>
      <c r="F1102" s="13"/>
    </row>
    <row r="1103" spans="1:7" x14ac:dyDescent="0.2">
      <c r="A1103" s="13"/>
      <c r="B1103" s="13"/>
      <c r="D1103" s="13"/>
      <c r="E1103" s="13"/>
      <c r="G1103" s="13"/>
    </row>
    <row r="1104" spans="1:7" x14ac:dyDescent="0.2">
      <c r="A1104" s="13"/>
      <c r="B1104" s="13"/>
      <c r="D1104" s="13"/>
      <c r="E1104" s="13"/>
      <c r="G1104" s="13"/>
    </row>
    <row r="1105" spans="1:7" x14ac:dyDescent="0.2">
      <c r="A1105" s="13"/>
      <c r="B1105" s="13"/>
      <c r="D1105" s="13"/>
      <c r="E1105" s="13"/>
      <c r="F1105" s="13"/>
    </row>
    <row r="1106" spans="1:7" x14ac:dyDescent="0.2">
      <c r="A1106" s="13"/>
      <c r="B1106" s="13"/>
      <c r="D1106" s="13"/>
      <c r="E1106" s="13"/>
      <c r="F1106" s="13"/>
    </row>
    <row r="1107" spans="1:7" x14ac:dyDescent="0.2">
      <c r="A1107" s="13"/>
      <c r="B1107" s="13"/>
      <c r="D1107" s="13"/>
      <c r="E1107" s="13"/>
      <c r="G1107" s="13"/>
    </row>
    <row r="1108" spans="1:7" x14ac:dyDescent="0.2">
      <c r="A1108" s="13"/>
      <c r="B1108" s="13"/>
      <c r="D1108" s="13"/>
      <c r="E1108" s="13"/>
      <c r="F1108" s="13"/>
    </row>
    <row r="1109" spans="1:7" x14ac:dyDescent="0.2">
      <c r="A1109" s="13"/>
      <c r="B1109" s="13"/>
      <c r="D1109" s="13"/>
      <c r="E1109" s="13"/>
      <c r="F1109" s="13"/>
    </row>
    <row r="1110" spans="1:7" x14ac:dyDescent="0.2">
      <c r="A1110" s="13"/>
      <c r="B1110" s="13"/>
      <c r="D1110" s="13"/>
      <c r="E1110" s="13"/>
      <c r="F1110" s="13"/>
    </row>
    <row r="1111" spans="1:7" x14ac:dyDescent="0.2">
      <c r="A1111" s="13"/>
      <c r="B1111" s="13"/>
      <c r="D1111" s="13"/>
      <c r="E1111" s="13"/>
      <c r="F1111" s="13"/>
    </row>
    <row r="1112" spans="1:7" x14ac:dyDescent="0.2">
      <c r="A1112" s="13"/>
      <c r="B1112" s="13"/>
      <c r="D1112" s="13"/>
      <c r="E1112" s="13"/>
      <c r="G1112" s="13"/>
    </row>
    <row r="1113" spans="1:7" x14ac:dyDescent="0.2">
      <c r="A1113" s="13"/>
      <c r="B1113" s="13"/>
      <c r="D1113" s="13"/>
      <c r="E1113" s="13"/>
      <c r="G1113" s="13"/>
    </row>
    <row r="1114" spans="1:7" x14ac:dyDescent="0.2">
      <c r="A1114" s="13"/>
      <c r="B1114" s="13"/>
      <c r="D1114" s="13"/>
      <c r="E1114" s="13"/>
      <c r="F1114" s="13"/>
    </row>
    <row r="1115" spans="1:7" x14ac:dyDescent="0.2">
      <c r="A1115" s="13"/>
      <c r="B1115" s="13"/>
      <c r="D1115" s="13"/>
      <c r="E1115" s="13"/>
      <c r="G1115" s="13"/>
    </row>
    <row r="1116" spans="1:7" x14ac:dyDescent="0.2">
      <c r="A1116" s="13"/>
      <c r="B1116" s="13"/>
      <c r="D1116" s="13"/>
      <c r="E1116" s="13"/>
      <c r="G1116" s="13"/>
    </row>
    <row r="1117" spans="1:7" x14ac:dyDescent="0.2">
      <c r="A1117" s="13"/>
      <c r="B1117" s="13"/>
      <c r="D1117" s="13"/>
      <c r="E1117" s="13"/>
      <c r="G1117" s="13"/>
    </row>
    <row r="1118" spans="1:7" x14ac:dyDescent="0.2">
      <c r="A1118" s="13"/>
      <c r="B1118" s="13"/>
      <c r="D1118" s="13"/>
      <c r="E1118" s="13"/>
      <c r="F1118" s="13"/>
    </row>
    <row r="1119" spans="1:7" x14ac:dyDescent="0.2">
      <c r="A1119" s="13"/>
      <c r="B1119" s="13"/>
      <c r="D1119" s="13"/>
      <c r="E1119" s="13"/>
      <c r="F1119" s="13"/>
    </row>
    <row r="1120" spans="1:7" x14ac:dyDescent="0.2">
      <c r="A1120" s="13"/>
      <c r="B1120" s="13"/>
      <c r="D1120" s="13"/>
      <c r="E1120" s="13"/>
      <c r="F1120" s="13"/>
    </row>
    <row r="1121" spans="1:7" x14ac:dyDescent="0.2">
      <c r="A1121" s="13"/>
      <c r="B1121" s="13"/>
      <c r="D1121" s="13"/>
      <c r="E1121" s="13"/>
      <c r="G1121" s="13"/>
    </row>
    <row r="1122" spans="1:7" x14ac:dyDescent="0.2">
      <c r="A1122" s="13"/>
      <c r="B1122" s="13"/>
      <c r="D1122" s="13"/>
      <c r="E1122" s="13"/>
      <c r="G1122" s="13"/>
    </row>
    <row r="1123" spans="1:7" x14ac:dyDescent="0.2">
      <c r="A1123" s="13"/>
      <c r="B1123" s="13"/>
      <c r="D1123" s="13"/>
      <c r="E1123" s="13"/>
      <c r="F1123" s="13"/>
    </row>
    <row r="1124" spans="1:7" x14ac:dyDescent="0.2">
      <c r="A1124" s="13"/>
      <c r="B1124" s="13"/>
      <c r="D1124" s="13"/>
      <c r="E1124" s="13"/>
      <c r="F1124" s="13"/>
    </row>
    <row r="1125" spans="1:7" x14ac:dyDescent="0.2">
      <c r="A1125" s="13"/>
      <c r="B1125" s="13"/>
      <c r="D1125" s="13"/>
      <c r="E1125" s="13"/>
      <c r="F1125" s="13"/>
    </row>
    <row r="1126" spans="1:7" x14ac:dyDescent="0.2">
      <c r="A1126" s="13"/>
      <c r="B1126" s="13"/>
      <c r="D1126" s="13"/>
      <c r="E1126" s="13"/>
      <c r="F1126" s="13"/>
    </row>
    <row r="1127" spans="1:7" x14ac:dyDescent="0.2">
      <c r="A1127" s="13"/>
      <c r="B1127" s="13"/>
      <c r="D1127" s="13"/>
      <c r="E1127" s="13"/>
      <c r="F1127" s="13"/>
    </row>
    <row r="1128" spans="1:7" x14ac:dyDescent="0.2">
      <c r="A1128" s="13"/>
      <c r="B1128" s="13"/>
      <c r="D1128" s="13"/>
      <c r="E1128" s="13"/>
      <c r="F1128" s="13"/>
    </row>
    <row r="1129" spans="1:7" x14ac:dyDescent="0.2">
      <c r="A1129" s="13"/>
      <c r="B1129" s="13"/>
      <c r="D1129" s="13"/>
      <c r="E1129" s="13"/>
      <c r="F1129" s="13"/>
    </row>
    <row r="1130" spans="1:7" x14ac:dyDescent="0.2">
      <c r="A1130" s="13"/>
      <c r="B1130" s="13"/>
      <c r="D1130" s="13"/>
      <c r="E1130" s="13"/>
      <c r="F1130" s="13"/>
    </row>
    <row r="1131" spans="1:7" x14ac:dyDescent="0.2">
      <c r="A1131" s="13"/>
      <c r="B1131" s="13"/>
      <c r="D1131" s="13"/>
      <c r="E1131" s="13"/>
      <c r="F1131" s="13"/>
    </row>
    <row r="1132" spans="1:7" x14ac:dyDescent="0.2">
      <c r="A1132" s="13"/>
      <c r="B1132" s="13"/>
      <c r="D1132" s="13"/>
      <c r="E1132" s="13"/>
      <c r="F1132" s="13"/>
    </row>
    <row r="1133" spans="1:7" x14ac:dyDescent="0.2">
      <c r="A1133" s="13"/>
      <c r="B1133" s="13"/>
      <c r="D1133" s="13"/>
      <c r="E1133" s="13"/>
      <c r="F1133" s="13"/>
    </row>
    <row r="1134" spans="1:7" x14ac:dyDescent="0.2">
      <c r="A1134" s="13"/>
      <c r="B1134" s="13"/>
      <c r="D1134" s="13"/>
      <c r="E1134" s="13"/>
      <c r="G1134" s="13"/>
    </row>
    <row r="1135" spans="1:7" x14ac:dyDescent="0.2">
      <c r="A1135" s="13"/>
      <c r="B1135" s="13"/>
      <c r="D1135" s="13"/>
      <c r="E1135" s="13"/>
      <c r="F1135" s="13"/>
    </row>
    <row r="1136" spans="1:7" x14ac:dyDescent="0.2">
      <c r="A1136" s="13"/>
      <c r="B1136" s="13"/>
      <c r="D1136" s="13"/>
      <c r="E1136" s="13"/>
      <c r="F1136" s="13"/>
    </row>
    <row r="1137" spans="1:7" x14ac:dyDescent="0.2">
      <c r="A1137" s="13"/>
      <c r="B1137" s="13"/>
      <c r="D1137" s="13"/>
      <c r="E1137" s="13"/>
      <c r="G1137" s="13"/>
    </row>
    <row r="1138" spans="1:7" x14ac:dyDescent="0.2">
      <c r="A1138" s="13"/>
      <c r="B1138" s="13"/>
      <c r="D1138" s="13"/>
      <c r="E1138" s="13"/>
      <c r="F1138" s="13"/>
    </row>
    <row r="1139" spans="1:7" x14ac:dyDescent="0.2">
      <c r="A1139" s="13"/>
      <c r="B1139" s="13"/>
      <c r="D1139" s="13"/>
      <c r="E1139" s="13"/>
      <c r="F1139" s="13"/>
    </row>
    <row r="1140" spans="1:7" x14ac:dyDescent="0.2">
      <c r="A1140" s="13"/>
      <c r="B1140" s="13"/>
      <c r="D1140" s="13"/>
      <c r="E1140" s="13"/>
      <c r="F1140" s="13"/>
    </row>
    <row r="1141" spans="1:7" x14ac:dyDescent="0.2">
      <c r="A1141" s="13"/>
      <c r="B1141" s="13"/>
      <c r="D1141" s="13"/>
      <c r="E1141" s="13"/>
      <c r="G1141" s="13"/>
    </row>
    <row r="1142" spans="1:7" x14ac:dyDescent="0.2">
      <c r="A1142" s="13"/>
      <c r="B1142" s="13"/>
      <c r="D1142" s="13"/>
      <c r="E1142" s="13"/>
      <c r="F1142" s="13"/>
    </row>
    <row r="1143" spans="1:7" x14ac:dyDescent="0.2">
      <c r="A1143" s="13"/>
      <c r="B1143" s="13"/>
      <c r="D1143" s="13"/>
      <c r="E1143" s="13"/>
      <c r="G1143" s="13"/>
    </row>
    <row r="1144" spans="1:7" x14ac:dyDescent="0.2">
      <c r="A1144" s="13"/>
      <c r="B1144" s="13"/>
      <c r="D1144" s="13"/>
      <c r="E1144" s="13"/>
      <c r="G1144" s="13"/>
    </row>
    <row r="1145" spans="1:7" x14ac:dyDescent="0.2">
      <c r="A1145" s="13"/>
      <c r="B1145" s="13"/>
      <c r="D1145" s="13"/>
      <c r="E1145" s="13"/>
      <c r="F1145" s="13"/>
    </row>
    <row r="1146" spans="1:7" x14ac:dyDescent="0.2">
      <c r="A1146" s="13"/>
      <c r="B1146" s="13"/>
      <c r="D1146" s="13"/>
      <c r="E1146" s="13"/>
      <c r="F1146" s="13"/>
    </row>
    <row r="1147" spans="1:7" x14ac:dyDescent="0.2">
      <c r="A1147" s="13"/>
      <c r="B1147" s="13"/>
      <c r="D1147" s="13"/>
      <c r="E1147" s="13"/>
      <c r="F1147" s="13"/>
    </row>
    <row r="1148" spans="1:7" x14ac:dyDescent="0.2">
      <c r="A1148" s="13"/>
      <c r="B1148" s="13"/>
      <c r="D1148" s="13"/>
      <c r="E1148" s="13"/>
      <c r="F1148" s="13"/>
    </row>
    <row r="1149" spans="1:7" x14ac:dyDescent="0.2">
      <c r="A1149" s="13"/>
      <c r="B1149" s="13"/>
      <c r="D1149" s="13"/>
      <c r="E1149" s="13"/>
      <c r="F1149" s="13"/>
    </row>
    <row r="1150" spans="1:7" x14ac:dyDescent="0.2">
      <c r="A1150" s="13"/>
      <c r="B1150" s="13"/>
      <c r="D1150" s="13"/>
      <c r="E1150" s="13"/>
      <c r="F1150" s="13"/>
    </row>
    <row r="1151" spans="1:7" x14ac:dyDescent="0.2">
      <c r="A1151" s="13"/>
      <c r="B1151" s="13"/>
      <c r="D1151" s="13"/>
      <c r="E1151" s="13"/>
      <c r="F1151" s="13"/>
    </row>
    <row r="1152" spans="1:7" x14ac:dyDescent="0.2">
      <c r="A1152" s="13"/>
      <c r="B1152" s="13"/>
      <c r="D1152" s="13"/>
      <c r="E1152" s="13"/>
      <c r="F1152" s="13"/>
    </row>
    <row r="1153" spans="1:7" x14ac:dyDescent="0.2">
      <c r="A1153" s="13"/>
      <c r="B1153" s="13"/>
      <c r="D1153" s="13"/>
      <c r="E1153" s="13"/>
      <c r="F1153" s="13"/>
    </row>
    <row r="1154" spans="1:7" x14ac:dyDescent="0.2">
      <c r="A1154" s="13"/>
      <c r="B1154" s="13"/>
      <c r="D1154" s="13"/>
      <c r="E1154" s="13"/>
      <c r="G1154" s="13"/>
    </row>
    <row r="1155" spans="1:7" x14ac:dyDescent="0.2">
      <c r="A1155" s="13"/>
      <c r="B1155" s="13"/>
      <c r="D1155" s="13"/>
      <c r="E1155" s="13"/>
      <c r="F1155" s="13"/>
    </row>
    <row r="1156" spans="1:7" x14ac:dyDescent="0.2">
      <c r="A1156" s="13"/>
      <c r="B1156" s="13"/>
      <c r="D1156" s="13"/>
      <c r="E1156" s="13"/>
      <c r="F1156" s="13"/>
    </row>
    <row r="1157" spans="1:7" x14ac:dyDescent="0.2">
      <c r="A1157" s="13"/>
      <c r="B1157" s="13"/>
      <c r="D1157" s="13"/>
      <c r="E1157" s="13"/>
      <c r="F1157" s="13"/>
    </row>
    <row r="1158" spans="1:7" x14ac:dyDescent="0.2">
      <c r="A1158" s="13"/>
      <c r="B1158" s="13"/>
      <c r="D1158" s="13"/>
      <c r="E1158" s="13"/>
      <c r="F1158" s="13"/>
    </row>
    <row r="1159" spans="1:7" x14ac:dyDescent="0.2">
      <c r="A1159" s="13"/>
      <c r="B1159" s="13"/>
      <c r="D1159" s="13"/>
      <c r="E1159" s="13"/>
      <c r="F1159" s="13"/>
    </row>
    <row r="1160" spans="1:7" x14ac:dyDescent="0.2">
      <c r="A1160" s="13"/>
      <c r="B1160" s="13"/>
      <c r="D1160" s="13"/>
      <c r="E1160" s="13"/>
      <c r="F1160" s="13"/>
    </row>
    <row r="1161" spans="1:7" x14ac:dyDescent="0.2">
      <c r="A1161" s="13"/>
      <c r="B1161" s="13"/>
      <c r="D1161" s="13"/>
      <c r="E1161" s="13"/>
      <c r="F1161" s="13"/>
    </row>
    <row r="1162" spans="1:7" x14ac:dyDescent="0.2">
      <c r="A1162" s="13"/>
      <c r="B1162" s="13"/>
      <c r="D1162" s="13"/>
      <c r="E1162" s="13"/>
      <c r="G1162" s="13"/>
    </row>
    <row r="1163" spans="1:7" x14ac:dyDescent="0.2">
      <c r="A1163" s="13"/>
      <c r="B1163" s="13"/>
      <c r="D1163" s="13"/>
      <c r="E1163" s="13"/>
      <c r="G1163" s="13"/>
    </row>
    <row r="1164" spans="1:7" x14ac:dyDescent="0.2">
      <c r="A1164" s="13"/>
      <c r="B1164" s="13"/>
      <c r="D1164" s="13"/>
      <c r="E1164" s="13"/>
      <c r="G1164" s="13"/>
    </row>
    <row r="1165" spans="1:7" x14ac:dyDescent="0.2">
      <c r="A1165" s="13"/>
      <c r="B1165" s="13"/>
      <c r="D1165" s="13"/>
      <c r="E1165" s="13"/>
      <c r="F1165" s="13"/>
    </row>
    <row r="1166" spans="1:7" x14ac:dyDescent="0.2">
      <c r="A1166" s="13"/>
      <c r="B1166" s="13"/>
      <c r="D1166" s="13"/>
      <c r="E1166" s="13"/>
      <c r="G1166" s="13"/>
    </row>
    <row r="1167" spans="1:7" x14ac:dyDescent="0.2">
      <c r="A1167" s="13"/>
      <c r="B1167" s="13"/>
      <c r="D1167" s="13"/>
      <c r="E1167" s="13"/>
      <c r="F1167" s="13"/>
    </row>
    <row r="1168" spans="1:7" x14ac:dyDescent="0.2">
      <c r="A1168" s="13"/>
      <c r="B1168" s="13"/>
      <c r="D1168" s="13"/>
      <c r="E1168" s="13"/>
      <c r="F1168" s="13"/>
    </row>
    <row r="1169" spans="1:7" x14ac:dyDescent="0.2">
      <c r="A1169" s="13"/>
      <c r="B1169" s="13"/>
      <c r="D1169" s="13"/>
      <c r="E1169" s="13"/>
      <c r="F1169" s="13"/>
    </row>
    <row r="1170" spans="1:7" x14ac:dyDescent="0.2">
      <c r="A1170" s="13"/>
      <c r="B1170" s="13"/>
      <c r="D1170" s="13"/>
      <c r="E1170" s="13"/>
      <c r="F1170" s="13"/>
    </row>
    <row r="1171" spans="1:7" x14ac:dyDescent="0.2">
      <c r="A1171" s="13"/>
      <c r="B1171" s="13"/>
      <c r="D1171" s="13"/>
      <c r="E1171" s="13"/>
      <c r="F1171" s="13"/>
    </row>
    <row r="1172" spans="1:7" x14ac:dyDescent="0.2">
      <c r="A1172" s="13"/>
      <c r="B1172" s="13"/>
      <c r="D1172" s="13"/>
      <c r="E1172" s="13"/>
      <c r="G1172" s="13"/>
    </row>
    <row r="1173" spans="1:7" x14ac:dyDescent="0.2">
      <c r="A1173" s="13"/>
      <c r="B1173" s="13"/>
    </row>
    <row r="1174" spans="1:7" x14ac:dyDescent="0.2">
      <c r="A1174" s="13"/>
    </row>
    <row r="1175" spans="1:7" x14ac:dyDescent="0.2">
      <c r="A1175" s="13"/>
      <c r="B1175" s="13"/>
    </row>
    <row r="1176" spans="1:7" x14ac:dyDescent="0.2">
      <c r="A1176" s="13"/>
      <c r="B1176" s="13"/>
    </row>
    <row r="1177" spans="1:7" x14ac:dyDescent="0.2">
      <c r="A1177" s="13"/>
    </row>
    <row r="1178" spans="1:7" x14ac:dyDescent="0.2">
      <c r="A1178" s="13"/>
    </row>
    <row r="1179" spans="1:7" x14ac:dyDescent="0.2">
      <c r="A1179" s="13"/>
      <c r="C1179" s="13"/>
    </row>
    <row r="1180" spans="1:7" x14ac:dyDescent="0.2">
      <c r="A1180" s="13"/>
    </row>
    <row r="1181" spans="1:7" x14ac:dyDescent="0.2">
      <c r="A1181" s="13"/>
    </row>
    <row r="1182" spans="1:7" x14ac:dyDescent="0.2">
      <c r="A1182" s="13"/>
      <c r="B1182" s="13"/>
      <c r="D1182" s="13"/>
      <c r="E1182" s="13"/>
      <c r="G1182" s="13"/>
    </row>
    <row r="1183" spans="1:7" x14ac:dyDescent="0.2">
      <c r="A1183" s="13"/>
      <c r="B1183" s="13"/>
      <c r="D1183" s="13"/>
      <c r="E1183" s="13"/>
      <c r="G1183" s="13"/>
    </row>
    <row r="1184" spans="1:7" x14ac:dyDescent="0.2">
      <c r="A1184" s="13"/>
      <c r="B1184" s="13"/>
      <c r="D1184" s="13"/>
      <c r="E1184" s="13"/>
      <c r="G1184" s="13"/>
    </row>
    <row r="1185" spans="1:7" x14ac:dyDescent="0.2">
      <c r="A1185" s="13"/>
      <c r="B1185" s="13"/>
      <c r="D1185" s="13"/>
      <c r="E1185" s="13"/>
      <c r="G1185" s="13"/>
    </row>
    <row r="1186" spans="1:7" x14ac:dyDescent="0.2">
      <c r="A1186" s="13"/>
      <c r="B1186" s="13"/>
      <c r="D1186" s="13"/>
      <c r="E1186" s="13"/>
      <c r="G1186" s="13"/>
    </row>
    <row r="1187" spans="1:7" x14ac:dyDescent="0.2">
      <c r="A1187" s="13"/>
      <c r="B1187" s="13"/>
      <c r="D1187" s="13"/>
      <c r="E1187" s="13"/>
      <c r="G1187" s="13"/>
    </row>
    <row r="1188" spans="1:7" x14ac:dyDescent="0.2">
      <c r="A1188" s="13"/>
      <c r="B1188" s="13"/>
      <c r="D1188" s="13"/>
      <c r="E1188" s="13"/>
      <c r="G1188" s="13"/>
    </row>
    <row r="1189" spans="1:7" x14ac:dyDescent="0.2">
      <c r="A1189" s="13"/>
      <c r="B1189" s="13"/>
      <c r="D1189" s="13"/>
      <c r="E1189" s="13"/>
      <c r="G1189" s="13"/>
    </row>
    <row r="1190" spans="1:7" x14ac:dyDescent="0.2">
      <c r="A1190" s="13"/>
      <c r="B1190" s="13"/>
      <c r="D1190" s="13"/>
      <c r="E1190" s="13"/>
      <c r="G1190" s="13"/>
    </row>
    <row r="1191" spans="1:7" x14ac:dyDescent="0.2">
      <c r="A1191" s="13"/>
      <c r="B1191" s="13"/>
      <c r="D1191" s="13"/>
      <c r="E1191" s="13"/>
      <c r="G1191" s="13"/>
    </row>
    <row r="1192" spans="1:7" x14ac:dyDescent="0.2">
      <c r="A1192" s="13"/>
      <c r="B1192" s="13"/>
      <c r="D1192" s="13"/>
      <c r="E1192" s="13"/>
      <c r="G1192" s="13"/>
    </row>
    <row r="1193" spans="1:7" x14ac:dyDescent="0.2">
      <c r="A1193" s="13"/>
      <c r="B1193" s="13"/>
      <c r="D1193" s="13"/>
      <c r="E1193" s="13"/>
      <c r="G1193" s="13"/>
    </row>
    <row r="1194" spans="1:7" x14ac:dyDescent="0.2">
      <c r="A1194" s="13"/>
    </row>
    <row r="1195" spans="1:7" x14ac:dyDescent="0.2">
      <c r="A1195" s="13"/>
    </row>
    <row r="1196" spans="1:7" x14ac:dyDescent="0.2">
      <c r="A1196" s="13"/>
    </row>
    <row r="1197" spans="1:7" x14ac:dyDescent="0.2">
      <c r="A1197" s="13"/>
      <c r="C1197" s="13"/>
    </row>
    <row r="1198" spans="1:7" x14ac:dyDescent="0.2">
      <c r="A1198" s="13"/>
    </row>
    <row r="1199" spans="1:7" x14ac:dyDescent="0.2">
      <c r="A1199" s="13"/>
      <c r="B1199" s="13"/>
    </row>
    <row r="1200" spans="1:7" x14ac:dyDescent="0.2">
      <c r="A1200" s="13"/>
      <c r="B1200" s="13"/>
    </row>
    <row r="1201" spans="1:7" x14ac:dyDescent="0.2">
      <c r="A1201" s="13"/>
    </row>
    <row r="1202" spans="1:7" x14ac:dyDescent="0.2">
      <c r="A1202" s="13"/>
    </row>
    <row r="1203" spans="1:7" x14ac:dyDescent="0.2">
      <c r="A1203" s="13"/>
      <c r="B1203" s="13"/>
      <c r="D1203" s="13"/>
      <c r="E1203" s="13"/>
      <c r="F1203" s="13"/>
    </row>
    <row r="1204" spans="1:7" x14ac:dyDescent="0.2">
      <c r="A1204" s="13"/>
    </row>
    <row r="1205" spans="1:7" x14ac:dyDescent="0.2">
      <c r="A1205" s="13"/>
    </row>
    <row r="1206" spans="1:7" x14ac:dyDescent="0.2">
      <c r="A1206" s="13"/>
    </row>
    <row r="1207" spans="1:7" x14ac:dyDescent="0.2">
      <c r="A1207" s="13"/>
      <c r="C1207" s="13"/>
    </row>
    <row r="1208" spans="1:7" x14ac:dyDescent="0.2">
      <c r="A1208" s="13"/>
    </row>
    <row r="1209" spans="1:7" x14ac:dyDescent="0.2">
      <c r="A1209" s="13"/>
    </row>
    <row r="1210" spans="1:7" x14ac:dyDescent="0.2">
      <c r="A1210" s="13"/>
      <c r="B1210" s="13"/>
      <c r="D1210" s="13"/>
      <c r="E1210" s="13"/>
      <c r="F1210" s="13"/>
    </row>
    <row r="1211" spans="1:7" x14ac:dyDescent="0.2">
      <c r="A1211" s="13"/>
      <c r="B1211" s="13"/>
      <c r="D1211" s="13"/>
      <c r="E1211" s="13"/>
      <c r="F1211" s="13"/>
    </row>
    <row r="1212" spans="1:7" x14ac:dyDescent="0.2">
      <c r="A1212" s="13"/>
      <c r="B1212" s="13"/>
      <c r="D1212" s="13"/>
      <c r="E1212" s="13"/>
      <c r="F1212" s="13"/>
    </row>
    <row r="1213" spans="1:7" x14ac:dyDescent="0.2">
      <c r="A1213" s="13"/>
      <c r="B1213" s="13"/>
      <c r="D1213" s="13"/>
      <c r="E1213" s="13"/>
      <c r="F1213" s="13"/>
    </row>
    <row r="1214" spans="1:7" x14ac:dyDescent="0.2">
      <c r="A1214" s="13"/>
      <c r="B1214" s="13"/>
      <c r="D1214" s="13"/>
      <c r="E1214" s="13"/>
      <c r="G1214" s="13"/>
    </row>
    <row r="1215" spans="1:7" x14ac:dyDescent="0.2">
      <c r="A1215" s="13"/>
      <c r="B1215" s="13"/>
      <c r="D1215" s="13"/>
      <c r="E1215" s="13"/>
      <c r="F1215" s="13"/>
    </row>
    <row r="1216" spans="1:7" x14ac:dyDescent="0.2">
      <c r="A1216" s="13"/>
      <c r="B1216" s="13"/>
    </row>
    <row r="1217" spans="1:7" x14ac:dyDescent="0.2">
      <c r="A1217" s="13"/>
    </row>
    <row r="1218" spans="1:7" x14ac:dyDescent="0.2">
      <c r="A1218" s="13"/>
    </row>
    <row r="1219" spans="1:7" x14ac:dyDescent="0.2">
      <c r="A1219" s="13"/>
      <c r="B1219" s="13"/>
      <c r="D1219" s="13"/>
      <c r="E1219" s="13"/>
      <c r="F1219" s="13"/>
    </row>
    <row r="1220" spans="1:7" x14ac:dyDescent="0.2">
      <c r="A1220" s="13"/>
      <c r="B1220" s="13"/>
      <c r="D1220" s="13"/>
      <c r="E1220" s="13"/>
      <c r="G1220" s="13"/>
    </row>
    <row r="1221" spans="1:7" x14ac:dyDescent="0.2">
      <c r="A1221" s="13"/>
    </row>
    <row r="1222" spans="1:7" x14ac:dyDescent="0.2">
      <c r="A1222" s="13"/>
    </row>
    <row r="1223" spans="1:7" x14ac:dyDescent="0.2">
      <c r="A1223" s="13"/>
      <c r="B1223" s="13"/>
    </row>
    <row r="1224" spans="1:7" x14ac:dyDescent="0.2">
      <c r="A1224" s="13"/>
      <c r="B1224" s="13"/>
      <c r="D1224" s="13"/>
      <c r="E1224" s="13"/>
      <c r="F1224" s="13"/>
    </row>
    <row r="1225" spans="1:7" x14ac:dyDescent="0.2">
      <c r="A1225" s="13"/>
      <c r="B1225" s="13"/>
      <c r="D1225" s="13"/>
      <c r="E1225" s="13"/>
      <c r="F1225" s="13"/>
    </row>
    <row r="1226" spans="1:7" x14ac:dyDescent="0.2">
      <c r="A1226" s="13"/>
      <c r="B1226" s="13"/>
      <c r="D1226" s="13"/>
      <c r="E1226" s="13"/>
      <c r="G1226" s="13"/>
    </row>
    <row r="1227" spans="1:7" x14ac:dyDescent="0.2">
      <c r="A1227" s="13"/>
      <c r="B1227" s="13"/>
      <c r="D1227" s="13"/>
      <c r="E1227" s="13"/>
      <c r="G1227" s="13"/>
    </row>
    <row r="1228" spans="1:7" x14ac:dyDescent="0.2">
      <c r="A1228" s="13"/>
      <c r="B1228" s="13"/>
      <c r="D1228" s="13"/>
      <c r="E1228" s="13"/>
      <c r="G1228" s="13"/>
    </row>
    <row r="1229" spans="1:7" x14ac:dyDescent="0.2">
      <c r="A1229" s="13"/>
      <c r="B1229" s="13"/>
      <c r="D1229" s="13"/>
      <c r="E1229" s="13"/>
      <c r="F1229" s="13"/>
    </row>
    <row r="1230" spans="1:7" x14ac:dyDescent="0.2">
      <c r="A1230" s="13"/>
      <c r="B1230" s="13"/>
      <c r="D1230" s="13"/>
      <c r="E1230" s="13"/>
      <c r="F1230" s="13"/>
    </row>
    <row r="1231" spans="1:7" x14ac:dyDescent="0.2">
      <c r="A1231" s="13"/>
      <c r="B1231" s="13"/>
    </row>
    <row r="1232" spans="1:7" x14ac:dyDescent="0.2">
      <c r="A1232" s="13"/>
    </row>
    <row r="1233" spans="1:7" x14ac:dyDescent="0.2">
      <c r="A1233" s="13"/>
    </row>
    <row r="1234" spans="1:7" x14ac:dyDescent="0.2">
      <c r="A1234" s="13"/>
      <c r="C1234" s="13"/>
    </row>
    <row r="1235" spans="1:7" x14ac:dyDescent="0.2">
      <c r="A1235" s="13"/>
    </row>
    <row r="1236" spans="1:7" x14ac:dyDescent="0.2">
      <c r="A1236" s="13"/>
    </row>
    <row r="1237" spans="1:7" x14ac:dyDescent="0.2">
      <c r="A1237" s="13"/>
      <c r="C1237" s="13"/>
    </row>
    <row r="1238" spans="1:7" x14ac:dyDescent="0.2">
      <c r="A1238" s="13"/>
    </row>
    <row r="1239" spans="1:7" x14ac:dyDescent="0.2">
      <c r="A1239" s="13"/>
    </row>
    <row r="1240" spans="1:7" x14ac:dyDescent="0.2">
      <c r="A1240" s="13"/>
      <c r="B1240" s="13"/>
      <c r="D1240" s="13"/>
      <c r="E1240" s="13"/>
      <c r="G1240" s="13"/>
    </row>
    <row r="1241" spans="1:7" x14ac:dyDescent="0.2">
      <c r="A1241" s="13"/>
      <c r="B1241" s="13"/>
      <c r="D1241" s="13"/>
      <c r="E1241" s="13"/>
      <c r="G1241" s="13"/>
    </row>
    <row r="1242" spans="1:7" x14ac:dyDescent="0.2">
      <c r="A1242" s="13"/>
      <c r="B1242" s="13"/>
      <c r="D1242" s="13"/>
      <c r="E1242" s="13"/>
      <c r="G1242" s="13"/>
    </row>
    <row r="1243" spans="1:7" x14ac:dyDescent="0.2">
      <c r="A1243" s="13"/>
      <c r="B1243" s="13"/>
      <c r="D1243" s="13"/>
      <c r="E1243" s="13"/>
      <c r="G1243" s="13"/>
    </row>
    <row r="1244" spans="1:7" x14ac:dyDescent="0.2">
      <c r="A1244" s="13"/>
      <c r="B1244" s="13"/>
      <c r="D1244" s="13"/>
      <c r="E1244" s="13"/>
      <c r="G1244" s="13"/>
    </row>
    <row r="1245" spans="1:7" x14ac:dyDescent="0.2">
      <c r="A1245" s="13"/>
      <c r="B1245" s="13"/>
      <c r="D1245" s="13"/>
      <c r="E1245" s="13"/>
      <c r="G1245" s="13"/>
    </row>
    <row r="1246" spans="1:7" x14ac:dyDescent="0.2">
      <c r="A1246" s="13"/>
    </row>
    <row r="1247" spans="1:7" x14ac:dyDescent="0.2">
      <c r="A1247" s="13"/>
    </row>
    <row r="1248" spans="1:7" x14ac:dyDescent="0.2">
      <c r="A1248" s="13"/>
    </row>
    <row r="1249" spans="1:7" x14ac:dyDescent="0.2">
      <c r="A1249" s="13"/>
      <c r="B1249" s="13"/>
      <c r="D1249" s="13"/>
      <c r="E1249" s="13"/>
      <c r="G1249" s="13"/>
    </row>
    <row r="1250" spans="1:7" x14ac:dyDescent="0.2">
      <c r="A1250" s="13"/>
      <c r="B1250" s="13"/>
      <c r="D1250" s="13"/>
      <c r="E1250" s="13"/>
      <c r="G1250" s="13"/>
    </row>
    <row r="1251" spans="1:7" x14ac:dyDescent="0.2">
      <c r="A1251" s="13"/>
    </row>
    <row r="1252" spans="1:7" x14ac:dyDescent="0.2">
      <c r="A1252" s="13"/>
    </row>
    <row r="1253" spans="1:7" x14ac:dyDescent="0.2">
      <c r="A1253" s="13"/>
    </row>
    <row r="1254" spans="1:7" x14ac:dyDescent="0.2">
      <c r="A1254" s="13"/>
      <c r="B1254" s="13"/>
      <c r="D1254" s="13"/>
      <c r="E1254" s="13"/>
      <c r="G1254" s="13"/>
    </row>
    <row r="1255" spans="1:7" x14ac:dyDescent="0.2">
      <c r="A1255" s="13"/>
      <c r="B1255" s="13"/>
      <c r="D1255" s="13"/>
      <c r="E1255" s="13"/>
      <c r="G1255" s="13"/>
    </row>
    <row r="1256" spans="1:7" x14ac:dyDescent="0.2">
      <c r="A1256" s="13"/>
      <c r="B1256" s="13"/>
      <c r="D1256" s="13"/>
      <c r="E1256" s="13"/>
      <c r="G1256" s="13"/>
    </row>
    <row r="1257" spans="1:7" x14ac:dyDescent="0.2">
      <c r="A1257" s="13"/>
      <c r="B1257" s="13"/>
      <c r="D1257" s="13"/>
      <c r="E1257" s="13"/>
      <c r="G1257" s="13"/>
    </row>
    <row r="1258" spans="1:7" x14ac:dyDescent="0.2">
      <c r="A1258" s="13"/>
      <c r="B1258" s="13"/>
      <c r="D1258" s="13"/>
      <c r="E1258" s="13"/>
      <c r="G1258" s="13"/>
    </row>
    <row r="1259" spans="1:7" x14ac:dyDescent="0.2">
      <c r="A1259" s="13"/>
      <c r="B1259" s="13"/>
      <c r="D1259" s="13"/>
      <c r="E1259" s="13"/>
      <c r="G1259" s="13"/>
    </row>
    <row r="1260" spans="1:7" x14ac:dyDescent="0.2">
      <c r="A1260" s="13"/>
      <c r="B1260" s="13"/>
      <c r="D1260" s="13"/>
      <c r="E1260" s="13"/>
      <c r="G1260" s="13"/>
    </row>
    <row r="1261" spans="1:7" x14ac:dyDescent="0.2">
      <c r="A1261" s="13"/>
      <c r="B1261" s="13"/>
      <c r="D1261" s="13"/>
      <c r="E1261" s="13"/>
      <c r="G1261" s="13"/>
    </row>
    <row r="1262" spans="1:7" x14ac:dyDescent="0.2">
      <c r="A1262" s="13"/>
      <c r="B1262" s="13"/>
      <c r="D1262" s="13"/>
      <c r="E1262" s="13"/>
      <c r="G1262" s="13"/>
    </row>
    <row r="1263" spans="1:7" x14ac:dyDescent="0.2">
      <c r="A1263" s="13"/>
      <c r="B1263" s="13"/>
      <c r="D1263" s="13"/>
      <c r="E1263" s="13"/>
      <c r="G1263" s="13"/>
    </row>
    <row r="1264" spans="1:7" x14ac:dyDescent="0.2">
      <c r="A1264" s="13"/>
      <c r="B1264" s="13"/>
      <c r="D1264" s="13"/>
      <c r="E1264" s="13"/>
      <c r="G1264" s="13"/>
    </row>
    <row r="1265" spans="1:7" x14ac:dyDescent="0.2">
      <c r="A1265" s="13"/>
      <c r="B1265" s="13"/>
      <c r="D1265" s="13"/>
      <c r="E1265" s="13"/>
      <c r="G1265" s="13"/>
    </row>
    <row r="1266" spans="1:7" x14ac:dyDescent="0.2">
      <c r="A1266" s="13"/>
    </row>
    <row r="1267" spans="1:7" x14ac:dyDescent="0.2">
      <c r="A1267" s="13"/>
    </row>
    <row r="1268" spans="1:7" x14ac:dyDescent="0.2">
      <c r="A1268" s="13"/>
    </row>
    <row r="1269" spans="1:7" x14ac:dyDescent="0.2">
      <c r="A1269" s="13"/>
      <c r="C1269" s="13"/>
    </row>
    <row r="1270" spans="1:7" x14ac:dyDescent="0.2">
      <c r="A1270" s="13"/>
    </row>
    <row r="1271" spans="1:7" x14ac:dyDescent="0.2">
      <c r="A1271" s="13"/>
    </row>
    <row r="1272" spans="1:7" x14ac:dyDescent="0.2">
      <c r="A1272" s="13"/>
      <c r="C1272" s="13"/>
    </row>
    <row r="1273" spans="1:7" x14ac:dyDescent="0.2">
      <c r="A1273" s="13"/>
    </row>
    <row r="1274" spans="1:7" x14ac:dyDescent="0.2">
      <c r="A1274" s="13"/>
    </row>
    <row r="1275" spans="1:7" x14ac:dyDescent="0.2">
      <c r="A1275" s="13"/>
      <c r="C1275" s="13"/>
    </row>
    <row r="1276" spans="1:7" x14ac:dyDescent="0.2">
      <c r="A1276" s="13"/>
    </row>
    <row r="1277" spans="1:7" x14ac:dyDescent="0.2">
      <c r="A1277" s="13"/>
    </row>
    <row r="1278" spans="1:7" x14ac:dyDescent="0.2">
      <c r="A1278" s="13"/>
      <c r="C1278" s="13"/>
    </row>
    <row r="1279" spans="1:7" x14ac:dyDescent="0.2">
      <c r="A1279" s="13"/>
    </row>
    <row r="1280" spans="1:7" x14ac:dyDescent="0.2">
      <c r="A1280" s="13"/>
    </row>
    <row r="1281" spans="1:3" x14ac:dyDescent="0.2">
      <c r="A1281" s="13"/>
      <c r="C1281" s="13"/>
    </row>
    <row r="1282" spans="1:3" x14ac:dyDescent="0.2">
      <c r="A1282" s="13"/>
    </row>
    <row r="1283" spans="1:3" x14ac:dyDescent="0.2">
      <c r="A1283" s="13"/>
    </row>
    <row r="1284" spans="1:3" x14ac:dyDescent="0.2">
      <c r="A1284" s="13"/>
      <c r="C1284" s="13"/>
    </row>
    <row r="1285" spans="1:3" x14ac:dyDescent="0.2">
      <c r="A1285" s="13"/>
    </row>
    <row r="1286" spans="1:3" x14ac:dyDescent="0.2">
      <c r="A1286" s="13"/>
    </row>
    <row r="1287" spans="1:3" x14ac:dyDescent="0.2">
      <c r="A1287" s="13"/>
      <c r="C1287" s="13"/>
    </row>
    <row r="1288" spans="1:3" x14ac:dyDescent="0.2">
      <c r="A1288" s="13"/>
    </row>
    <row r="1289" spans="1:3" x14ac:dyDescent="0.2">
      <c r="A1289" s="13"/>
    </row>
    <row r="1290" spans="1:3" x14ac:dyDescent="0.2">
      <c r="A1290" s="13"/>
      <c r="C1290" s="13"/>
    </row>
    <row r="1291" spans="1:3" x14ac:dyDescent="0.2">
      <c r="A1291" s="13"/>
    </row>
    <row r="1292" spans="1:3" x14ac:dyDescent="0.2">
      <c r="A1292" s="13"/>
    </row>
    <row r="1293" spans="1:3" x14ac:dyDescent="0.2">
      <c r="A1293" s="13"/>
      <c r="C1293" s="13"/>
    </row>
    <row r="1294" spans="1:3" x14ac:dyDescent="0.2">
      <c r="A1294" s="13"/>
    </row>
    <row r="1295" spans="1:3" x14ac:dyDescent="0.2">
      <c r="A1295" s="13"/>
      <c r="B1295" s="13"/>
    </row>
    <row r="1296" spans="1:3" x14ac:dyDescent="0.2">
      <c r="A1296" s="13"/>
      <c r="B1296" s="13"/>
    </row>
    <row r="1297" spans="1:3" x14ac:dyDescent="0.2">
      <c r="A1297" s="13"/>
    </row>
    <row r="1298" spans="1:3" x14ac:dyDescent="0.2">
      <c r="A1298" s="13"/>
    </row>
    <row r="1299" spans="1:3" x14ac:dyDescent="0.2">
      <c r="A1299" s="13"/>
      <c r="C1299" s="13"/>
    </row>
    <row r="1300" spans="1:3" x14ac:dyDescent="0.2">
      <c r="A1300" s="13"/>
    </row>
    <row r="1301" spans="1:3" x14ac:dyDescent="0.2">
      <c r="A1301" s="13"/>
    </row>
    <row r="1302" spans="1:3" x14ac:dyDescent="0.2">
      <c r="A1302" s="13"/>
      <c r="C1302" s="13"/>
    </row>
    <row r="1303" spans="1:3" x14ac:dyDescent="0.2">
      <c r="A1303" s="13"/>
    </row>
    <row r="1304" spans="1:3" x14ac:dyDescent="0.2">
      <c r="A1304" s="13"/>
      <c r="B1304" s="13"/>
    </row>
    <row r="1305" spans="1:3" x14ac:dyDescent="0.2">
      <c r="A1305" s="13"/>
      <c r="B1305" s="13"/>
    </row>
    <row r="1306" spans="1:3" x14ac:dyDescent="0.2">
      <c r="A1306" s="13"/>
    </row>
    <row r="1307" spans="1:3" x14ac:dyDescent="0.2">
      <c r="A1307" s="13"/>
    </row>
    <row r="1308" spans="1:3" x14ac:dyDescent="0.2">
      <c r="A1308" s="13"/>
      <c r="C1308" s="13"/>
    </row>
    <row r="1309" spans="1:3" x14ac:dyDescent="0.2">
      <c r="A1309" s="13"/>
    </row>
    <row r="1310" spans="1:3" x14ac:dyDescent="0.2">
      <c r="A1310" s="13"/>
    </row>
    <row r="1311" spans="1:3" x14ac:dyDescent="0.2">
      <c r="A1311" s="13"/>
      <c r="C1311" s="13"/>
    </row>
    <row r="1312" spans="1:3" x14ac:dyDescent="0.2">
      <c r="A1312" s="13"/>
    </row>
    <row r="1313" spans="1:7" x14ac:dyDescent="0.2">
      <c r="A1313" s="13"/>
    </row>
    <row r="1314" spans="1:7" x14ac:dyDescent="0.2">
      <c r="A1314" s="13"/>
      <c r="C1314" s="13"/>
    </row>
    <row r="1315" spans="1:7" x14ac:dyDescent="0.2">
      <c r="A1315" s="13"/>
    </row>
    <row r="1316" spans="1:7" x14ac:dyDescent="0.2">
      <c r="A1316" s="13"/>
    </row>
    <row r="1317" spans="1:7" x14ac:dyDescent="0.2">
      <c r="A1317" s="13"/>
      <c r="C1317" s="13"/>
    </row>
    <row r="1318" spans="1:7" x14ac:dyDescent="0.2">
      <c r="A1318" s="13"/>
    </row>
    <row r="1319" spans="1:7" x14ac:dyDescent="0.2">
      <c r="A1319" s="13"/>
    </row>
    <row r="1320" spans="1:7" x14ac:dyDescent="0.2">
      <c r="A1320" s="13"/>
      <c r="B1320" s="13"/>
      <c r="D1320" s="13"/>
      <c r="E1320" s="13"/>
      <c r="G1320" s="13"/>
    </row>
    <row r="1321" spans="1:7" x14ac:dyDescent="0.2">
      <c r="A1321" s="13"/>
      <c r="B1321" s="13"/>
      <c r="D1321" s="13"/>
      <c r="E1321" s="13"/>
      <c r="G1321" s="13"/>
    </row>
    <row r="1322" spans="1:7" x14ac:dyDescent="0.2">
      <c r="A1322" s="13"/>
      <c r="B1322" s="13"/>
      <c r="D1322" s="13"/>
      <c r="E1322" s="13"/>
      <c r="G1322" s="13"/>
    </row>
    <row r="1323" spans="1:7" x14ac:dyDescent="0.2">
      <c r="A1323" s="13"/>
      <c r="B1323" s="13"/>
      <c r="D1323" s="13"/>
      <c r="E1323" s="13"/>
      <c r="G1323" s="13"/>
    </row>
    <row r="1324" spans="1:7" x14ac:dyDescent="0.2">
      <c r="A1324" s="13"/>
      <c r="B1324" s="13"/>
      <c r="D1324" s="13"/>
      <c r="E1324" s="13"/>
      <c r="G1324" s="13"/>
    </row>
    <row r="1325" spans="1:7" x14ac:dyDescent="0.2">
      <c r="A1325" s="13"/>
      <c r="B1325" s="13"/>
      <c r="D1325" s="13"/>
      <c r="E1325" s="13"/>
      <c r="G1325" s="13"/>
    </row>
    <row r="1326" spans="1:7" x14ac:dyDescent="0.2">
      <c r="A1326" s="13"/>
    </row>
    <row r="1327" spans="1:7" x14ac:dyDescent="0.2">
      <c r="A1327" s="13"/>
    </row>
    <row r="1328" spans="1:7" x14ac:dyDescent="0.2">
      <c r="A1328" s="13"/>
    </row>
    <row r="1329" spans="1:3" x14ac:dyDescent="0.2">
      <c r="A1329" s="13"/>
      <c r="C1329" s="13"/>
    </row>
    <row r="1330" spans="1:3" x14ac:dyDescent="0.2">
      <c r="A1330" s="13"/>
    </row>
    <row r="1331" spans="1:3" x14ac:dyDescent="0.2">
      <c r="A1331" s="13"/>
    </row>
    <row r="1332" spans="1:3" x14ac:dyDescent="0.2">
      <c r="A1332" s="13"/>
      <c r="C1332" s="13"/>
    </row>
    <row r="1333" spans="1:3" x14ac:dyDescent="0.2">
      <c r="A1333" s="13"/>
    </row>
    <row r="1334" spans="1:3" x14ac:dyDescent="0.2">
      <c r="A1334" s="13"/>
    </row>
    <row r="1335" spans="1:3" x14ac:dyDescent="0.2">
      <c r="A1335" s="13"/>
      <c r="C1335" s="13"/>
    </row>
    <row r="1336" spans="1:3" x14ac:dyDescent="0.2">
      <c r="A1336" s="13"/>
    </row>
    <row r="1337" spans="1:3" x14ac:dyDescent="0.2">
      <c r="A1337" s="13"/>
    </row>
    <row r="1338" spans="1:3" x14ac:dyDescent="0.2">
      <c r="A1338" s="13"/>
      <c r="C1338" s="13"/>
    </row>
    <row r="1339" spans="1:3" x14ac:dyDescent="0.2">
      <c r="A1339" s="13"/>
    </row>
    <row r="1340" spans="1:3" x14ac:dyDescent="0.2">
      <c r="A1340" s="13"/>
    </row>
    <row r="1341" spans="1:3" x14ac:dyDescent="0.2">
      <c r="A1341" s="13"/>
      <c r="C1341" s="13"/>
    </row>
    <row r="1342" spans="1:3" x14ac:dyDescent="0.2">
      <c r="A1342" s="13"/>
    </row>
    <row r="1343" spans="1:3" x14ac:dyDescent="0.2">
      <c r="A1343" s="13"/>
      <c r="B1343" s="13"/>
    </row>
    <row r="1344" spans="1:3" x14ac:dyDescent="0.2">
      <c r="A1344" s="13"/>
      <c r="B1344" s="13"/>
    </row>
    <row r="1345" spans="1:15" x14ac:dyDescent="0.2">
      <c r="A1345" s="13"/>
    </row>
    <row r="1346" spans="1:15" x14ac:dyDescent="0.2">
      <c r="A1346" s="13"/>
      <c r="J1346" s="52"/>
      <c r="K1346" s="52"/>
      <c r="L1346" s="52"/>
      <c r="M1346" s="52"/>
      <c r="N1346" s="52"/>
      <c r="O1346" s="52"/>
    </row>
    <row r="1347" spans="1:15" x14ac:dyDescent="0.2">
      <c r="A1347" s="13"/>
      <c r="B1347" s="13"/>
      <c r="D1347" s="13"/>
      <c r="E1347" s="13"/>
      <c r="G1347" s="13"/>
    </row>
    <row r="1348" spans="1:15" x14ac:dyDescent="0.2">
      <c r="A1348" s="13"/>
      <c r="B1348" s="13"/>
      <c r="D1348" s="13"/>
      <c r="E1348" s="13"/>
      <c r="G1348" s="13"/>
    </row>
    <row r="1349" spans="1:15" x14ac:dyDescent="0.2">
      <c r="A1349" s="13"/>
      <c r="B1349" s="13"/>
      <c r="D1349" s="13"/>
      <c r="E1349" s="13"/>
      <c r="G1349" s="13"/>
    </row>
    <row r="1350" spans="1:15" x14ac:dyDescent="0.2">
      <c r="A1350" s="13"/>
      <c r="B1350" s="13"/>
      <c r="D1350" s="13"/>
      <c r="E1350" s="13"/>
      <c r="F1350" s="13"/>
    </row>
    <row r="1351" spans="1:15" x14ac:dyDescent="0.2">
      <c r="A1351" s="13"/>
      <c r="B1351" s="13"/>
      <c r="D1351" s="13"/>
      <c r="E1351" s="13"/>
      <c r="G1351" s="13"/>
    </row>
    <row r="1352" spans="1:15" x14ac:dyDescent="0.2">
      <c r="A1352" s="13"/>
      <c r="B1352" s="13"/>
      <c r="D1352" s="13"/>
      <c r="E1352" s="13"/>
      <c r="F1352" s="13"/>
    </row>
    <row r="1353" spans="1:15" x14ac:dyDescent="0.2">
      <c r="A1353" s="13"/>
      <c r="B1353" s="13"/>
      <c r="D1353" s="13"/>
      <c r="E1353" s="13"/>
      <c r="G1353" s="13"/>
    </row>
    <row r="1354" spans="1:15" x14ac:dyDescent="0.2">
      <c r="A1354" s="13"/>
      <c r="B1354" s="13"/>
      <c r="D1354" s="13"/>
      <c r="E1354" s="13"/>
      <c r="F1354" s="13"/>
    </row>
    <row r="1355" spans="1:15" x14ac:dyDescent="0.2">
      <c r="A1355" s="13"/>
      <c r="B1355" s="13"/>
      <c r="D1355" s="13"/>
      <c r="E1355" s="13"/>
      <c r="G1355" s="13"/>
    </row>
    <row r="1356" spans="1:15" x14ac:dyDescent="0.2">
      <c r="A1356" s="13"/>
      <c r="B1356" s="13"/>
      <c r="D1356" s="13"/>
      <c r="E1356" s="13"/>
      <c r="F1356" s="13"/>
    </row>
    <row r="1357" spans="1:15" x14ac:dyDescent="0.2">
      <c r="A1357" s="13"/>
      <c r="B1357" s="13"/>
      <c r="D1357" s="13"/>
      <c r="E1357" s="13"/>
      <c r="F1357" s="13"/>
    </row>
    <row r="1358" spans="1:15" x14ac:dyDescent="0.2">
      <c r="A1358" s="13"/>
      <c r="B1358" s="13"/>
      <c r="D1358" s="13"/>
      <c r="E1358" s="13"/>
      <c r="G1358" s="13"/>
    </row>
    <row r="1359" spans="1:15" x14ac:dyDescent="0.2">
      <c r="A1359" s="13"/>
      <c r="B1359" s="13"/>
      <c r="D1359" s="13"/>
      <c r="E1359" s="13"/>
      <c r="G1359" s="13"/>
    </row>
    <row r="1360" spans="1:15" x14ac:dyDescent="0.2">
      <c r="A1360" s="13"/>
      <c r="B1360" s="13"/>
      <c r="D1360" s="13"/>
      <c r="E1360" s="13"/>
      <c r="F1360" s="13"/>
    </row>
    <row r="1361" spans="1:14" x14ac:dyDescent="0.2">
      <c r="A1361" s="13"/>
      <c r="B1361" s="13"/>
      <c r="D1361" s="13"/>
      <c r="E1361" s="13"/>
      <c r="G1361" s="13"/>
    </row>
    <row r="1362" spans="1:14" x14ac:dyDescent="0.2">
      <c r="A1362" s="13"/>
      <c r="B1362" s="13"/>
      <c r="D1362" s="13"/>
      <c r="E1362" s="13"/>
      <c r="F1362" s="13"/>
    </row>
    <row r="1363" spans="1:14" x14ac:dyDescent="0.2">
      <c r="A1363" s="13"/>
      <c r="B1363" s="13"/>
      <c r="D1363" s="13"/>
      <c r="E1363" s="13"/>
      <c r="G1363" s="13"/>
    </row>
    <row r="1364" spans="1:14" x14ac:dyDescent="0.2">
      <c r="A1364" s="13"/>
      <c r="B1364" s="13"/>
      <c r="D1364" s="13"/>
      <c r="E1364" s="13"/>
      <c r="F1364" s="13"/>
    </row>
    <row r="1365" spans="1:14" x14ac:dyDescent="0.2">
      <c r="A1365" s="13"/>
      <c r="B1365" s="13"/>
      <c r="D1365" s="13"/>
      <c r="E1365" s="13"/>
      <c r="F1365" s="13"/>
    </row>
    <row r="1366" spans="1:14" x14ac:dyDescent="0.2">
      <c r="A1366" s="13"/>
      <c r="B1366" s="13"/>
      <c r="D1366" s="13"/>
      <c r="E1366" s="13"/>
      <c r="G1366" s="13"/>
    </row>
    <row r="1367" spans="1:14" x14ac:dyDescent="0.2">
      <c r="A1367" s="13"/>
      <c r="B1367" s="13"/>
      <c r="D1367" s="13"/>
      <c r="E1367" s="13"/>
      <c r="F1367" s="13"/>
    </row>
    <row r="1368" spans="1:14" x14ac:dyDescent="0.2">
      <c r="A1368" s="13"/>
      <c r="B1368" s="13"/>
      <c r="D1368" s="13"/>
      <c r="E1368" s="13"/>
      <c r="G1368" s="13"/>
    </row>
    <row r="1369" spans="1:14" x14ac:dyDescent="0.2">
      <c r="A1369" s="13"/>
      <c r="B1369" s="13"/>
      <c r="D1369" s="13"/>
      <c r="E1369" s="13"/>
      <c r="F1369" s="13"/>
    </row>
    <row r="1370" spans="1:14" x14ac:dyDescent="0.2">
      <c r="A1370" s="13"/>
    </row>
    <row r="1371" spans="1:14" x14ac:dyDescent="0.2">
      <c r="A1371" s="13"/>
    </row>
    <row r="1372" spans="1:14" x14ac:dyDescent="0.2">
      <c r="A1372" s="13"/>
    </row>
    <row r="1373" spans="1:14" x14ac:dyDescent="0.2">
      <c r="A1373" s="13"/>
      <c r="C1373" s="13"/>
      <c r="L1373" s="34"/>
      <c r="N1373" s="34"/>
    </row>
    <row r="1374" spans="1:14" x14ac:dyDescent="0.2">
      <c r="A1374" s="13"/>
    </row>
    <row r="1375" spans="1:14" x14ac:dyDescent="0.2">
      <c r="A1375" s="13"/>
      <c r="B1375" s="13"/>
    </row>
    <row r="1376" spans="1:14" x14ac:dyDescent="0.2">
      <c r="A1376" s="13"/>
      <c r="B1376" s="13"/>
    </row>
    <row r="1377" spans="1:3" x14ac:dyDescent="0.2">
      <c r="A1377" s="13"/>
    </row>
    <row r="1378" spans="1:3" x14ac:dyDescent="0.2">
      <c r="A1378" s="13"/>
      <c r="B1378" s="13"/>
    </row>
    <row r="1379" spans="1:3" x14ac:dyDescent="0.2">
      <c r="A1379" s="13"/>
      <c r="B1379" s="13"/>
    </row>
    <row r="1380" spans="1:3" x14ac:dyDescent="0.2">
      <c r="A1380" s="13"/>
    </row>
    <row r="1381" spans="1:3" x14ac:dyDescent="0.2">
      <c r="A1381" s="13"/>
      <c r="B1381" s="13"/>
    </row>
    <row r="1382" spans="1:3" x14ac:dyDescent="0.2">
      <c r="A1382" s="13"/>
      <c r="B1382" s="13"/>
    </row>
    <row r="1383" spans="1:3" x14ac:dyDescent="0.2">
      <c r="A1383" s="13"/>
    </row>
    <row r="1384" spans="1:3" x14ac:dyDescent="0.2">
      <c r="A1384" s="13"/>
    </row>
    <row r="1385" spans="1:3" x14ac:dyDescent="0.2">
      <c r="A1385" s="13"/>
      <c r="C1385" s="13"/>
    </row>
    <row r="1386" spans="1:3" x14ac:dyDescent="0.2">
      <c r="A1386" s="13"/>
    </row>
    <row r="1387" spans="1:3" x14ac:dyDescent="0.2">
      <c r="A1387" s="13"/>
      <c r="B1387" s="13"/>
    </row>
    <row r="1388" spans="1:3" x14ac:dyDescent="0.2">
      <c r="A1388" s="13"/>
      <c r="B1388" s="13"/>
    </row>
    <row r="1389" spans="1:3" x14ac:dyDescent="0.2">
      <c r="A1389" s="13"/>
    </row>
    <row r="1390" spans="1:3" x14ac:dyDescent="0.2">
      <c r="A1390" s="13"/>
      <c r="B1390" s="13"/>
    </row>
    <row r="1391" spans="1:3" x14ac:dyDescent="0.2">
      <c r="A1391" s="13"/>
      <c r="B1391" s="13"/>
    </row>
    <row r="1392" spans="1:3" x14ac:dyDescent="0.2">
      <c r="A1392" s="13"/>
    </row>
    <row r="1393" spans="1:7" x14ac:dyDescent="0.2">
      <c r="A1393" s="13"/>
    </row>
    <row r="1394" spans="1:7" x14ac:dyDescent="0.2">
      <c r="A1394" s="13"/>
      <c r="B1394" s="13"/>
      <c r="D1394" s="13"/>
      <c r="E1394" s="13"/>
      <c r="G1394" s="13"/>
    </row>
    <row r="1395" spans="1:7" x14ac:dyDescent="0.2">
      <c r="A1395" s="13"/>
      <c r="B1395" s="13"/>
      <c r="D1395" s="13"/>
      <c r="E1395" s="13"/>
      <c r="G1395" s="13"/>
    </row>
    <row r="1396" spans="1:7" x14ac:dyDescent="0.2">
      <c r="A1396" s="13"/>
      <c r="B1396" s="13"/>
      <c r="D1396" s="13"/>
      <c r="E1396" s="13"/>
      <c r="G1396" s="13"/>
    </row>
    <row r="1397" spans="1:7" x14ac:dyDescent="0.2">
      <c r="A1397" s="13"/>
      <c r="B1397" s="13"/>
      <c r="D1397" s="13"/>
      <c r="E1397" s="13"/>
      <c r="G1397" s="13"/>
    </row>
    <row r="1398" spans="1:7" x14ac:dyDescent="0.2">
      <c r="A1398" s="13"/>
      <c r="B1398" s="13"/>
      <c r="D1398" s="13"/>
      <c r="E1398" s="13"/>
      <c r="G1398" s="13"/>
    </row>
    <row r="1399" spans="1:7" x14ac:dyDescent="0.2">
      <c r="A1399" s="13"/>
      <c r="B1399" s="13"/>
      <c r="D1399" s="13"/>
      <c r="E1399" s="13"/>
      <c r="G1399" s="13"/>
    </row>
    <row r="1400" spans="1:7" x14ac:dyDescent="0.2">
      <c r="A1400" s="13"/>
      <c r="B1400" s="13"/>
      <c r="D1400" s="13"/>
      <c r="E1400" s="13"/>
      <c r="G1400" s="13"/>
    </row>
    <row r="1401" spans="1:7" x14ac:dyDescent="0.2">
      <c r="A1401" s="13"/>
      <c r="B1401" s="13"/>
      <c r="D1401" s="13"/>
      <c r="E1401" s="13"/>
      <c r="G1401" s="13"/>
    </row>
    <row r="1402" spans="1:7" x14ac:dyDescent="0.2">
      <c r="A1402" s="13"/>
      <c r="B1402" s="13"/>
      <c r="D1402" s="13"/>
      <c r="E1402" s="13"/>
      <c r="G1402" s="13"/>
    </row>
    <row r="1403" spans="1:7" x14ac:dyDescent="0.2">
      <c r="A1403" s="13"/>
      <c r="B1403" s="13"/>
      <c r="D1403" s="13"/>
      <c r="E1403" s="13"/>
      <c r="G1403" s="13"/>
    </row>
    <row r="1404" spans="1:7" x14ac:dyDescent="0.2">
      <c r="A1404" s="13"/>
      <c r="B1404" s="13"/>
      <c r="D1404" s="13"/>
      <c r="E1404" s="13"/>
      <c r="G1404" s="13"/>
    </row>
    <row r="1405" spans="1:7" x14ac:dyDescent="0.2">
      <c r="A1405" s="13"/>
      <c r="B1405" s="13"/>
      <c r="D1405" s="13"/>
      <c r="E1405" s="13"/>
      <c r="G1405" s="13"/>
    </row>
    <row r="1406" spans="1:7" x14ac:dyDescent="0.2">
      <c r="A1406" s="13"/>
    </row>
    <row r="1407" spans="1:7" x14ac:dyDescent="0.2">
      <c r="A1407" s="13"/>
    </row>
    <row r="1408" spans="1:7" x14ac:dyDescent="0.2">
      <c r="A1408" s="13"/>
    </row>
    <row r="1409" spans="1:7" x14ac:dyDescent="0.2">
      <c r="A1409" s="13"/>
      <c r="B1409" s="13"/>
      <c r="D1409" s="13"/>
      <c r="E1409" s="13"/>
      <c r="G1409" s="13"/>
    </row>
    <row r="1410" spans="1:7" x14ac:dyDescent="0.2">
      <c r="A1410" s="13"/>
      <c r="B1410" s="13"/>
      <c r="D1410" s="13"/>
      <c r="E1410" s="13"/>
      <c r="G1410" s="13"/>
    </row>
    <row r="1411" spans="1:7" x14ac:dyDescent="0.2">
      <c r="A1411" s="13"/>
      <c r="B1411" s="13"/>
      <c r="D1411" s="13"/>
      <c r="E1411" s="13"/>
      <c r="G1411" s="13"/>
    </row>
    <row r="1412" spans="1:7" x14ac:dyDescent="0.2">
      <c r="A1412" s="13"/>
      <c r="B1412" s="13"/>
      <c r="D1412" s="13"/>
      <c r="E1412" s="13"/>
      <c r="G1412" s="13"/>
    </row>
    <row r="1413" spans="1:7" x14ac:dyDescent="0.2">
      <c r="A1413" s="13"/>
      <c r="B1413" s="13"/>
      <c r="D1413" s="13"/>
      <c r="E1413" s="13"/>
      <c r="G1413" s="13"/>
    </row>
    <row r="1414" spans="1:7" x14ac:dyDescent="0.2">
      <c r="A1414" s="13"/>
      <c r="B1414" s="13"/>
      <c r="D1414" s="13"/>
      <c r="E1414" s="13"/>
      <c r="G1414" s="13"/>
    </row>
    <row r="1415" spans="1:7" x14ac:dyDescent="0.2">
      <c r="A1415" s="13"/>
      <c r="B1415" s="13"/>
      <c r="D1415" s="13"/>
      <c r="E1415" s="13"/>
      <c r="G1415" s="13"/>
    </row>
    <row r="1416" spans="1:7" x14ac:dyDescent="0.2">
      <c r="A1416" s="13"/>
      <c r="B1416" s="13"/>
      <c r="D1416" s="13"/>
      <c r="E1416" s="13"/>
      <c r="G1416" s="13"/>
    </row>
    <row r="1417" spans="1:7" x14ac:dyDescent="0.2">
      <c r="A1417" s="13"/>
      <c r="B1417" s="13"/>
      <c r="D1417" s="13"/>
      <c r="E1417" s="13"/>
      <c r="G1417" s="13"/>
    </row>
    <row r="1418" spans="1:7" x14ac:dyDescent="0.2">
      <c r="A1418" s="13"/>
      <c r="B1418" s="13"/>
      <c r="D1418" s="13"/>
      <c r="E1418" s="13"/>
      <c r="G1418" s="13"/>
    </row>
    <row r="1419" spans="1:7" x14ac:dyDescent="0.2">
      <c r="A1419" s="13"/>
      <c r="B1419" s="13"/>
      <c r="D1419" s="13"/>
      <c r="E1419" s="13"/>
      <c r="G1419" s="13"/>
    </row>
    <row r="1420" spans="1:7" x14ac:dyDescent="0.2">
      <c r="A1420" s="13"/>
      <c r="B1420" s="13"/>
      <c r="D1420" s="13"/>
      <c r="E1420" s="13"/>
      <c r="G1420" s="13"/>
    </row>
    <row r="1421" spans="1:7" x14ac:dyDescent="0.2">
      <c r="A1421" s="13"/>
    </row>
    <row r="1422" spans="1:7" x14ac:dyDescent="0.2">
      <c r="A1422" s="13"/>
    </row>
    <row r="1423" spans="1:7" x14ac:dyDescent="0.2">
      <c r="A1423" s="13"/>
    </row>
    <row r="1424" spans="1:7" x14ac:dyDescent="0.2">
      <c r="A1424" s="13"/>
      <c r="B1424" s="13"/>
      <c r="D1424" s="13"/>
      <c r="E1424" s="13"/>
      <c r="G1424" s="13"/>
    </row>
    <row r="1425" spans="1:7" x14ac:dyDescent="0.2">
      <c r="A1425" s="13"/>
      <c r="B1425" s="13"/>
      <c r="D1425" s="13"/>
      <c r="E1425" s="13"/>
      <c r="G1425" s="13"/>
    </row>
    <row r="1426" spans="1:7" x14ac:dyDescent="0.2">
      <c r="A1426" s="13"/>
      <c r="B1426" s="13"/>
      <c r="D1426" s="13"/>
      <c r="E1426" s="13"/>
      <c r="G1426" s="13"/>
    </row>
    <row r="1427" spans="1:7" x14ac:dyDescent="0.2">
      <c r="A1427" s="13"/>
      <c r="B1427" s="13"/>
      <c r="D1427" s="13"/>
      <c r="E1427" s="13"/>
      <c r="G1427" s="13"/>
    </row>
    <row r="1428" spans="1:7" x14ac:dyDescent="0.2">
      <c r="A1428" s="13"/>
      <c r="B1428" s="13"/>
      <c r="D1428" s="13"/>
      <c r="E1428" s="13"/>
      <c r="G1428" s="13"/>
    </row>
    <row r="1429" spans="1:7" x14ac:dyDescent="0.2">
      <c r="A1429" s="13"/>
      <c r="B1429" s="13"/>
      <c r="D1429" s="13"/>
      <c r="E1429" s="13"/>
      <c r="G1429" s="13"/>
    </row>
    <row r="1430" spans="1:7" x14ac:dyDescent="0.2">
      <c r="A1430" s="13"/>
      <c r="B1430" s="13"/>
      <c r="D1430" s="13"/>
      <c r="E1430" s="13"/>
      <c r="G1430" s="13"/>
    </row>
    <row r="1431" spans="1:7" x14ac:dyDescent="0.2">
      <c r="A1431" s="13"/>
      <c r="B1431" s="13"/>
      <c r="D1431" s="13"/>
      <c r="E1431" s="13"/>
      <c r="G1431" s="13"/>
    </row>
    <row r="1432" spans="1:7" x14ac:dyDescent="0.2">
      <c r="A1432" s="13"/>
      <c r="B1432" s="13"/>
      <c r="D1432" s="13"/>
      <c r="E1432" s="13"/>
      <c r="G1432" s="13"/>
    </row>
    <row r="1433" spans="1:7" x14ac:dyDescent="0.2">
      <c r="A1433" s="13"/>
      <c r="B1433" s="13"/>
      <c r="D1433" s="13"/>
      <c r="E1433" s="13"/>
      <c r="G1433" s="13"/>
    </row>
    <row r="1434" spans="1:7" x14ac:dyDescent="0.2">
      <c r="A1434" s="13"/>
      <c r="B1434" s="13"/>
      <c r="D1434" s="13"/>
      <c r="E1434" s="13"/>
      <c r="G1434" s="13"/>
    </row>
    <row r="1435" spans="1:7" x14ac:dyDescent="0.2">
      <c r="A1435" s="13"/>
      <c r="B1435" s="13"/>
      <c r="D1435" s="13"/>
      <c r="E1435" s="13"/>
      <c r="G1435" s="13"/>
    </row>
    <row r="1436" spans="1:7" x14ac:dyDescent="0.2">
      <c r="A1436" s="13"/>
    </row>
    <row r="1437" spans="1:7" x14ac:dyDescent="0.2">
      <c r="A1437" s="13"/>
    </row>
    <row r="1438" spans="1:7" x14ac:dyDescent="0.2">
      <c r="A1438" s="13"/>
      <c r="B1438" s="13"/>
    </row>
    <row r="1439" spans="1:7" x14ac:dyDescent="0.2">
      <c r="A1439" s="13"/>
      <c r="B1439" s="13"/>
    </row>
    <row r="1440" spans="1:7" x14ac:dyDescent="0.2">
      <c r="A1440" s="13"/>
    </row>
    <row r="1441" spans="1:6" x14ac:dyDescent="0.2">
      <c r="A1441" s="13"/>
      <c r="B1441" s="13"/>
    </row>
    <row r="1442" spans="1:6" x14ac:dyDescent="0.2">
      <c r="A1442" s="13"/>
      <c r="B1442" s="13"/>
    </row>
    <row r="1443" spans="1:6" x14ac:dyDescent="0.2">
      <c r="A1443" s="13"/>
    </row>
    <row r="1444" spans="1:6" x14ac:dyDescent="0.2">
      <c r="A1444" s="13"/>
      <c r="C1444" s="13"/>
    </row>
    <row r="1445" spans="1:6" x14ac:dyDescent="0.2">
      <c r="A1445" s="13"/>
    </row>
    <row r="1446" spans="1:6" x14ac:dyDescent="0.2">
      <c r="A1446" s="13"/>
    </row>
    <row r="1447" spans="1:6" x14ac:dyDescent="0.2">
      <c r="A1447" s="13"/>
      <c r="C1447" s="13"/>
    </row>
    <row r="1448" spans="1:6" x14ac:dyDescent="0.2">
      <c r="A1448" s="13"/>
    </row>
    <row r="1449" spans="1:6" x14ac:dyDescent="0.2">
      <c r="A1449" s="13"/>
    </row>
    <row r="1450" spans="1:6" x14ac:dyDescent="0.2">
      <c r="A1450" s="13"/>
      <c r="B1450" s="13"/>
      <c r="D1450" s="13"/>
      <c r="E1450" s="13"/>
      <c r="F1450" s="13"/>
    </row>
    <row r="1451" spans="1:6" x14ac:dyDescent="0.2">
      <c r="A1451" s="13"/>
      <c r="B1451" s="13"/>
      <c r="D1451" s="13"/>
      <c r="E1451" s="13"/>
      <c r="F1451" s="13"/>
    </row>
    <row r="1452" spans="1:6" x14ac:dyDescent="0.2">
      <c r="A1452" s="13"/>
      <c r="B1452" s="13"/>
      <c r="D1452" s="13"/>
      <c r="E1452" s="13"/>
      <c r="F1452" s="13"/>
    </row>
    <row r="1453" spans="1:6" x14ac:dyDescent="0.2">
      <c r="A1453" s="13"/>
      <c r="B1453" s="13"/>
      <c r="D1453" s="13"/>
      <c r="E1453" s="13"/>
      <c r="F1453" s="13"/>
    </row>
    <row r="1454" spans="1:6" x14ac:dyDescent="0.2">
      <c r="A1454" s="13"/>
      <c r="B1454" s="13"/>
      <c r="D1454" s="13"/>
      <c r="E1454" s="13"/>
      <c r="F1454" s="13"/>
    </row>
    <row r="1455" spans="1:6" x14ac:dyDescent="0.2">
      <c r="A1455" s="13"/>
      <c r="B1455" s="13"/>
      <c r="D1455" s="13"/>
      <c r="E1455" s="13"/>
      <c r="F1455" s="13"/>
    </row>
    <row r="1456" spans="1:6" x14ac:dyDescent="0.2">
      <c r="A1456" s="13"/>
      <c r="B1456" s="13"/>
      <c r="D1456" s="13"/>
      <c r="E1456" s="13"/>
      <c r="F1456" s="13"/>
    </row>
    <row r="1457" spans="1:7" x14ac:dyDescent="0.2">
      <c r="A1457" s="13"/>
      <c r="B1457" s="13"/>
      <c r="D1457" s="13"/>
      <c r="E1457" s="13"/>
      <c r="F1457" s="13"/>
    </row>
    <row r="1458" spans="1:7" x14ac:dyDescent="0.2">
      <c r="A1458" s="13"/>
      <c r="B1458" s="13"/>
      <c r="D1458" s="13"/>
      <c r="E1458" s="13"/>
      <c r="F1458" s="13"/>
    </row>
    <row r="1459" spans="1:7" x14ac:dyDescent="0.2">
      <c r="A1459" s="13"/>
      <c r="B1459" s="13"/>
      <c r="D1459" s="13"/>
      <c r="E1459" s="13"/>
      <c r="F1459" s="13"/>
    </row>
    <row r="1460" spans="1:7" x14ac:dyDescent="0.2">
      <c r="A1460" s="13"/>
      <c r="B1460" s="13"/>
      <c r="D1460" s="13"/>
      <c r="E1460" s="13"/>
      <c r="F1460" s="13"/>
    </row>
    <row r="1461" spans="1:7" x14ac:dyDescent="0.2">
      <c r="A1461" s="13"/>
      <c r="B1461" s="13"/>
      <c r="D1461" s="13"/>
      <c r="E1461" s="13"/>
      <c r="F1461" s="13"/>
    </row>
    <row r="1462" spans="1:7" x14ac:dyDescent="0.2">
      <c r="A1462" s="13"/>
      <c r="B1462" s="13"/>
      <c r="D1462" s="13"/>
      <c r="E1462" s="13"/>
      <c r="F1462" s="13"/>
    </row>
    <row r="1463" spans="1:7" x14ac:dyDescent="0.2">
      <c r="A1463" s="13"/>
      <c r="B1463" s="13"/>
      <c r="D1463" s="13"/>
      <c r="E1463" s="13"/>
      <c r="G1463" s="13"/>
    </row>
    <row r="1464" spans="1:7" x14ac:dyDescent="0.2">
      <c r="A1464" s="13"/>
      <c r="B1464" s="13"/>
      <c r="D1464" s="13"/>
      <c r="E1464" s="13"/>
      <c r="G1464" s="13"/>
    </row>
    <row r="1465" spans="1:7" x14ac:dyDescent="0.2">
      <c r="A1465" s="13"/>
      <c r="B1465" s="13"/>
      <c r="D1465" s="13"/>
      <c r="E1465" s="13"/>
      <c r="G1465" s="13"/>
    </row>
    <row r="1466" spans="1:7" x14ac:dyDescent="0.2">
      <c r="A1466" s="13"/>
      <c r="B1466" s="13"/>
      <c r="D1466" s="13"/>
      <c r="E1466" s="13"/>
      <c r="G1466" s="13"/>
    </row>
    <row r="1467" spans="1:7" x14ac:dyDescent="0.2">
      <c r="A1467" s="13"/>
      <c r="B1467" s="13"/>
      <c r="D1467" s="13"/>
      <c r="E1467" s="13"/>
      <c r="G1467" s="13"/>
    </row>
    <row r="1468" spans="1:7" x14ac:dyDescent="0.2">
      <c r="A1468" s="13"/>
      <c r="B1468" s="13"/>
      <c r="D1468" s="13"/>
      <c r="E1468" s="13"/>
      <c r="G1468" s="13"/>
    </row>
    <row r="1469" spans="1:7" x14ac:dyDescent="0.2">
      <c r="A1469" s="13"/>
      <c r="B1469" s="13"/>
      <c r="D1469" s="13"/>
      <c r="E1469" s="13"/>
      <c r="G1469" s="13"/>
    </row>
    <row r="1470" spans="1:7" x14ac:dyDescent="0.2">
      <c r="A1470" s="13"/>
      <c r="B1470" s="13"/>
      <c r="D1470" s="13"/>
      <c r="E1470" s="13"/>
      <c r="G1470" s="13"/>
    </row>
    <row r="1471" spans="1:7" x14ac:dyDescent="0.2">
      <c r="A1471" s="13"/>
      <c r="B1471" s="13"/>
      <c r="D1471" s="13"/>
      <c r="E1471" s="13"/>
      <c r="G1471" s="13"/>
    </row>
    <row r="1472" spans="1:7" x14ac:dyDescent="0.2">
      <c r="A1472" s="13"/>
      <c r="B1472" s="13"/>
      <c r="D1472" s="13"/>
      <c r="E1472" s="13"/>
      <c r="G1472" s="13"/>
    </row>
    <row r="1473" spans="1:7" x14ac:dyDescent="0.2">
      <c r="A1473" s="13"/>
      <c r="B1473" s="13"/>
      <c r="D1473" s="13"/>
      <c r="E1473" s="13"/>
      <c r="G1473" s="13"/>
    </row>
    <row r="1474" spans="1:7" x14ac:dyDescent="0.2">
      <c r="A1474" s="13"/>
      <c r="B1474" s="13"/>
      <c r="D1474" s="13"/>
      <c r="E1474" s="13"/>
      <c r="G1474" s="13"/>
    </row>
    <row r="1475" spans="1:7" x14ac:dyDescent="0.2">
      <c r="A1475" s="13"/>
      <c r="B1475" s="13"/>
      <c r="D1475" s="13"/>
      <c r="E1475" s="13"/>
      <c r="G1475" s="13"/>
    </row>
    <row r="1476" spans="1:7" x14ac:dyDescent="0.2">
      <c r="A1476" s="13"/>
      <c r="B1476" s="13"/>
      <c r="D1476" s="13"/>
      <c r="E1476" s="13"/>
      <c r="G1476" s="13"/>
    </row>
    <row r="1477" spans="1:7" x14ac:dyDescent="0.2">
      <c r="A1477" s="13"/>
      <c r="B1477" s="13"/>
      <c r="D1477" s="13"/>
      <c r="E1477" s="13"/>
      <c r="F1477" s="13"/>
    </row>
    <row r="1478" spans="1:7" x14ac:dyDescent="0.2">
      <c r="A1478" s="13"/>
      <c r="B1478" s="13"/>
      <c r="D1478" s="13"/>
      <c r="E1478" s="13"/>
      <c r="F1478" s="13"/>
    </row>
    <row r="1479" spans="1:7" x14ac:dyDescent="0.2">
      <c r="A1479" s="13"/>
      <c r="B1479" s="13"/>
      <c r="D1479" s="13"/>
      <c r="E1479" s="13"/>
      <c r="F1479" s="13"/>
    </row>
    <row r="1480" spans="1:7" x14ac:dyDescent="0.2">
      <c r="A1480" s="13"/>
      <c r="B1480" s="13"/>
      <c r="D1480" s="13"/>
      <c r="E1480" s="13"/>
      <c r="F1480" s="13"/>
    </row>
    <row r="1481" spans="1:7" x14ac:dyDescent="0.2">
      <c r="A1481" s="13"/>
      <c r="B1481" s="13"/>
      <c r="D1481" s="13"/>
      <c r="E1481" s="13"/>
      <c r="F1481" s="13"/>
    </row>
    <row r="1482" spans="1:7" x14ac:dyDescent="0.2">
      <c r="A1482" s="13"/>
      <c r="B1482" s="13"/>
      <c r="D1482" s="13"/>
      <c r="E1482" s="13"/>
      <c r="F1482" s="13"/>
    </row>
    <row r="1483" spans="1:7" x14ac:dyDescent="0.2">
      <c r="A1483" s="13"/>
      <c r="B1483" s="13"/>
      <c r="D1483" s="13"/>
      <c r="E1483" s="13"/>
      <c r="F1483" s="13"/>
    </row>
    <row r="1484" spans="1:7" x14ac:dyDescent="0.2">
      <c r="A1484" s="13"/>
      <c r="B1484" s="13"/>
      <c r="D1484" s="13"/>
      <c r="E1484" s="13"/>
      <c r="F1484" s="13"/>
    </row>
    <row r="1485" spans="1:7" x14ac:dyDescent="0.2">
      <c r="A1485" s="13"/>
      <c r="B1485" s="13"/>
      <c r="D1485" s="13"/>
      <c r="E1485" s="13"/>
      <c r="F1485" s="13"/>
    </row>
    <row r="1486" spans="1:7" x14ac:dyDescent="0.2">
      <c r="A1486" s="13"/>
      <c r="B1486" s="13"/>
      <c r="D1486" s="13"/>
      <c r="E1486" s="13"/>
      <c r="F1486" s="13"/>
    </row>
    <row r="1487" spans="1:7" x14ac:dyDescent="0.2">
      <c r="A1487" s="13"/>
      <c r="B1487" s="13"/>
      <c r="D1487" s="13"/>
      <c r="E1487" s="13"/>
      <c r="F1487" s="13"/>
    </row>
    <row r="1488" spans="1:7" x14ac:dyDescent="0.2">
      <c r="A1488" s="13"/>
      <c r="B1488" s="13"/>
      <c r="D1488" s="13"/>
      <c r="E1488" s="13"/>
      <c r="F1488" s="13"/>
    </row>
    <row r="1489" spans="1:7" x14ac:dyDescent="0.2">
      <c r="A1489" s="13"/>
      <c r="B1489" s="13"/>
      <c r="D1489" s="13"/>
      <c r="E1489" s="13"/>
      <c r="F1489" s="13"/>
    </row>
    <row r="1490" spans="1:7" x14ac:dyDescent="0.2">
      <c r="A1490" s="13"/>
      <c r="B1490" s="13"/>
      <c r="D1490" s="13"/>
      <c r="E1490" s="13"/>
      <c r="F1490" s="13"/>
    </row>
    <row r="1491" spans="1:7" x14ac:dyDescent="0.2">
      <c r="A1491" s="13"/>
      <c r="B1491" s="13"/>
      <c r="D1491" s="13"/>
      <c r="E1491" s="13"/>
      <c r="F1491" s="13"/>
    </row>
    <row r="1492" spans="1:7" x14ac:dyDescent="0.2">
      <c r="A1492" s="13"/>
      <c r="B1492" s="13"/>
      <c r="D1492" s="13"/>
      <c r="E1492" s="13"/>
      <c r="F1492" s="13"/>
    </row>
    <row r="1493" spans="1:7" x14ac:dyDescent="0.2">
      <c r="A1493" s="13"/>
      <c r="B1493" s="13"/>
      <c r="D1493" s="13"/>
      <c r="E1493" s="13"/>
      <c r="F1493" s="13"/>
    </row>
    <row r="1494" spans="1:7" x14ac:dyDescent="0.2">
      <c r="A1494" s="13"/>
      <c r="B1494" s="13"/>
      <c r="D1494" s="13"/>
      <c r="E1494" s="13"/>
      <c r="F1494" s="13"/>
    </row>
    <row r="1495" spans="1:7" x14ac:dyDescent="0.2">
      <c r="A1495" s="13"/>
      <c r="B1495" s="13"/>
      <c r="D1495" s="13"/>
      <c r="E1495" s="13"/>
      <c r="G1495" s="13"/>
    </row>
    <row r="1496" spans="1:7" x14ac:dyDescent="0.2">
      <c r="A1496" s="13"/>
      <c r="B1496" s="13"/>
      <c r="D1496" s="13"/>
      <c r="E1496" s="13"/>
      <c r="G1496" s="13"/>
    </row>
    <row r="1497" spans="1:7" x14ac:dyDescent="0.2">
      <c r="A1497" s="13"/>
      <c r="B1497" s="13"/>
      <c r="D1497" s="13"/>
      <c r="E1497" s="13"/>
      <c r="G1497" s="13"/>
    </row>
    <row r="1498" spans="1:7" x14ac:dyDescent="0.2">
      <c r="A1498" s="13"/>
      <c r="B1498" s="13"/>
      <c r="D1498" s="13"/>
      <c r="E1498" s="13"/>
      <c r="G1498" s="13"/>
    </row>
    <row r="1499" spans="1:7" x14ac:dyDescent="0.2">
      <c r="A1499" s="13"/>
      <c r="B1499" s="13"/>
      <c r="D1499" s="13"/>
      <c r="E1499" s="13"/>
      <c r="G1499" s="13"/>
    </row>
    <row r="1500" spans="1:7" x14ac:dyDescent="0.2">
      <c r="A1500" s="13"/>
      <c r="B1500" s="13"/>
      <c r="D1500" s="13"/>
      <c r="E1500" s="13"/>
      <c r="G1500" s="13"/>
    </row>
    <row r="1501" spans="1:7" x14ac:dyDescent="0.2">
      <c r="A1501" s="13"/>
      <c r="B1501" s="13"/>
      <c r="D1501" s="13"/>
      <c r="E1501" s="13"/>
      <c r="G1501" s="13"/>
    </row>
    <row r="1502" spans="1:7" x14ac:dyDescent="0.2">
      <c r="A1502" s="13"/>
      <c r="B1502" s="13"/>
      <c r="D1502" s="13"/>
      <c r="E1502" s="13"/>
      <c r="F1502" s="13"/>
    </row>
    <row r="1503" spans="1:7" x14ac:dyDescent="0.2">
      <c r="A1503" s="13"/>
      <c r="B1503" s="13"/>
      <c r="D1503" s="13"/>
      <c r="E1503" s="13"/>
      <c r="F1503" s="13"/>
    </row>
    <row r="1504" spans="1:7" x14ac:dyDescent="0.2">
      <c r="A1504" s="13"/>
      <c r="B1504" s="13"/>
      <c r="D1504" s="13"/>
      <c r="E1504" s="13"/>
      <c r="F1504" s="13"/>
    </row>
    <row r="1505" spans="1:7" x14ac:dyDescent="0.2">
      <c r="A1505" s="13"/>
      <c r="B1505" s="13"/>
      <c r="D1505" s="13"/>
      <c r="E1505" s="13"/>
      <c r="F1505" s="13"/>
    </row>
    <row r="1506" spans="1:7" x14ac:dyDescent="0.2">
      <c r="A1506" s="13"/>
      <c r="B1506" s="13"/>
      <c r="D1506" s="13"/>
      <c r="E1506" s="13"/>
      <c r="F1506" s="13"/>
    </row>
    <row r="1507" spans="1:7" x14ac:dyDescent="0.2">
      <c r="A1507" s="13"/>
      <c r="B1507" s="13"/>
      <c r="D1507" s="13"/>
      <c r="E1507" s="13"/>
      <c r="F1507" s="13"/>
    </row>
    <row r="1508" spans="1:7" x14ac:dyDescent="0.2">
      <c r="A1508" s="13"/>
      <c r="B1508" s="13"/>
      <c r="D1508" s="13"/>
      <c r="E1508" s="13"/>
      <c r="F1508" s="13"/>
    </row>
    <row r="1509" spans="1:7" x14ac:dyDescent="0.2">
      <c r="A1509" s="13"/>
      <c r="B1509" s="13"/>
      <c r="D1509" s="13"/>
      <c r="E1509" s="13"/>
      <c r="F1509" s="13"/>
    </row>
    <row r="1510" spans="1:7" x14ac:dyDescent="0.2">
      <c r="A1510" s="13"/>
      <c r="B1510" s="13"/>
      <c r="D1510" s="13"/>
      <c r="E1510" s="13"/>
      <c r="F1510" s="13"/>
    </row>
    <row r="1511" spans="1:7" x14ac:dyDescent="0.2">
      <c r="A1511" s="13"/>
      <c r="B1511" s="13"/>
      <c r="D1511" s="13"/>
      <c r="E1511" s="13"/>
      <c r="F1511" s="13"/>
    </row>
    <row r="1512" spans="1:7" x14ac:dyDescent="0.2">
      <c r="A1512" s="13"/>
      <c r="B1512" s="13"/>
      <c r="D1512" s="13"/>
      <c r="E1512" s="13"/>
      <c r="F1512" s="13"/>
    </row>
    <row r="1513" spans="1:7" x14ac:dyDescent="0.2">
      <c r="A1513" s="13"/>
      <c r="B1513" s="13"/>
      <c r="D1513" s="13"/>
      <c r="E1513" s="13"/>
      <c r="F1513" s="13"/>
    </row>
    <row r="1514" spans="1:7" x14ac:dyDescent="0.2">
      <c r="A1514" s="13"/>
      <c r="B1514" s="13"/>
      <c r="D1514" s="13"/>
      <c r="E1514" s="13"/>
      <c r="F1514" s="13"/>
    </row>
    <row r="1515" spans="1:7" x14ac:dyDescent="0.2">
      <c r="A1515" s="13"/>
      <c r="B1515" s="13"/>
      <c r="D1515" s="13"/>
      <c r="E1515" s="13"/>
      <c r="F1515" s="13"/>
    </row>
    <row r="1516" spans="1:7" x14ac:dyDescent="0.2">
      <c r="A1516" s="13"/>
      <c r="B1516" s="13"/>
      <c r="D1516" s="13"/>
      <c r="E1516" s="13"/>
      <c r="G1516" s="13"/>
    </row>
    <row r="1517" spans="1:7" x14ac:dyDescent="0.2">
      <c r="A1517" s="13"/>
      <c r="B1517" s="13"/>
      <c r="D1517" s="13"/>
      <c r="E1517" s="13"/>
      <c r="G1517" s="13"/>
    </row>
    <row r="1518" spans="1:7" x14ac:dyDescent="0.2">
      <c r="A1518" s="13"/>
      <c r="B1518" s="13"/>
      <c r="D1518" s="13"/>
      <c r="E1518" s="13"/>
      <c r="G1518" s="13"/>
    </row>
    <row r="1519" spans="1:7" x14ac:dyDescent="0.2">
      <c r="A1519" s="13"/>
      <c r="B1519" s="13"/>
      <c r="D1519" s="13"/>
      <c r="E1519" s="13"/>
      <c r="G1519" s="13"/>
    </row>
    <row r="1520" spans="1:7" x14ac:dyDescent="0.2">
      <c r="A1520" s="13"/>
      <c r="B1520" s="13"/>
      <c r="D1520" s="13"/>
      <c r="E1520" s="13"/>
      <c r="G1520" s="13"/>
    </row>
    <row r="1521" spans="1:7" x14ac:dyDescent="0.2">
      <c r="A1521" s="13"/>
      <c r="B1521" s="13"/>
      <c r="D1521" s="13"/>
      <c r="E1521" s="13"/>
      <c r="G1521" s="13"/>
    </row>
    <row r="1522" spans="1:7" x14ac:dyDescent="0.2">
      <c r="A1522" s="13"/>
      <c r="B1522" s="13"/>
      <c r="D1522" s="13"/>
      <c r="E1522" s="13"/>
      <c r="G1522" s="13"/>
    </row>
    <row r="1523" spans="1:7" x14ac:dyDescent="0.2">
      <c r="A1523" s="13"/>
      <c r="B1523" s="13"/>
      <c r="D1523" s="13"/>
      <c r="E1523" s="13"/>
      <c r="G1523" s="13"/>
    </row>
    <row r="1524" spans="1:7" x14ac:dyDescent="0.2">
      <c r="A1524" s="13"/>
      <c r="B1524" s="13"/>
      <c r="D1524" s="13"/>
      <c r="E1524" s="13"/>
      <c r="G1524" s="13"/>
    </row>
    <row r="1525" spans="1:7" x14ac:dyDescent="0.2">
      <c r="A1525" s="13"/>
      <c r="B1525" s="13"/>
      <c r="D1525" s="13"/>
      <c r="E1525" s="13"/>
      <c r="G1525" s="13"/>
    </row>
    <row r="1526" spans="1:7" x14ac:dyDescent="0.2">
      <c r="A1526" s="13"/>
      <c r="B1526" s="13"/>
      <c r="D1526" s="13"/>
      <c r="E1526" s="13"/>
      <c r="G1526" s="13"/>
    </row>
    <row r="1527" spans="1:7" x14ac:dyDescent="0.2">
      <c r="A1527" s="13"/>
      <c r="B1527" s="13"/>
      <c r="D1527" s="13"/>
      <c r="E1527" s="13"/>
      <c r="G1527" s="13"/>
    </row>
    <row r="1528" spans="1:7" x14ac:dyDescent="0.2">
      <c r="A1528" s="13"/>
      <c r="B1528" s="13"/>
      <c r="D1528" s="13"/>
      <c r="E1528" s="13"/>
      <c r="G1528" s="13"/>
    </row>
    <row r="1529" spans="1:7" x14ac:dyDescent="0.2">
      <c r="A1529" s="13"/>
      <c r="B1529" s="13"/>
      <c r="D1529" s="13"/>
      <c r="E1529" s="13"/>
      <c r="G1529" s="13"/>
    </row>
    <row r="1530" spans="1:7" x14ac:dyDescent="0.2">
      <c r="A1530" s="13"/>
      <c r="B1530" s="13"/>
      <c r="D1530" s="13"/>
      <c r="E1530" s="13"/>
      <c r="G1530" s="13"/>
    </row>
    <row r="1531" spans="1:7" x14ac:dyDescent="0.2">
      <c r="A1531" s="13"/>
      <c r="B1531" s="13"/>
      <c r="D1531" s="13"/>
      <c r="E1531" s="13"/>
      <c r="G1531" s="13"/>
    </row>
    <row r="1532" spans="1:7" x14ac:dyDescent="0.2">
      <c r="A1532" s="13"/>
      <c r="B1532" s="13"/>
      <c r="D1532" s="13"/>
      <c r="E1532" s="13"/>
      <c r="G1532" s="13"/>
    </row>
    <row r="1533" spans="1:7" x14ac:dyDescent="0.2">
      <c r="A1533" s="13"/>
      <c r="B1533" s="13"/>
      <c r="D1533" s="13"/>
      <c r="E1533" s="13"/>
      <c r="F1533" s="13"/>
    </row>
    <row r="1534" spans="1:7" x14ac:dyDescent="0.2">
      <c r="A1534" s="13"/>
      <c r="B1534" s="13"/>
      <c r="D1534" s="13"/>
      <c r="E1534" s="13"/>
      <c r="F1534" s="13"/>
    </row>
    <row r="1535" spans="1:7" x14ac:dyDescent="0.2">
      <c r="A1535" s="13"/>
      <c r="B1535" s="13"/>
      <c r="D1535" s="13"/>
      <c r="E1535" s="13"/>
      <c r="F1535" s="13"/>
    </row>
    <row r="1536" spans="1:7" x14ac:dyDescent="0.2">
      <c r="A1536" s="13"/>
      <c r="B1536" s="13"/>
      <c r="D1536" s="13"/>
      <c r="E1536" s="13"/>
      <c r="F1536" s="13"/>
    </row>
    <row r="1537" spans="1:7" x14ac:dyDescent="0.2">
      <c r="A1537" s="13"/>
      <c r="B1537" s="13"/>
      <c r="D1537" s="13"/>
      <c r="E1537" s="13"/>
      <c r="F1537" s="13"/>
    </row>
    <row r="1538" spans="1:7" x14ac:dyDescent="0.2">
      <c r="A1538" s="13"/>
      <c r="B1538" s="13"/>
      <c r="D1538" s="13"/>
      <c r="E1538" s="13"/>
      <c r="F1538" s="13"/>
    </row>
    <row r="1539" spans="1:7" x14ac:dyDescent="0.2">
      <c r="A1539" s="13"/>
      <c r="B1539" s="13"/>
      <c r="D1539" s="13"/>
      <c r="E1539" s="13"/>
      <c r="F1539" s="13"/>
    </row>
    <row r="1540" spans="1:7" x14ac:dyDescent="0.2">
      <c r="A1540" s="13"/>
      <c r="B1540" s="13"/>
      <c r="D1540" s="13"/>
      <c r="E1540" s="13"/>
      <c r="F1540" s="13"/>
    </row>
    <row r="1541" spans="1:7" x14ac:dyDescent="0.2">
      <c r="A1541" s="13"/>
      <c r="B1541" s="13"/>
      <c r="D1541" s="13"/>
      <c r="E1541" s="13"/>
      <c r="F1541" s="13"/>
    </row>
    <row r="1542" spans="1:7" x14ac:dyDescent="0.2">
      <c r="A1542" s="13"/>
      <c r="B1542" s="13"/>
      <c r="D1542" s="13"/>
      <c r="E1542" s="13"/>
      <c r="F1542" s="13"/>
    </row>
    <row r="1543" spans="1:7" x14ac:dyDescent="0.2">
      <c r="A1543" s="13"/>
      <c r="B1543" s="13"/>
      <c r="D1543" s="13"/>
      <c r="E1543" s="13"/>
      <c r="F1543" s="13"/>
    </row>
    <row r="1544" spans="1:7" x14ac:dyDescent="0.2">
      <c r="A1544" s="13"/>
      <c r="B1544" s="13"/>
      <c r="D1544" s="13"/>
      <c r="E1544" s="13"/>
      <c r="F1544" s="13"/>
    </row>
    <row r="1545" spans="1:7" x14ac:dyDescent="0.2">
      <c r="A1545" s="13"/>
      <c r="B1545" s="13"/>
      <c r="D1545" s="13"/>
      <c r="E1545" s="13"/>
      <c r="F1545" s="13"/>
    </row>
    <row r="1546" spans="1:7" x14ac:dyDescent="0.2">
      <c r="A1546" s="13"/>
      <c r="B1546" s="13"/>
      <c r="D1546" s="13"/>
      <c r="E1546" s="13"/>
      <c r="F1546" s="13"/>
    </row>
    <row r="1547" spans="1:7" x14ac:dyDescent="0.2">
      <c r="A1547" s="13"/>
      <c r="B1547" s="13"/>
      <c r="D1547" s="13"/>
      <c r="E1547" s="13"/>
      <c r="F1547" s="13"/>
    </row>
    <row r="1548" spans="1:7" x14ac:dyDescent="0.2">
      <c r="A1548" s="13"/>
      <c r="B1548" s="13"/>
      <c r="D1548" s="13"/>
      <c r="E1548" s="13"/>
      <c r="F1548" s="13"/>
    </row>
    <row r="1549" spans="1:7" x14ac:dyDescent="0.2">
      <c r="A1549" s="13"/>
      <c r="B1549" s="13"/>
      <c r="D1549" s="13"/>
      <c r="E1549" s="13"/>
      <c r="F1549" s="13"/>
    </row>
    <row r="1550" spans="1:7" x14ac:dyDescent="0.2">
      <c r="A1550" s="13"/>
      <c r="B1550" s="13"/>
      <c r="D1550" s="13"/>
      <c r="E1550" s="13"/>
      <c r="F1550" s="13"/>
    </row>
    <row r="1551" spans="1:7" x14ac:dyDescent="0.2">
      <c r="A1551" s="13"/>
      <c r="B1551" s="13"/>
      <c r="D1551" s="13"/>
      <c r="E1551" s="13"/>
      <c r="F1551" s="13"/>
    </row>
    <row r="1552" spans="1:7" x14ac:dyDescent="0.2">
      <c r="A1552" s="13"/>
      <c r="B1552" s="13"/>
      <c r="D1552" s="13"/>
      <c r="E1552" s="13"/>
      <c r="G1552" s="13"/>
    </row>
    <row r="1553" spans="1:7" x14ac:dyDescent="0.2">
      <c r="A1553" s="13"/>
      <c r="B1553" s="13"/>
      <c r="D1553" s="13"/>
      <c r="E1553" s="13"/>
      <c r="G1553" s="13"/>
    </row>
    <row r="1554" spans="1:7" x14ac:dyDescent="0.2">
      <c r="A1554" s="13"/>
      <c r="B1554" s="13"/>
      <c r="D1554" s="13"/>
      <c r="E1554" s="13"/>
      <c r="G1554" s="13"/>
    </row>
    <row r="1555" spans="1:7" x14ac:dyDescent="0.2">
      <c r="A1555" s="13"/>
      <c r="B1555" s="13"/>
      <c r="D1555" s="13"/>
      <c r="E1555" s="13"/>
      <c r="G1555" s="13"/>
    </row>
    <row r="1556" spans="1:7" x14ac:dyDescent="0.2">
      <c r="A1556" s="13"/>
      <c r="B1556" s="13"/>
      <c r="D1556" s="13"/>
      <c r="E1556" s="13"/>
      <c r="G1556" s="13"/>
    </row>
    <row r="1557" spans="1:7" x14ac:dyDescent="0.2">
      <c r="A1557" s="13"/>
      <c r="B1557" s="13"/>
      <c r="D1557" s="13"/>
      <c r="E1557" s="13"/>
      <c r="G1557" s="13"/>
    </row>
    <row r="1558" spans="1:7" x14ac:dyDescent="0.2">
      <c r="A1558" s="13"/>
      <c r="B1558" s="13"/>
      <c r="D1558" s="13"/>
      <c r="E1558" s="13"/>
      <c r="G1558" s="13"/>
    </row>
    <row r="1559" spans="1:7" x14ac:dyDescent="0.2">
      <c r="A1559" s="13"/>
      <c r="B1559" s="13"/>
      <c r="D1559" s="13"/>
      <c r="E1559" s="13"/>
      <c r="F1559" s="13"/>
    </row>
    <row r="1560" spans="1:7" x14ac:dyDescent="0.2">
      <c r="A1560" s="13"/>
      <c r="B1560" s="13"/>
      <c r="D1560" s="13"/>
      <c r="E1560" s="13"/>
      <c r="F1560" s="13"/>
    </row>
    <row r="1561" spans="1:7" x14ac:dyDescent="0.2">
      <c r="A1561" s="13"/>
      <c r="B1561" s="13"/>
      <c r="D1561" s="13"/>
      <c r="E1561" s="13"/>
      <c r="F1561" s="13"/>
    </row>
    <row r="1562" spans="1:7" x14ac:dyDescent="0.2">
      <c r="A1562" s="13"/>
      <c r="B1562" s="13"/>
      <c r="D1562" s="13"/>
      <c r="E1562" s="13"/>
      <c r="F1562" s="13"/>
    </row>
    <row r="1563" spans="1:7" x14ac:dyDescent="0.2">
      <c r="A1563" s="13"/>
      <c r="B1563" s="13"/>
      <c r="D1563" s="13"/>
      <c r="E1563" s="13"/>
      <c r="F1563" s="13"/>
    </row>
    <row r="1564" spans="1:7" x14ac:dyDescent="0.2">
      <c r="A1564" s="13"/>
      <c r="B1564" s="13"/>
      <c r="D1564" s="13"/>
      <c r="E1564" s="13"/>
      <c r="F1564" s="13"/>
    </row>
    <row r="1565" spans="1:7" x14ac:dyDescent="0.2">
      <c r="A1565" s="13"/>
      <c r="B1565" s="13"/>
      <c r="D1565" s="13"/>
      <c r="E1565" s="13"/>
      <c r="F1565" s="13"/>
    </row>
    <row r="1566" spans="1:7" x14ac:dyDescent="0.2">
      <c r="A1566" s="13"/>
      <c r="B1566" s="13"/>
      <c r="D1566" s="13"/>
      <c r="E1566" s="13"/>
      <c r="G1566" s="13"/>
    </row>
    <row r="1567" spans="1:7" x14ac:dyDescent="0.2">
      <c r="A1567" s="13"/>
      <c r="B1567" s="13"/>
      <c r="D1567" s="13"/>
      <c r="E1567" s="13"/>
      <c r="G1567" s="13"/>
    </row>
    <row r="1568" spans="1:7" x14ac:dyDescent="0.2">
      <c r="A1568" s="13"/>
      <c r="B1568" s="13"/>
      <c r="D1568" s="13"/>
      <c r="E1568" s="13"/>
      <c r="G1568" s="13"/>
    </row>
    <row r="1569" spans="1:7" x14ac:dyDescent="0.2">
      <c r="A1569" s="13"/>
      <c r="B1569" s="13"/>
      <c r="D1569" s="13"/>
      <c r="E1569" s="13"/>
      <c r="G1569" s="13"/>
    </row>
    <row r="1570" spans="1:7" x14ac:dyDescent="0.2">
      <c r="A1570" s="13"/>
      <c r="B1570" s="13"/>
      <c r="D1570" s="13"/>
      <c r="E1570" s="13"/>
      <c r="G1570" s="13"/>
    </row>
    <row r="1571" spans="1:7" x14ac:dyDescent="0.2">
      <c r="A1571" s="13"/>
      <c r="B1571" s="13"/>
      <c r="D1571" s="13"/>
      <c r="E1571" s="13"/>
      <c r="G1571" s="13"/>
    </row>
    <row r="1572" spans="1:7" x14ac:dyDescent="0.2">
      <c r="A1572" s="13"/>
      <c r="B1572" s="13"/>
      <c r="D1572" s="13"/>
      <c r="E1572" s="13"/>
      <c r="F1572" s="13"/>
    </row>
    <row r="1573" spans="1:7" x14ac:dyDescent="0.2">
      <c r="A1573" s="13"/>
      <c r="B1573" s="13"/>
      <c r="D1573" s="13"/>
      <c r="E1573" s="13"/>
      <c r="F1573" s="13"/>
    </row>
    <row r="1574" spans="1:7" x14ac:dyDescent="0.2">
      <c r="A1574" s="13"/>
      <c r="B1574" s="13"/>
      <c r="D1574" s="13"/>
      <c r="E1574" s="13"/>
      <c r="F1574" s="13"/>
    </row>
    <row r="1575" spans="1:7" x14ac:dyDescent="0.2">
      <c r="A1575" s="13"/>
      <c r="B1575" s="13"/>
      <c r="D1575" s="13"/>
      <c r="E1575" s="13"/>
      <c r="F1575" s="13"/>
    </row>
    <row r="1576" spans="1:7" x14ac:dyDescent="0.2">
      <c r="A1576" s="13"/>
      <c r="B1576" s="13"/>
      <c r="D1576" s="13"/>
      <c r="E1576" s="13"/>
      <c r="F1576" s="13"/>
    </row>
    <row r="1577" spans="1:7" x14ac:dyDescent="0.2">
      <c r="A1577" s="13"/>
      <c r="B1577" s="13"/>
      <c r="D1577" s="13"/>
      <c r="E1577" s="13"/>
      <c r="F1577" s="13"/>
    </row>
    <row r="1578" spans="1:7" x14ac:dyDescent="0.2">
      <c r="A1578" s="13"/>
      <c r="B1578" s="13"/>
      <c r="D1578" s="13"/>
      <c r="E1578" s="13"/>
      <c r="F1578" s="13"/>
    </row>
    <row r="1579" spans="1:7" x14ac:dyDescent="0.2">
      <c r="A1579" s="13"/>
      <c r="B1579" s="13"/>
      <c r="D1579" s="13"/>
      <c r="E1579" s="13"/>
      <c r="F1579" s="13"/>
    </row>
    <row r="1580" spans="1:7" x14ac:dyDescent="0.2">
      <c r="A1580" s="13"/>
      <c r="B1580" s="13"/>
      <c r="D1580" s="13"/>
      <c r="E1580" s="13"/>
      <c r="G1580" s="13"/>
    </row>
    <row r="1581" spans="1:7" x14ac:dyDescent="0.2">
      <c r="A1581" s="13"/>
      <c r="B1581" s="13"/>
      <c r="D1581" s="13"/>
      <c r="E1581" s="13"/>
      <c r="G1581" s="13"/>
    </row>
    <row r="1582" spans="1:7" x14ac:dyDescent="0.2">
      <c r="A1582" s="13"/>
      <c r="B1582" s="13"/>
      <c r="D1582" s="13"/>
      <c r="E1582" s="13"/>
      <c r="G1582" s="13"/>
    </row>
    <row r="1583" spans="1:7" x14ac:dyDescent="0.2">
      <c r="A1583" s="13"/>
      <c r="B1583" s="13"/>
      <c r="D1583" s="13"/>
      <c r="E1583" s="13"/>
      <c r="G1583" s="13"/>
    </row>
    <row r="1584" spans="1:7" x14ac:dyDescent="0.2">
      <c r="A1584" s="13"/>
      <c r="B1584" s="13"/>
      <c r="D1584" s="13"/>
      <c r="E1584" s="13"/>
      <c r="G1584" s="13"/>
    </row>
    <row r="1585" spans="1:7" x14ac:dyDescent="0.2">
      <c r="A1585" s="13"/>
      <c r="B1585" s="13"/>
      <c r="D1585" s="13"/>
      <c r="E1585" s="13"/>
      <c r="F1585" s="13"/>
    </row>
    <row r="1586" spans="1:7" x14ac:dyDescent="0.2">
      <c r="A1586" s="13"/>
      <c r="B1586" s="13"/>
      <c r="D1586" s="13"/>
      <c r="E1586" s="13"/>
      <c r="F1586" s="13"/>
    </row>
    <row r="1587" spans="1:7" x14ac:dyDescent="0.2">
      <c r="A1587" s="13"/>
      <c r="B1587" s="13"/>
      <c r="D1587" s="13"/>
      <c r="E1587" s="13"/>
      <c r="F1587" s="13"/>
    </row>
    <row r="1588" spans="1:7" x14ac:dyDescent="0.2">
      <c r="A1588" s="13"/>
      <c r="B1588" s="13"/>
      <c r="D1588" s="13"/>
      <c r="E1588" s="13"/>
      <c r="F1588" s="13"/>
    </row>
    <row r="1589" spans="1:7" x14ac:dyDescent="0.2">
      <c r="A1589" s="13"/>
      <c r="B1589" s="13"/>
      <c r="D1589" s="13"/>
      <c r="E1589" s="13"/>
      <c r="F1589" s="13"/>
    </row>
    <row r="1590" spans="1:7" x14ac:dyDescent="0.2">
      <c r="A1590" s="13"/>
      <c r="B1590" s="13"/>
      <c r="D1590" s="13"/>
      <c r="E1590" s="13"/>
      <c r="F1590" s="13"/>
    </row>
    <row r="1591" spans="1:7" x14ac:dyDescent="0.2">
      <c r="A1591" s="13"/>
      <c r="B1591" s="13"/>
      <c r="D1591" s="13"/>
      <c r="E1591" s="13"/>
      <c r="G1591" s="13"/>
    </row>
    <row r="1592" spans="1:7" x14ac:dyDescent="0.2">
      <c r="A1592" s="13"/>
      <c r="B1592" s="13"/>
      <c r="D1592" s="13"/>
      <c r="E1592" s="13"/>
      <c r="G1592" s="13"/>
    </row>
    <row r="1593" spans="1:7" x14ac:dyDescent="0.2">
      <c r="A1593" s="13"/>
      <c r="B1593" s="13"/>
      <c r="D1593" s="13"/>
      <c r="E1593" s="13"/>
      <c r="G1593" s="13"/>
    </row>
    <row r="1594" spans="1:7" x14ac:dyDescent="0.2">
      <c r="A1594" s="13"/>
      <c r="B1594" s="13"/>
      <c r="D1594" s="13"/>
      <c r="E1594" s="13"/>
      <c r="G1594" s="13"/>
    </row>
    <row r="1595" spans="1:7" x14ac:dyDescent="0.2">
      <c r="A1595" s="13"/>
      <c r="B1595" s="13"/>
      <c r="D1595" s="13"/>
      <c r="E1595" s="13"/>
      <c r="G1595" s="13"/>
    </row>
    <row r="1596" spans="1:7" x14ac:dyDescent="0.2">
      <c r="A1596" s="13"/>
      <c r="B1596" s="13"/>
      <c r="D1596" s="13"/>
      <c r="E1596" s="13"/>
      <c r="G1596" s="13"/>
    </row>
    <row r="1597" spans="1:7" x14ac:dyDescent="0.2">
      <c r="A1597" s="13"/>
      <c r="B1597" s="13"/>
      <c r="D1597" s="13"/>
      <c r="E1597" s="13"/>
      <c r="F1597" s="13"/>
    </row>
    <row r="1598" spans="1:7" x14ac:dyDescent="0.2">
      <c r="A1598" s="13"/>
      <c r="B1598" s="13"/>
      <c r="D1598" s="13"/>
      <c r="E1598" s="13"/>
      <c r="F1598" s="13"/>
    </row>
    <row r="1599" spans="1:7" x14ac:dyDescent="0.2">
      <c r="A1599" s="13"/>
      <c r="B1599" s="13"/>
      <c r="D1599" s="13"/>
      <c r="E1599" s="13"/>
      <c r="F1599" s="13"/>
    </row>
    <row r="1600" spans="1:7" x14ac:dyDescent="0.2">
      <c r="A1600" s="13"/>
      <c r="B1600" s="13"/>
      <c r="D1600" s="13"/>
      <c r="E1600" s="13"/>
      <c r="F1600" s="13"/>
    </row>
    <row r="1601" spans="1:7" x14ac:dyDescent="0.2">
      <c r="A1601" s="13"/>
      <c r="B1601" s="13"/>
      <c r="D1601" s="13"/>
      <c r="E1601" s="13"/>
      <c r="F1601" s="13"/>
    </row>
    <row r="1602" spans="1:7" x14ac:dyDescent="0.2">
      <c r="A1602" s="13"/>
      <c r="B1602" s="13"/>
      <c r="D1602" s="13"/>
      <c r="E1602" s="13"/>
      <c r="F1602" s="13"/>
    </row>
    <row r="1603" spans="1:7" x14ac:dyDescent="0.2">
      <c r="A1603" s="13"/>
      <c r="B1603" s="13"/>
      <c r="D1603" s="13"/>
      <c r="E1603" s="13"/>
      <c r="G1603" s="13"/>
    </row>
    <row r="1604" spans="1:7" x14ac:dyDescent="0.2">
      <c r="A1604" s="13"/>
      <c r="B1604" s="13"/>
      <c r="D1604" s="13"/>
      <c r="E1604" s="13"/>
      <c r="F1604" s="13"/>
    </row>
    <row r="1605" spans="1:7" x14ac:dyDescent="0.2">
      <c r="A1605" s="13"/>
      <c r="B1605" s="13"/>
      <c r="D1605" s="13"/>
      <c r="E1605" s="13"/>
      <c r="F1605" s="13"/>
    </row>
    <row r="1606" spans="1:7" x14ac:dyDescent="0.2">
      <c r="A1606" s="13"/>
      <c r="B1606" s="13"/>
      <c r="D1606" s="13"/>
      <c r="E1606" s="13"/>
      <c r="F1606" s="13"/>
    </row>
    <row r="1607" spans="1:7" x14ac:dyDescent="0.2">
      <c r="A1607" s="13"/>
      <c r="B1607" s="13"/>
      <c r="D1607" s="13"/>
      <c r="E1607" s="13"/>
      <c r="F1607" s="13"/>
    </row>
    <row r="1608" spans="1:7" x14ac:dyDescent="0.2">
      <c r="A1608" s="13"/>
      <c r="B1608" s="13"/>
      <c r="D1608" s="13"/>
      <c r="E1608" s="13"/>
      <c r="F1608" s="13"/>
    </row>
    <row r="1609" spans="1:7" x14ac:dyDescent="0.2">
      <c r="A1609" s="13"/>
      <c r="B1609" s="13"/>
      <c r="D1609" s="13"/>
      <c r="E1609" s="13"/>
      <c r="F1609" s="13"/>
    </row>
    <row r="1610" spans="1:7" x14ac:dyDescent="0.2">
      <c r="A1610" s="13"/>
      <c r="B1610" s="13"/>
      <c r="D1610" s="13"/>
      <c r="E1610" s="13"/>
      <c r="G1610" s="13"/>
    </row>
    <row r="1611" spans="1:7" x14ac:dyDescent="0.2">
      <c r="A1611" s="13"/>
      <c r="B1611" s="13"/>
      <c r="D1611" s="13"/>
      <c r="E1611" s="13"/>
      <c r="G1611" s="13"/>
    </row>
    <row r="1612" spans="1:7" x14ac:dyDescent="0.2">
      <c r="A1612" s="13"/>
      <c r="B1612" s="13"/>
      <c r="D1612" s="13"/>
      <c r="E1612" s="13"/>
      <c r="G1612" s="13"/>
    </row>
    <row r="1613" spans="1:7" x14ac:dyDescent="0.2">
      <c r="A1613" s="13"/>
      <c r="B1613" s="13"/>
      <c r="D1613" s="13"/>
      <c r="E1613" s="13"/>
      <c r="G1613" s="13"/>
    </row>
    <row r="1614" spans="1:7" x14ac:dyDescent="0.2">
      <c r="A1614" s="13"/>
      <c r="B1614" s="13"/>
      <c r="D1614" s="13"/>
      <c r="E1614" s="13"/>
      <c r="G1614" s="13"/>
    </row>
    <row r="1615" spans="1:7" x14ac:dyDescent="0.2">
      <c r="A1615" s="13"/>
      <c r="B1615" s="13"/>
      <c r="D1615" s="13"/>
      <c r="E1615" s="13"/>
      <c r="G1615" s="13"/>
    </row>
    <row r="1616" spans="1:7" x14ac:dyDescent="0.2">
      <c r="A1616" s="13"/>
      <c r="B1616" s="13"/>
      <c r="D1616" s="13"/>
      <c r="E1616" s="13"/>
      <c r="G1616" s="13"/>
    </row>
    <row r="1617" spans="1:7" x14ac:dyDescent="0.2">
      <c r="A1617" s="13"/>
      <c r="B1617" s="13"/>
      <c r="D1617" s="13"/>
      <c r="E1617" s="13"/>
      <c r="F1617" s="13"/>
    </row>
    <row r="1618" spans="1:7" x14ac:dyDescent="0.2">
      <c r="A1618" s="13"/>
      <c r="B1618" s="13"/>
      <c r="D1618" s="13"/>
      <c r="E1618" s="13"/>
      <c r="F1618" s="13"/>
    </row>
    <row r="1619" spans="1:7" x14ac:dyDescent="0.2">
      <c r="A1619" s="13"/>
      <c r="B1619" s="13"/>
      <c r="D1619" s="13"/>
      <c r="E1619" s="13"/>
      <c r="F1619" s="13"/>
    </row>
    <row r="1620" spans="1:7" x14ac:dyDescent="0.2">
      <c r="A1620" s="13"/>
      <c r="B1620" s="13"/>
      <c r="D1620" s="13"/>
      <c r="E1620" s="13"/>
      <c r="F1620" s="13"/>
    </row>
    <row r="1621" spans="1:7" x14ac:dyDescent="0.2">
      <c r="A1621" s="13"/>
      <c r="B1621" s="13"/>
      <c r="D1621" s="13"/>
      <c r="E1621" s="13"/>
      <c r="F1621" s="13"/>
    </row>
    <row r="1622" spans="1:7" x14ac:dyDescent="0.2">
      <c r="A1622" s="13"/>
      <c r="B1622" s="13"/>
      <c r="D1622" s="13"/>
      <c r="E1622" s="13"/>
      <c r="G1622" s="13"/>
    </row>
    <row r="1623" spans="1:7" x14ac:dyDescent="0.2">
      <c r="A1623" s="13"/>
      <c r="B1623" s="13"/>
      <c r="D1623" s="13"/>
      <c r="E1623" s="13"/>
      <c r="G1623" s="13"/>
    </row>
    <row r="1624" spans="1:7" x14ac:dyDescent="0.2">
      <c r="A1624" s="13"/>
      <c r="B1624" s="13"/>
      <c r="D1624" s="13"/>
      <c r="E1624" s="13"/>
      <c r="F1624" s="13"/>
    </row>
    <row r="1625" spans="1:7" x14ac:dyDescent="0.2">
      <c r="A1625" s="13"/>
      <c r="B1625" s="13"/>
      <c r="D1625" s="13"/>
      <c r="E1625" s="13"/>
      <c r="F1625" s="13"/>
    </row>
    <row r="1626" spans="1:7" x14ac:dyDescent="0.2">
      <c r="A1626" s="13"/>
      <c r="B1626" s="13"/>
      <c r="D1626" s="13"/>
      <c r="E1626" s="13"/>
      <c r="F1626" s="13"/>
    </row>
    <row r="1627" spans="1:7" x14ac:dyDescent="0.2">
      <c r="A1627" s="13"/>
      <c r="B1627" s="13"/>
      <c r="D1627" s="13"/>
      <c r="E1627" s="13"/>
      <c r="F1627" s="13"/>
    </row>
    <row r="1628" spans="1:7" x14ac:dyDescent="0.2">
      <c r="A1628" s="13"/>
      <c r="B1628" s="13"/>
      <c r="D1628" s="13"/>
      <c r="E1628" s="13"/>
      <c r="G1628" s="13"/>
    </row>
    <row r="1629" spans="1:7" x14ac:dyDescent="0.2">
      <c r="A1629" s="13"/>
      <c r="B1629" s="13"/>
      <c r="D1629" s="13"/>
      <c r="E1629" s="13"/>
      <c r="G1629" s="13"/>
    </row>
    <row r="1630" spans="1:7" x14ac:dyDescent="0.2">
      <c r="A1630" s="13"/>
      <c r="B1630" s="13"/>
      <c r="D1630" s="13"/>
      <c r="E1630" s="13"/>
      <c r="F1630" s="13"/>
    </row>
    <row r="1631" spans="1:7" x14ac:dyDescent="0.2">
      <c r="A1631" s="13"/>
      <c r="B1631" s="13"/>
      <c r="D1631" s="13"/>
      <c r="E1631" s="13"/>
      <c r="F1631" s="13"/>
    </row>
    <row r="1632" spans="1:7" x14ac:dyDescent="0.2">
      <c r="A1632" s="13"/>
      <c r="B1632" s="13"/>
      <c r="D1632" s="13"/>
      <c r="E1632" s="13"/>
      <c r="F1632" s="13"/>
    </row>
    <row r="1633" spans="1:7" x14ac:dyDescent="0.2">
      <c r="A1633" s="13"/>
      <c r="B1633" s="13"/>
      <c r="D1633" s="13"/>
      <c r="E1633" s="13"/>
      <c r="G1633" s="13"/>
    </row>
    <row r="1634" spans="1:7" x14ac:dyDescent="0.2">
      <c r="A1634" s="13"/>
      <c r="B1634" s="13"/>
      <c r="D1634" s="13"/>
      <c r="E1634" s="13"/>
      <c r="G1634" s="13"/>
    </row>
    <row r="1635" spans="1:7" x14ac:dyDescent="0.2">
      <c r="A1635" s="13"/>
      <c r="B1635" s="13"/>
      <c r="D1635" s="13"/>
      <c r="E1635" s="13"/>
      <c r="G1635" s="13"/>
    </row>
    <row r="1636" spans="1:7" x14ac:dyDescent="0.2">
      <c r="A1636" s="13"/>
      <c r="B1636" s="13"/>
      <c r="D1636" s="13"/>
      <c r="E1636" s="13"/>
      <c r="G1636" s="13"/>
    </row>
    <row r="1637" spans="1:7" x14ac:dyDescent="0.2">
      <c r="A1637" s="13"/>
      <c r="B1637" s="13"/>
      <c r="D1637" s="13"/>
      <c r="E1637" s="13"/>
      <c r="F1637" s="13"/>
    </row>
    <row r="1638" spans="1:7" x14ac:dyDescent="0.2">
      <c r="A1638" s="13"/>
      <c r="B1638" s="13"/>
      <c r="D1638" s="13"/>
      <c r="E1638" s="13"/>
      <c r="F1638" s="13"/>
    </row>
    <row r="1639" spans="1:7" x14ac:dyDescent="0.2">
      <c r="A1639" s="13"/>
      <c r="B1639" s="13"/>
      <c r="D1639" s="13"/>
      <c r="E1639" s="13"/>
      <c r="F1639" s="13"/>
    </row>
    <row r="1640" spans="1:7" x14ac:dyDescent="0.2">
      <c r="A1640" s="13"/>
      <c r="B1640" s="13"/>
      <c r="D1640" s="13"/>
      <c r="E1640" s="13"/>
      <c r="G1640" s="13"/>
    </row>
    <row r="1641" spans="1:7" x14ac:dyDescent="0.2">
      <c r="A1641" s="13"/>
      <c r="B1641" s="13"/>
      <c r="D1641" s="13"/>
      <c r="E1641" s="13"/>
      <c r="G1641" s="13"/>
    </row>
    <row r="1642" spans="1:7" x14ac:dyDescent="0.2">
      <c r="A1642" s="13"/>
      <c r="B1642" s="13"/>
      <c r="D1642" s="13"/>
      <c r="E1642" s="13"/>
      <c r="G1642" s="13"/>
    </row>
    <row r="1643" spans="1:7" x14ac:dyDescent="0.2">
      <c r="A1643" s="13"/>
      <c r="B1643" s="13"/>
      <c r="D1643" s="13"/>
      <c r="E1643" s="13"/>
      <c r="F1643" s="13"/>
    </row>
    <row r="1644" spans="1:7" x14ac:dyDescent="0.2">
      <c r="A1644" s="13"/>
      <c r="B1644" s="13"/>
      <c r="D1644" s="13"/>
      <c r="E1644" s="13"/>
      <c r="F1644" s="13"/>
    </row>
    <row r="1645" spans="1:7" x14ac:dyDescent="0.2">
      <c r="A1645" s="13"/>
      <c r="B1645" s="13"/>
      <c r="D1645" s="13"/>
      <c r="E1645" s="13"/>
      <c r="G1645" s="13"/>
    </row>
    <row r="1646" spans="1:7" x14ac:dyDescent="0.2">
      <c r="A1646" s="13"/>
      <c r="B1646" s="13"/>
      <c r="D1646" s="13"/>
      <c r="E1646" s="13"/>
      <c r="F1646" s="13"/>
    </row>
    <row r="1647" spans="1:7" x14ac:dyDescent="0.2">
      <c r="A1647" s="13"/>
      <c r="B1647" s="13"/>
      <c r="D1647" s="13"/>
      <c r="E1647" s="13"/>
      <c r="F1647" s="13"/>
    </row>
    <row r="1648" spans="1:7" x14ac:dyDescent="0.2">
      <c r="A1648" s="13"/>
      <c r="B1648" s="13"/>
      <c r="D1648" s="13"/>
      <c r="E1648" s="13"/>
      <c r="G1648" s="13"/>
    </row>
    <row r="1649" spans="1:7" x14ac:dyDescent="0.2">
      <c r="A1649" s="13"/>
      <c r="B1649" s="13"/>
      <c r="D1649" s="13"/>
      <c r="E1649" s="13"/>
      <c r="G1649" s="13"/>
    </row>
    <row r="1650" spans="1:7" x14ac:dyDescent="0.2">
      <c r="A1650" s="13"/>
      <c r="B1650" s="13"/>
      <c r="D1650" s="13"/>
      <c r="E1650" s="13"/>
      <c r="F1650" s="13"/>
    </row>
    <row r="1651" spans="1:7" x14ac:dyDescent="0.2">
      <c r="A1651" s="13"/>
      <c r="B1651" s="13"/>
      <c r="D1651" s="13"/>
      <c r="E1651" s="13"/>
      <c r="F1651" s="13"/>
    </row>
    <row r="1652" spans="1:7" x14ac:dyDescent="0.2">
      <c r="A1652" s="13"/>
      <c r="B1652" s="13"/>
      <c r="D1652" s="13"/>
      <c r="E1652" s="13"/>
      <c r="F1652" s="13"/>
    </row>
    <row r="1653" spans="1:7" x14ac:dyDescent="0.2">
      <c r="A1653" s="13"/>
      <c r="B1653" s="13"/>
      <c r="D1653" s="13"/>
      <c r="E1653" s="13"/>
      <c r="F1653" s="13"/>
    </row>
    <row r="1654" spans="1:7" x14ac:dyDescent="0.2">
      <c r="A1654" s="13"/>
      <c r="B1654" s="13"/>
      <c r="D1654" s="13"/>
      <c r="E1654" s="13"/>
      <c r="G1654" s="13"/>
    </row>
    <row r="1655" spans="1:7" x14ac:dyDescent="0.2">
      <c r="A1655" s="13"/>
      <c r="B1655" s="13"/>
      <c r="D1655" s="13"/>
      <c r="E1655" s="13"/>
      <c r="G1655" s="13"/>
    </row>
    <row r="1656" spans="1:7" x14ac:dyDescent="0.2">
      <c r="A1656" s="13"/>
      <c r="B1656" s="13"/>
      <c r="D1656" s="13"/>
      <c r="E1656" s="13"/>
      <c r="G1656" s="13"/>
    </row>
    <row r="1657" spans="1:7" x14ac:dyDescent="0.2">
      <c r="A1657" s="13"/>
      <c r="B1657" s="13"/>
      <c r="D1657" s="13"/>
      <c r="E1657" s="13"/>
      <c r="G1657" s="13"/>
    </row>
    <row r="1658" spans="1:7" x14ac:dyDescent="0.2">
      <c r="A1658" s="13"/>
      <c r="B1658" s="13"/>
      <c r="D1658" s="13"/>
      <c r="E1658" s="13"/>
      <c r="G1658" s="13"/>
    </row>
    <row r="1659" spans="1:7" x14ac:dyDescent="0.2">
      <c r="A1659" s="13"/>
      <c r="B1659" s="13"/>
      <c r="D1659" s="13"/>
      <c r="E1659" s="13"/>
      <c r="F1659" s="13"/>
    </row>
    <row r="1660" spans="1:7" x14ac:dyDescent="0.2">
      <c r="A1660" s="13"/>
      <c r="B1660" s="13"/>
      <c r="D1660" s="13"/>
      <c r="E1660" s="13"/>
      <c r="F1660" s="13"/>
    </row>
    <row r="1661" spans="1:7" x14ac:dyDescent="0.2">
      <c r="A1661" s="13"/>
      <c r="B1661" s="13"/>
      <c r="D1661" s="13"/>
      <c r="E1661" s="13"/>
      <c r="F1661" s="13"/>
    </row>
    <row r="1662" spans="1:7" x14ac:dyDescent="0.2">
      <c r="A1662" s="13"/>
      <c r="B1662" s="13"/>
      <c r="D1662" s="13"/>
      <c r="E1662" s="13"/>
      <c r="F1662" s="13"/>
    </row>
    <row r="1663" spans="1:7" x14ac:dyDescent="0.2">
      <c r="A1663" s="13"/>
      <c r="B1663" s="13"/>
      <c r="D1663" s="13"/>
      <c r="E1663" s="13"/>
      <c r="F1663" s="13"/>
    </row>
    <row r="1664" spans="1:7" x14ac:dyDescent="0.2">
      <c r="A1664" s="13"/>
      <c r="B1664" s="13"/>
      <c r="D1664" s="13"/>
      <c r="E1664" s="13"/>
      <c r="G1664" s="13"/>
    </row>
    <row r="1665" spans="1:7" x14ac:dyDescent="0.2">
      <c r="A1665" s="13"/>
      <c r="B1665" s="13"/>
      <c r="D1665" s="13"/>
      <c r="E1665" s="13"/>
      <c r="F1665" s="13"/>
    </row>
    <row r="1666" spans="1:7" x14ac:dyDescent="0.2">
      <c r="A1666" s="13"/>
      <c r="B1666" s="13"/>
      <c r="D1666" s="13"/>
      <c r="E1666" s="13"/>
      <c r="F1666" s="13"/>
    </row>
    <row r="1667" spans="1:7" x14ac:dyDescent="0.2">
      <c r="A1667" s="13"/>
      <c r="B1667" s="13"/>
      <c r="D1667" s="13"/>
      <c r="E1667" s="13"/>
      <c r="G1667" s="13"/>
    </row>
    <row r="1668" spans="1:7" x14ac:dyDescent="0.2">
      <c r="A1668" s="13"/>
      <c r="B1668" s="13"/>
      <c r="D1668" s="13"/>
      <c r="E1668" s="13"/>
      <c r="G1668" s="13"/>
    </row>
    <row r="1669" spans="1:7" x14ac:dyDescent="0.2">
      <c r="A1669" s="13"/>
      <c r="B1669" s="13"/>
      <c r="D1669" s="13"/>
      <c r="E1669" s="13"/>
      <c r="G1669" s="13"/>
    </row>
    <row r="1670" spans="1:7" x14ac:dyDescent="0.2">
      <c r="A1670" s="13"/>
      <c r="B1670" s="13"/>
      <c r="D1670" s="13"/>
      <c r="E1670" s="13"/>
      <c r="F1670" s="13"/>
    </row>
    <row r="1671" spans="1:7" x14ac:dyDescent="0.2">
      <c r="A1671" s="13"/>
      <c r="B1671" s="13"/>
      <c r="D1671" s="13"/>
      <c r="E1671" s="13"/>
      <c r="F1671" s="13"/>
    </row>
    <row r="1672" spans="1:7" x14ac:dyDescent="0.2">
      <c r="A1672" s="13"/>
      <c r="B1672" s="13"/>
      <c r="D1672" s="13"/>
      <c r="E1672" s="13"/>
      <c r="F1672" s="13"/>
    </row>
    <row r="1673" spans="1:7" x14ac:dyDescent="0.2">
      <c r="A1673" s="13"/>
      <c r="B1673" s="13"/>
      <c r="D1673" s="13"/>
      <c r="E1673" s="13"/>
      <c r="F1673" s="13"/>
    </row>
    <row r="1674" spans="1:7" x14ac:dyDescent="0.2">
      <c r="A1674" s="13"/>
      <c r="B1674" s="13"/>
      <c r="D1674" s="13"/>
      <c r="E1674" s="13"/>
      <c r="F1674" s="13"/>
    </row>
    <row r="1675" spans="1:7" x14ac:dyDescent="0.2">
      <c r="A1675" s="13"/>
      <c r="B1675" s="13"/>
      <c r="D1675" s="13"/>
      <c r="E1675" s="13"/>
      <c r="F1675" s="13"/>
    </row>
    <row r="1676" spans="1:7" x14ac:dyDescent="0.2">
      <c r="A1676" s="13"/>
      <c r="B1676" s="13"/>
      <c r="D1676" s="13"/>
      <c r="E1676" s="13"/>
      <c r="F1676" s="13"/>
    </row>
    <row r="1677" spans="1:7" x14ac:dyDescent="0.2">
      <c r="A1677" s="13"/>
      <c r="B1677" s="13"/>
      <c r="D1677" s="13"/>
      <c r="E1677" s="13"/>
      <c r="F1677" s="13"/>
    </row>
    <row r="1678" spans="1:7" x14ac:dyDescent="0.2">
      <c r="A1678" s="13"/>
      <c r="B1678" s="13"/>
      <c r="D1678" s="13"/>
      <c r="E1678" s="13"/>
      <c r="F1678" s="13"/>
    </row>
    <row r="1679" spans="1:7" x14ac:dyDescent="0.2">
      <c r="A1679" s="13"/>
      <c r="B1679" s="13"/>
      <c r="D1679" s="13"/>
      <c r="E1679" s="13"/>
      <c r="F1679" s="13"/>
    </row>
    <row r="1680" spans="1:7" x14ac:dyDescent="0.2">
      <c r="A1680" s="13"/>
      <c r="B1680" s="13"/>
      <c r="D1680" s="13"/>
      <c r="E1680" s="13"/>
      <c r="F1680" s="13"/>
    </row>
    <row r="1681" spans="1:7" x14ac:dyDescent="0.2">
      <c r="A1681" s="13"/>
      <c r="B1681" s="13"/>
      <c r="D1681" s="13"/>
      <c r="E1681" s="13"/>
      <c r="F1681" s="13"/>
    </row>
    <row r="1682" spans="1:7" x14ac:dyDescent="0.2">
      <c r="A1682" s="13"/>
      <c r="B1682" s="13"/>
      <c r="D1682" s="13"/>
      <c r="E1682" s="13"/>
      <c r="G1682" s="13"/>
    </row>
    <row r="1683" spans="1:7" x14ac:dyDescent="0.2">
      <c r="A1683" s="13"/>
      <c r="B1683" s="13"/>
      <c r="D1683" s="13"/>
      <c r="E1683" s="13"/>
      <c r="G1683" s="13"/>
    </row>
    <row r="1684" spans="1:7" x14ac:dyDescent="0.2">
      <c r="A1684" s="13"/>
      <c r="B1684" s="13"/>
      <c r="D1684" s="13"/>
      <c r="E1684" s="13"/>
      <c r="G1684" s="13"/>
    </row>
    <row r="1685" spans="1:7" x14ac:dyDescent="0.2">
      <c r="A1685" s="13"/>
      <c r="B1685" s="13"/>
      <c r="D1685" s="13"/>
      <c r="E1685" s="13"/>
      <c r="G1685" s="13"/>
    </row>
    <row r="1686" spans="1:7" x14ac:dyDescent="0.2">
      <c r="A1686" s="13"/>
      <c r="B1686" s="13"/>
      <c r="D1686" s="13"/>
      <c r="E1686" s="13"/>
      <c r="G1686" s="13"/>
    </row>
    <row r="1687" spans="1:7" x14ac:dyDescent="0.2">
      <c r="A1687" s="13"/>
      <c r="B1687" s="13"/>
      <c r="D1687" s="13"/>
      <c r="E1687" s="13"/>
      <c r="G1687" s="13"/>
    </row>
    <row r="1688" spans="1:7" x14ac:dyDescent="0.2">
      <c r="A1688" s="13"/>
      <c r="B1688" s="13"/>
      <c r="D1688" s="13"/>
      <c r="E1688" s="13"/>
      <c r="F1688" s="13"/>
    </row>
    <row r="1689" spans="1:7" x14ac:dyDescent="0.2">
      <c r="A1689" s="13"/>
      <c r="B1689" s="13"/>
      <c r="D1689" s="13"/>
      <c r="E1689" s="13"/>
      <c r="F1689" s="13"/>
    </row>
    <row r="1690" spans="1:7" x14ac:dyDescent="0.2">
      <c r="A1690" s="13"/>
      <c r="B1690" s="13"/>
      <c r="D1690" s="13"/>
      <c r="E1690" s="13"/>
      <c r="F1690" s="13"/>
    </row>
    <row r="1691" spans="1:7" x14ac:dyDescent="0.2">
      <c r="A1691" s="13"/>
      <c r="B1691" s="13"/>
      <c r="D1691" s="13"/>
      <c r="E1691" s="13"/>
      <c r="G1691" s="13"/>
    </row>
    <row r="1692" spans="1:7" x14ac:dyDescent="0.2">
      <c r="A1692" s="13"/>
      <c r="B1692" s="13"/>
      <c r="D1692" s="13"/>
      <c r="E1692" s="13"/>
      <c r="G1692" s="13"/>
    </row>
    <row r="1693" spans="1:7" x14ac:dyDescent="0.2">
      <c r="A1693" s="13"/>
      <c r="B1693" s="13"/>
      <c r="D1693" s="13"/>
      <c r="E1693" s="13"/>
      <c r="G1693" s="13"/>
    </row>
    <row r="1694" spans="1:7" x14ac:dyDescent="0.2">
      <c r="A1694" s="13"/>
      <c r="B1694" s="13"/>
      <c r="D1694" s="13"/>
      <c r="E1694" s="13"/>
      <c r="G1694" s="13"/>
    </row>
    <row r="1695" spans="1:7" x14ac:dyDescent="0.2">
      <c r="A1695" s="13"/>
      <c r="B1695" s="13"/>
      <c r="D1695" s="13"/>
      <c r="E1695" s="13"/>
      <c r="G1695" s="13"/>
    </row>
    <row r="1696" spans="1:7" x14ac:dyDescent="0.2">
      <c r="A1696" s="13"/>
      <c r="B1696" s="13"/>
      <c r="D1696" s="13"/>
      <c r="E1696" s="13"/>
      <c r="G1696" s="13"/>
    </row>
    <row r="1697" spans="1:7" x14ac:dyDescent="0.2">
      <c r="A1697" s="13"/>
      <c r="B1697" s="13"/>
      <c r="D1697" s="13"/>
      <c r="E1697" s="13"/>
      <c r="F1697" s="13"/>
    </row>
    <row r="1698" spans="1:7" x14ac:dyDescent="0.2">
      <c r="A1698" s="13"/>
      <c r="B1698" s="13"/>
      <c r="D1698" s="13"/>
      <c r="E1698" s="13"/>
      <c r="F1698" s="13"/>
    </row>
    <row r="1699" spans="1:7" x14ac:dyDescent="0.2">
      <c r="A1699" s="13"/>
      <c r="B1699" s="13"/>
      <c r="D1699" s="13"/>
      <c r="E1699" s="13"/>
      <c r="F1699" s="13"/>
    </row>
    <row r="1700" spans="1:7" x14ac:dyDescent="0.2">
      <c r="A1700" s="13"/>
      <c r="B1700" s="13"/>
      <c r="D1700" s="13"/>
      <c r="E1700" s="13"/>
      <c r="F1700" s="13"/>
    </row>
    <row r="1701" spans="1:7" x14ac:dyDescent="0.2">
      <c r="A1701" s="13"/>
      <c r="B1701" s="13"/>
      <c r="D1701" s="13"/>
      <c r="E1701" s="13"/>
      <c r="F1701" s="13"/>
    </row>
    <row r="1702" spans="1:7" x14ac:dyDescent="0.2">
      <c r="A1702" s="13"/>
      <c r="B1702" s="13"/>
      <c r="D1702" s="13"/>
      <c r="E1702" s="13"/>
      <c r="F1702" s="13"/>
    </row>
    <row r="1703" spans="1:7" x14ac:dyDescent="0.2">
      <c r="A1703" s="13"/>
      <c r="B1703" s="13"/>
      <c r="D1703" s="13"/>
      <c r="E1703" s="13"/>
      <c r="F1703" s="13"/>
    </row>
    <row r="1704" spans="1:7" x14ac:dyDescent="0.2">
      <c r="A1704" s="13"/>
      <c r="B1704" s="13"/>
      <c r="D1704" s="13"/>
      <c r="E1704" s="13"/>
      <c r="F1704" s="13"/>
    </row>
    <row r="1705" spans="1:7" x14ac:dyDescent="0.2">
      <c r="A1705" s="13"/>
      <c r="B1705" s="13"/>
      <c r="D1705" s="13"/>
      <c r="E1705" s="13"/>
      <c r="F1705" s="13"/>
    </row>
    <row r="1706" spans="1:7" x14ac:dyDescent="0.2">
      <c r="A1706" s="13"/>
      <c r="B1706" s="13"/>
      <c r="D1706" s="13"/>
      <c r="E1706" s="13"/>
      <c r="F1706" s="13"/>
    </row>
    <row r="1707" spans="1:7" x14ac:dyDescent="0.2">
      <c r="A1707" s="13"/>
      <c r="B1707" s="13"/>
      <c r="D1707" s="13"/>
      <c r="E1707" s="13"/>
      <c r="F1707" s="13"/>
    </row>
    <row r="1708" spans="1:7" x14ac:dyDescent="0.2">
      <c r="A1708" s="13"/>
      <c r="B1708" s="13"/>
      <c r="D1708" s="13"/>
      <c r="E1708" s="13"/>
      <c r="G1708" s="13"/>
    </row>
    <row r="1709" spans="1:7" x14ac:dyDescent="0.2">
      <c r="A1709" s="13"/>
      <c r="B1709" s="13"/>
      <c r="D1709" s="13"/>
      <c r="E1709" s="13"/>
      <c r="G1709" s="13"/>
    </row>
    <row r="1710" spans="1:7" x14ac:dyDescent="0.2">
      <c r="A1710" s="13"/>
      <c r="B1710" s="13"/>
      <c r="D1710" s="13"/>
      <c r="E1710" s="13"/>
      <c r="G1710" s="13"/>
    </row>
    <row r="1711" spans="1:7" x14ac:dyDescent="0.2">
      <c r="A1711" s="13"/>
      <c r="B1711" s="13"/>
      <c r="D1711" s="13"/>
      <c r="E1711" s="13"/>
      <c r="G1711" s="13"/>
    </row>
    <row r="1712" spans="1:7" x14ac:dyDescent="0.2">
      <c r="A1712" s="13"/>
      <c r="B1712" s="13"/>
      <c r="D1712" s="13"/>
      <c r="E1712" s="13"/>
      <c r="G1712" s="13"/>
    </row>
    <row r="1713" spans="1:7" x14ac:dyDescent="0.2">
      <c r="A1713" s="13"/>
      <c r="B1713" s="13"/>
      <c r="D1713" s="13"/>
      <c r="E1713" s="13"/>
      <c r="G1713" s="13"/>
    </row>
    <row r="1714" spans="1:7" x14ac:dyDescent="0.2">
      <c r="A1714" s="13"/>
      <c r="B1714" s="13"/>
      <c r="D1714" s="13"/>
      <c r="E1714" s="13"/>
      <c r="F1714" s="13"/>
    </row>
    <row r="1715" spans="1:7" x14ac:dyDescent="0.2">
      <c r="A1715" s="13"/>
      <c r="B1715" s="13"/>
      <c r="D1715" s="13"/>
      <c r="E1715" s="13"/>
      <c r="F1715" s="13"/>
    </row>
    <row r="1716" spans="1:7" x14ac:dyDescent="0.2">
      <c r="A1716" s="13"/>
      <c r="B1716" s="13"/>
      <c r="D1716" s="13"/>
      <c r="E1716" s="13"/>
      <c r="F1716" s="13"/>
    </row>
    <row r="1717" spans="1:7" x14ac:dyDescent="0.2">
      <c r="A1717" s="13"/>
      <c r="B1717" s="13"/>
      <c r="D1717" s="13"/>
      <c r="E1717" s="13"/>
      <c r="F1717" s="13"/>
    </row>
    <row r="1718" spans="1:7" x14ac:dyDescent="0.2">
      <c r="A1718" s="13"/>
      <c r="B1718" s="13"/>
      <c r="D1718" s="13"/>
      <c r="E1718" s="13"/>
      <c r="F1718" s="13"/>
    </row>
    <row r="1719" spans="1:7" x14ac:dyDescent="0.2">
      <c r="A1719" s="13"/>
      <c r="B1719" s="13"/>
      <c r="D1719" s="13"/>
      <c r="E1719" s="13"/>
      <c r="F1719" s="13"/>
    </row>
    <row r="1720" spans="1:7" x14ac:dyDescent="0.2">
      <c r="A1720" s="13"/>
      <c r="B1720" s="13"/>
      <c r="D1720" s="13"/>
      <c r="E1720" s="13"/>
      <c r="G1720" s="13"/>
    </row>
    <row r="1721" spans="1:7" x14ac:dyDescent="0.2">
      <c r="A1721" s="13"/>
      <c r="B1721" s="13"/>
      <c r="D1721" s="13"/>
      <c r="E1721" s="13"/>
      <c r="G1721" s="13"/>
    </row>
    <row r="1722" spans="1:7" x14ac:dyDescent="0.2">
      <c r="A1722" s="13"/>
      <c r="B1722" s="13"/>
      <c r="D1722" s="13"/>
      <c r="E1722" s="13"/>
      <c r="G1722" s="13"/>
    </row>
    <row r="1723" spans="1:7" x14ac:dyDescent="0.2">
      <c r="A1723" s="13"/>
      <c r="B1723" s="13"/>
      <c r="D1723" s="13"/>
      <c r="E1723" s="13"/>
      <c r="F1723" s="13"/>
    </row>
    <row r="1724" spans="1:7" x14ac:dyDescent="0.2">
      <c r="A1724" s="13"/>
      <c r="B1724" s="13"/>
      <c r="D1724" s="13"/>
      <c r="E1724" s="13"/>
      <c r="G1724" s="13"/>
    </row>
    <row r="1725" spans="1:7" x14ac:dyDescent="0.2">
      <c r="A1725" s="13"/>
      <c r="B1725" s="13"/>
      <c r="D1725" s="13"/>
      <c r="E1725" s="13"/>
      <c r="G1725" s="13"/>
    </row>
    <row r="1726" spans="1:7" x14ac:dyDescent="0.2">
      <c r="A1726" s="13"/>
      <c r="B1726" s="13"/>
      <c r="D1726" s="13"/>
      <c r="E1726" s="13"/>
      <c r="G1726" s="13"/>
    </row>
    <row r="1727" spans="1:7" x14ac:dyDescent="0.2">
      <c r="A1727" s="13"/>
      <c r="B1727" s="13"/>
      <c r="D1727" s="13"/>
      <c r="E1727" s="13"/>
      <c r="F1727" s="13"/>
    </row>
    <row r="1728" spans="1:7" x14ac:dyDescent="0.2">
      <c r="A1728" s="13"/>
      <c r="B1728" s="13"/>
      <c r="D1728" s="13"/>
      <c r="E1728" s="13"/>
      <c r="F1728" s="13"/>
    </row>
    <row r="1729" spans="1:7" x14ac:dyDescent="0.2">
      <c r="A1729" s="13"/>
      <c r="B1729" s="13"/>
      <c r="D1729" s="13"/>
      <c r="E1729" s="13"/>
      <c r="F1729" s="13"/>
    </row>
    <row r="1730" spans="1:7" x14ac:dyDescent="0.2">
      <c r="A1730" s="13"/>
      <c r="B1730" s="13"/>
      <c r="D1730" s="13"/>
      <c r="E1730" s="13"/>
      <c r="F1730" s="13"/>
    </row>
    <row r="1731" spans="1:7" x14ac:dyDescent="0.2">
      <c r="A1731" s="13"/>
      <c r="B1731" s="13"/>
      <c r="D1731" s="13"/>
      <c r="E1731" s="13"/>
      <c r="G1731" s="13"/>
    </row>
    <row r="1732" spans="1:7" x14ac:dyDescent="0.2">
      <c r="A1732" s="13"/>
      <c r="B1732" s="13"/>
      <c r="D1732" s="13"/>
      <c r="E1732" s="13"/>
      <c r="F1732" s="13"/>
    </row>
    <row r="1733" spans="1:7" x14ac:dyDescent="0.2">
      <c r="A1733" s="13"/>
      <c r="B1733" s="13"/>
      <c r="D1733" s="13"/>
      <c r="E1733" s="13"/>
      <c r="G1733" s="13"/>
    </row>
    <row r="1734" spans="1:7" x14ac:dyDescent="0.2">
      <c r="A1734" s="13"/>
      <c r="B1734" s="13"/>
      <c r="D1734" s="13"/>
      <c r="E1734" s="13"/>
      <c r="G1734" s="13"/>
    </row>
    <row r="1735" spans="1:7" x14ac:dyDescent="0.2">
      <c r="A1735" s="13"/>
      <c r="B1735" s="13"/>
      <c r="D1735" s="13"/>
      <c r="E1735" s="13"/>
      <c r="F1735" s="13"/>
    </row>
    <row r="1736" spans="1:7" x14ac:dyDescent="0.2">
      <c r="A1736" s="13"/>
      <c r="B1736" s="13"/>
      <c r="D1736" s="13"/>
      <c r="E1736" s="13"/>
      <c r="F1736" s="13"/>
    </row>
    <row r="1737" spans="1:7" x14ac:dyDescent="0.2">
      <c r="A1737" s="13"/>
      <c r="B1737" s="13"/>
      <c r="D1737" s="13"/>
      <c r="E1737" s="13"/>
      <c r="F1737" s="13"/>
    </row>
    <row r="1738" spans="1:7" x14ac:dyDescent="0.2">
      <c r="A1738" s="13"/>
      <c r="B1738" s="13"/>
      <c r="D1738" s="13"/>
      <c r="E1738" s="13"/>
      <c r="F1738" s="13"/>
    </row>
    <row r="1739" spans="1:7" x14ac:dyDescent="0.2">
      <c r="A1739" s="13"/>
      <c r="B1739" s="13"/>
      <c r="D1739" s="13"/>
      <c r="E1739" s="13"/>
      <c r="F1739" s="13"/>
    </row>
    <row r="1740" spans="1:7" x14ac:dyDescent="0.2">
      <c r="A1740" s="13"/>
      <c r="B1740" s="13"/>
      <c r="D1740" s="13"/>
      <c r="E1740" s="13"/>
      <c r="G1740" s="13"/>
    </row>
    <row r="1741" spans="1:7" x14ac:dyDescent="0.2">
      <c r="A1741" s="13"/>
      <c r="B1741" s="13"/>
      <c r="D1741" s="13"/>
      <c r="E1741" s="13"/>
      <c r="G1741" s="13"/>
    </row>
    <row r="1742" spans="1:7" x14ac:dyDescent="0.2">
      <c r="A1742" s="13"/>
      <c r="B1742" s="13"/>
      <c r="D1742" s="13"/>
      <c r="E1742" s="13"/>
      <c r="G1742" s="13"/>
    </row>
    <row r="1743" spans="1:7" x14ac:dyDescent="0.2">
      <c r="A1743" s="13"/>
      <c r="B1743" s="13"/>
      <c r="D1743" s="13"/>
      <c r="E1743" s="13"/>
      <c r="F1743" s="13"/>
    </row>
    <row r="1744" spans="1:7" x14ac:dyDescent="0.2">
      <c r="A1744" s="13"/>
      <c r="B1744" s="13"/>
      <c r="D1744" s="13"/>
      <c r="E1744" s="13"/>
      <c r="G1744" s="13"/>
    </row>
    <row r="1745" spans="1:7" x14ac:dyDescent="0.2">
      <c r="A1745" s="13"/>
      <c r="B1745" s="13"/>
      <c r="D1745" s="13"/>
      <c r="E1745" s="13"/>
      <c r="F1745" s="13"/>
    </row>
    <row r="1746" spans="1:7" x14ac:dyDescent="0.2">
      <c r="A1746" s="13"/>
      <c r="B1746" s="13"/>
      <c r="D1746" s="13"/>
      <c r="E1746" s="13"/>
      <c r="F1746" s="13"/>
    </row>
    <row r="1747" spans="1:7" x14ac:dyDescent="0.2">
      <c r="A1747" s="13"/>
      <c r="B1747" s="13"/>
      <c r="D1747" s="13"/>
      <c r="E1747" s="13"/>
      <c r="F1747" s="13"/>
    </row>
    <row r="1748" spans="1:7" x14ac:dyDescent="0.2">
      <c r="A1748" s="13"/>
      <c r="B1748" s="13"/>
      <c r="D1748" s="13"/>
      <c r="E1748" s="13"/>
      <c r="F1748" s="13"/>
    </row>
    <row r="1749" spans="1:7" x14ac:dyDescent="0.2">
      <c r="A1749" s="13"/>
      <c r="B1749" s="13"/>
      <c r="D1749" s="13"/>
      <c r="E1749" s="13"/>
      <c r="F1749" s="13"/>
    </row>
    <row r="1750" spans="1:7" x14ac:dyDescent="0.2">
      <c r="A1750" s="13"/>
      <c r="B1750" s="13"/>
      <c r="D1750" s="13"/>
      <c r="E1750" s="13"/>
      <c r="F1750" s="13"/>
    </row>
    <row r="1751" spans="1:7" x14ac:dyDescent="0.2">
      <c r="A1751" s="13"/>
      <c r="B1751" s="13"/>
      <c r="D1751" s="13"/>
      <c r="E1751" s="13"/>
      <c r="G1751" s="13"/>
    </row>
    <row r="1752" spans="1:7" x14ac:dyDescent="0.2">
      <c r="A1752" s="13"/>
      <c r="B1752" s="13"/>
      <c r="D1752" s="13"/>
      <c r="E1752" s="13"/>
      <c r="G1752" s="13"/>
    </row>
    <row r="1753" spans="1:7" x14ac:dyDescent="0.2">
      <c r="A1753" s="13"/>
      <c r="B1753" s="13"/>
      <c r="D1753" s="13"/>
      <c r="E1753" s="13"/>
      <c r="G1753" s="13"/>
    </row>
    <row r="1754" spans="1:7" x14ac:dyDescent="0.2">
      <c r="A1754" s="13"/>
      <c r="B1754" s="13"/>
      <c r="D1754" s="13"/>
      <c r="E1754" s="13"/>
      <c r="G1754" s="13"/>
    </row>
    <row r="1755" spans="1:7" x14ac:dyDescent="0.2">
      <c r="A1755" s="13"/>
      <c r="B1755" s="13"/>
      <c r="D1755" s="13"/>
      <c r="E1755" s="13"/>
      <c r="G1755" s="13"/>
    </row>
    <row r="1756" spans="1:7" x14ac:dyDescent="0.2">
      <c r="A1756" s="13"/>
      <c r="B1756" s="13"/>
      <c r="D1756" s="13"/>
      <c r="E1756" s="13"/>
      <c r="F1756" s="13"/>
    </row>
    <row r="1757" spans="1:7" x14ac:dyDescent="0.2">
      <c r="A1757" s="13"/>
      <c r="B1757" s="13"/>
      <c r="D1757" s="13"/>
      <c r="E1757" s="13"/>
      <c r="F1757" s="13"/>
    </row>
    <row r="1758" spans="1:7" x14ac:dyDescent="0.2">
      <c r="A1758" s="13"/>
      <c r="B1758" s="13"/>
      <c r="D1758" s="13"/>
      <c r="E1758" s="13"/>
      <c r="F1758" s="13"/>
    </row>
    <row r="1759" spans="1:7" x14ac:dyDescent="0.2">
      <c r="A1759" s="13"/>
      <c r="B1759" s="13"/>
      <c r="D1759" s="13"/>
      <c r="E1759" s="13"/>
      <c r="F1759" s="13"/>
    </row>
    <row r="1760" spans="1:7" x14ac:dyDescent="0.2">
      <c r="A1760" s="13"/>
      <c r="B1760" s="13"/>
      <c r="D1760" s="13"/>
      <c r="E1760" s="13"/>
      <c r="G1760" s="13"/>
    </row>
    <row r="1761" spans="1:7" x14ac:dyDescent="0.2">
      <c r="A1761" s="13"/>
      <c r="B1761" s="13"/>
      <c r="D1761" s="13"/>
      <c r="E1761" s="13"/>
      <c r="F1761" s="13"/>
    </row>
    <row r="1762" spans="1:7" x14ac:dyDescent="0.2">
      <c r="A1762" s="13"/>
      <c r="B1762" s="13"/>
      <c r="D1762" s="13"/>
      <c r="E1762" s="13"/>
      <c r="F1762" s="13"/>
    </row>
    <row r="1763" spans="1:7" x14ac:dyDescent="0.2">
      <c r="A1763" s="13"/>
      <c r="B1763" s="13"/>
      <c r="D1763" s="13"/>
      <c r="E1763" s="13"/>
      <c r="G1763" s="13"/>
    </row>
    <row r="1764" spans="1:7" x14ac:dyDescent="0.2">
      <c r="A1764" s="13"/>
      <c r="B1764" s="13"/>
      <c r="D1764" s="13"/>
      <c r="E1764" s="13"/>
      <c r="F1764" s="13"/>
    </row>
    <row r="1765" spans="1:7" x14ac:dyDescent="0.2">
      <c r="A1765" s="13"/>
      <c r="B1765" s="13"/>
      <c r="D1765" s="13"/>
      <c r="E1765" s="13"/>
      <c r="F1765" s="13"/>
    </row>
    <row r="1766" spans="1:7" x14ac:dyDescent="0.2">
      <c r="A1766" s="13"/>
      <c r="B1766" s="13"/>
      <c r="D1766" s="13"/>
      <c r="E1766" s="13"/>
      <c r="F1766" s="13"/>
    </row>
    <row r="1767" spans="1:7" x14ac:dyDescent="0.2">
      <c r="A1767" s="13"/>
      <c r="B1767" s="13"/>
      <c r="D1767" s="13"/>
      <c r="E1767" s="13"/>
      <c r="F1767" s="13"/>
    </row>
    <row r="1768" spans="1:7" x14ac:dyDescent="0.2">
      <c r="A1768" s="13"/>
      <c r="B1768" s="13"/>
      <c r="D1768" s="13"/>
      <c r="E1768" s="13"/>
      <c r="F1768" s="13"/>
    </row>
    <row r="1769" spans="1:7" x14ac:dyDescent="0.2">
      <c r="A1769" s="13"/>
      <c r="B1769" s="13"/>
      <c r="D1769" s="13"/>
      <c r="E1769" s="13"/>
      <c r="F1769" s="13"/>
    </row>
    <row r="1770" spans="1:7" x14ac:dyDescent="0.2">
      <c r="A1770" s="13"/>
      <c r="B1770" s="13"/>
      <c r="D1770" s="13"/>
      <c r="E1770" s="13"/>
      <c r="F1770" s="13"/>
    </row>
    <row r="1771" spans="1:7" x14ac:dyDescent="0.2">
      <c r="A1771" s="13"/>
      <c r="B1771" s="13"/>
      <c r="D1771" s="13"/>
      <c r="E1771" s="13"/>
      <c r="F1771" s="13"/>
    </row>
    <row r="1772" spans="1:7" x14ac:dyDescent="0.2">
      <c r="A1772" s="13"/>
      <c r="B1772" s="13"/>
      <c r="D1772" s="13"/>
      <c r="E1772" s="13"/>
      <c r="G1772" s="13"/>
    </row>
    <row r="1773" spans="1:7" x14ac:dyDescent="0.2">
      <c r="A1773" s="13"/>
      <c r="B1773" s="13"/>
      <c r="D1773" s="13"/>
      <c r="E1773" s="13"/>
      <c r="F1773" s="13"/>
    </row>
    <row r="1774" spans="1:7" x14ac:dyDescent="0.2">
      <c r="A1774" s="13"/>
      <c r="B1774" s="13"/>
      <c r="D1774" s="13"/>
      <c r="E1774" s="13"/>
      <c r="G1774" s="13"/>
    </row>
    <row r="1775" spans="1:7" x14ac:dyDescent="0.2">
      <c r="A1775" s="13"/>
      <c r="B1775" s="13"/>
      <c r="D1775" s="13"/>
      <c r="E1775" s="13"/>
      <c r="G1775" s="13"/>
    </row>
    <row r="1776" spans="1:7" x14ac:dyDescent="0.2">
      <c r="A1776" s="13"/>
      <c r="B1776" s="13"/>
      <c r="D1776" s="13"/>
      <c r="E1776" s="13"/>
      <c r="G1776" s="13"/>
    </row>
    <row r="1777" spans="1:7" x14ac:dyDescent="0.2">
      <c r="A1777" s="13"/>
      <c r="B1777" s="13"/>
      <c r="D1777" s="13"/>
      <c r="E1777" s="13"/>
      <c r="G1777" s="13"/>
    </row>
    <row r="1778" spans="1:7" x14ac:dyDescent="0.2">
      <c r="A1778" s="13"/>
      <c r="B1778" s="13"/>
      <c r="D1778" s="13"/>
      <c r="E1778" s="13"/>
      <c r="F1778" s="13"/>
    </row>
    <row r="1779" spans="1:7" x14ac:dyDescent="0.2">
      <c r="A1779" s="13"/>
      <c r="B1779" s="13"/>
      <c r="D1779" s="13"/>
      <c r="E1779" s="13"/>
      <c r="F1779" s="13"/>
    </row>
    <row r="1780" spans="1:7" x14ac:dyDescent="0.2">
      <c r="A1780" s="13"/>
      <c r="B1780" s="13"/>
      <c r="D1780" s="13"/>
      <c r="E1780" s="13"/>
      <c r="F1780" s="13"/>
    </row>
    <row r="1781" spans="1:7" x14ac:dyDescent="0.2">
      <c r="A1781" s="13"/>
      <c r="B1781" s="13"/>
      <c r="D1781" s="13"/>
      <c r="E1781" s="13"/>
      <c r="F1781" s="13"/>
    </row>
    <row r="1782" spans="1:7" x14ac:dyDescent="0.2">
      <c r="A1782" s="13"/>
      <c r="B1782" s="13"/>
      <c r="D1782" s="13"/>
      <c r="E1782" s="13"/>
      <c r="F1782" s="13"/>
    </row>
    <row r="1783" spans="1:7" x14ac:dyDescent="0.2">
      <c r="A1783" s="13"/>
      <c r="B1783" s="13"/>
      <c r="D1783" s="13"/>
      <c r="E1783" s="13"/>
      <c r="F1783" s="13"/>
    </row>
    <row r="1784" spans="1:7" x14ac:dyDescent="0.2">
      <c r="A1784" s="13"/>
      <c r="B1784" s="13"/>
      <c r="D1784" s="13"/>
      <c r="E1784" s="13"/>
      <c r="F1784" s="13"/>
    </row>
    <row r="1785" spans="1:7" x14ac:dyDescent="0.2">
      <c r="A1785" s="13"/>
      <c r="B1785" s="13"/>
      <c r="D1785" s="13"/>
      <c r="E1785" s="13"/>
      <c r="F1785" s="13"/>
    </row>
    <row r="1786" spans="1:7" x14ac:dyDescent="0.2">
      <c r="A1786" s="13"/>
      <c r="B1786" s="13"/>
      <c r="D1786" s="13"/>
      <c r="E1786" s="13"/>
      <c r="G1786" s="13"/>
    </row>
    <row r="1787" spans="1:7" x14ac:dyDescent="0.2">
      <c r="A1787" s="13"/>
      <c r="B1787" s="13"/>
      <c r="D1787" s="13"/>
      <c r="E1787" s="13"/>
      <c r="F1787" s="13"/>
    </row>
    <row r="1788" spans="1:7" x14ac:dyDescent="0.2">
      <c r="A1788" s="13"/>
      <c r="B1788" s="13"/>
      <c r="D1788" s="13"/>
      <c r="E1788" s="13"/>
      <c r="G1788" s="13"/>
    </row>
    <row r="1789" spans="1:7" x14ac:dyDescent="0.2">
      <c r="A1789" s="13"/>
      <c r="B1789" s="13"/>
      <c r="D1789" s="13"/>
      <c r="E1789" s="13"/>
      <c r="G1789" s="13"/>
    </row>
    <row r="1790" spans="1:7" x14ac:dyDescent="0.2">
      <c r="A1790" s="13"/>
      <c r="B1790" s="13"/>
      <c r="D1790" s="13"/>
      <c r="E1790" s="13"/>
      <c r="F1790" s="13"/>
    </row>
    <row r="1791" spans="1:7" x14ac:dyDescent="0.2">
      <c r="A1791" s="13"/>
      <c r="B1791" s="13"/>
      <c r="D1791" s="13"/>
      <c r="E1791" s="13"/>
      <c r="G1791" s="13"/>
    </row>
    <row r="1792" spans="1:7" x14ac:dyDescent="0.2">
      <c r="A1792" s="13"/>
      <c r="B1792" s="13"/>
      <c r="D1792" s="13"/>
      <c r="E1792" s="13"/>
      <c r="F1792" s="13"/>
    </row>
    <row r="1793" spans="1:7" x14ac:dyDescent="0.2">
      <c r="A1793" s="13"/>
      <c r="B1793" s="13"/>
      <c r="D1793" s="13"/>
      <c r="E1793" s="13"/>
      <c r="F1793" s="13"/>
    </row>
    <row r="1794" spans="1:7" x14ac:dyDescent="0.2">
      <c r="A1794" s="13"/>
      <c r="B1794" s="13"/>
      <c r="D1794" s="13"/>
      <c r="E1794" s="13"/>
      <c r="F1794" s="13"/>
    </row>
    <row r="1795" spans="1:7" x14ac:dyDescent="0.2">
      <c r="A1795" s="13"/>
      <c r="B1795" s="13"/>
      <c r="D1795" s="13"/>
      <c r="E1795" s="13"/>
      <c r="G1795" s="13"/>
    </row>
    <row r="1796" spans="1:7" x14ac:dyDescent="0.2">
      <c r="A1796" s="13"/>
      <c r="B1796" s="13"/>
      <c r="D1796" s="13"/>
      <c r="E1796" s="13"/>
      <c r="F1796" s="13"/>
    </row>
    <row r="1797" spans="1:7" x14ac:dyDescent="0.2">
      <c r="A1797" s="13"/>
      <c r="B1797" s="13"/>
      <c r="D1797" s="13"/>
      <c r="E1797" s="13"/>
      <c r="F1797" s="13"/>
    </row>
    <row r="1798" spans="1:7" x14ac:dyDescent="0.2">
      <c r="A1798" s="13"/>
      <c r="B1798" s="13"/>
      <c r="D1798" s="13"/>
      <c r="E1798" s="13"/>
      <c r="G1798" s="13"/>
    </row>
    <row r="1799" spans="1:7" x14ac:dyDescent="0.2">
      <c r="A1799" s="13"/>
      <c r="B1799" s="13"/>
      <c r="D1799" s="13"/>
      <c r="E1799" s="13"/>
      <c r="F1799" s="13"/>
    </row>
    <row r="1800" spans="1:7" x14ac:dyDescent="0.2">
      <c r="A1800" s="13"/>
      <c r="B1800" s="13"/>
      <c r="D1800" s="13"/>
      <c r="E1800" s="13"/>
      <c r="F1800" s="13"/>
    </row>
    <row r="1801" spans="1:7" x14ac:dyDescent="0.2">
      <c r="A1801" s="13"/>
      <c r="B1801" s="13"/>
      <c r="D1801" s="13"/>
      <c r="E1801" s="13"/>
      <c r="G1801" s="13"/>
    </row>
    <row r="1802" spans="1:7" x14ac:dyDescent="0.2">
      <c r="A1802" s="13"/>
      <c r="B1802" s="13"/>
      <c r="D1802" s="13"/>
      <c r="E1802" s="13"/>
      <c r="G1802" s="13"/>
    </row>
    <row r="1803" spans="1:7" x14ac:dyDescent="0.2">
      <c r="A1803" s="13"/>
      <c r="B1803" s="13"/>
      <c r="D1803" s="13"/>
      <c r="E1803" s="13"/>
      <c r="G1803" s="13"/>
    </row>
    <row r="1804" spans="1:7" x14ac:dyDescent="0.2">
      <c r="A1804" s="13"/>
      <c r="B1804" s="13"/>
      <c r="D1804" s="13"/>
      <c r="E1804" s="13"/>
      <c r="G1804" s="13"/>
    </row>
    <row r="1805" spans="1:7" x14ac:dyDescent="0.2">
      <c r="A1805" s="13"/>
      <c r="B1805" s="13"/>
      <c r="D1805" s="13"/>
      <c r="E1805" s="13"/>
      <c r="G1805" s="13"/>
    </row>
    <row r="1806" spans="1:7" x14ac:dyDescent="0.2">
      <c r="A1806" s="13"/>
      <c r="B1806" s="13"/>
      <c r="D1806" s="13"/>
      <c r="E1806" s="13"/>
      <c r="F1806" s="13"/>
    </row>
    <row r="1807" spans="1:7" x14ac:dyDescent="0.2">
      <c r="A1807" s="13"/>
      <c r="B1807" s="13"/>
      <c r="D1807" s="13"/>
      <c r="E1807" s="13"/>
      <c r="F1807" s="13"/>
    </row>
    <row r="1808" spans="1:7" x14ac:dyDescent="0.2">
      <c r="A1808" s="13"/>
      <c r="B1808" s="13"/>
      <c r="D1808" s="13"/>
      <c r="E1808" s="13"/>
      <c r="F1808" s="13"/>
    </row>
    <row r="1809" spans="1:7" x14ac:dyDescent="0.2">
      <c r="A1809" s="13"/>
      <c r="B1809" s="13"/>
      <c r="D1809" s="13"/>
      <c r="E1809" s="13"/>
      <c r="G1809" s="13"/>
    </row>
    <row r="1810" spans="1:7" x14ac:dyDescent="0.2">
      <c r="A1810" s="13"/>
      <c r="B1810" s="13"/>
      <c r="D1810" s="13"/>
      <c r="E1810" s="13"/>
      <c r="G1810" s="13"/>
    </row>
    <row r="1811" spans="1:7" x14ac:dyDescent="0.2">
      <c r="A1811" s="13"/>
      <c r="B1811" s="13"/>
      <c r="D1811" s="13"/>
      <c r="E1811" s="13"/>
      <c r="G1811" s="13"/>
    </row>
    <row r="1812" spans="1:7" x14ac:dyDescent="0.2">
      <c r="A1812" s="13"/>
      <c r="B1812" s="13"/>
      <c r="D1812" s="13"/>
      <c r="E1812" s="13"/>
      <c r="F1812" s="13"/>
    </row>
    <row r="1813" spans="1:7" x14ac:dyDescent="0.2">
      <c r="A1813" s="13"/>
      <c r="B1813" s="13"/>
      <c r="D1813" s="13"/>
      <c r="E1813" s="13"/>
      <c r="F1813" s="13"/>
    </row>
    <row r="1814" spans="1:7" x14ac:dyDescent="0.2">
      <c r="A1814" s="13"/>
      <c r="B1814" s="13"/>
      <c r="D1814" s="13"/>
      <c r="E1814" s="13"/>
      <c r="F1814" s="13"/>
    </row>
    <row r="1815" spans="1:7" x14ac:dyDescent="0.2">
      <c r="A1815" s="13"/>
      <c r="B1815" s="13"/>
      <c r="D1815" s="13"/>
      <c r="E1815" s="13"/>
      <c r="F1815" s="13"/>
    </row>
    <row r="1816" spans="1:7" x14ac:dyDescent="0.2">
      <c r="A1816" s="13"/>
      <c r="B1816" s="13"/>
      <c r="D1816" s="13"/>
      <c r="E1816" s="13"/>
      <c r="G1816" s="13"/>
    </row>
    <row r="1817" spans="1:7" x14ac:dyDescent="0.2">
      <c r="A1817" s="13"/>
      <c r="B1817" s="13"/>
      <c r="D1817" s="13"/>
      <c r="E1817" s="13"/>
      <c r="G1817" s="13"/>
    </row>
    <row r="1818" spans="1:7" x14ac:dyDescent="0.2">
      <c r="A1818" s="13"/>
      <c r="B1818" s="13"/>
      <c r="D1818" s="13"/>
      <c r="E1818" s="13"/>
      <c r="G1818" s="13"/>
    </row>
    <row r="1819" spans="1:7" x14ac:dyDescent="0.2">
      <c r="A1819" s="13"/>
      <c r="B1819" s="13"/>
      <c r="D1819" s="13"/>
      <c r="E1819" s="13"/>
      <c r="G1819" s="13"/>
    </row>
    <row r="1820" spans="1:7" x14ac:dyDescent="0.2">
      <c r="A1820" s="13"/>
      <c r="B1820" s="13"/>
      <c r="D1820" s="13"/>
      <c r="E1820" s="13"/>
      <c r="F1820" s="13"/>
    </row>
    <row r="1821" spans="1:7" x14ac:dyDescent="0.2">
      <c r="A1821" s="13"/>
      <c r="B1821" s="13"/>
      <c r="D1821" s="13"/>
      <c r="E1821" s="13"/>
      <c r="F1821" s="13"/>
    </row>
    <row r="1822" spans="1:7" x14ac:dyDescent="0.2">
      <c r="A1822" s="13"/>
      <c r="B1822" s="13"/>
      <c r="D1822" s="13"/>
      <c r="E1822" s="13"/>
      <c r="F1822" s="13"/>
    </row>
    <row r="1823" spans="1:7" x14ac:dyDescent="0.2">
      <c r="A1823" s="13"/>
      <c r="B1823" s="13"/>
      <c r="D1823" s="13"/>
      <c r="E1823" s="13"/>
      <c r="G1823" s="13"/>
    </row>
    <row r="1824" spans="1:7" x14ac:dyDescent="0.2">
      <c r="A1824" s="13"/>
      <c r="B1824" s="13"/>
      <c r="D1824" s="13"/>
      <c r="E1824" s="13"/>
      <c r="F1824" s="13"/>
    </row>
    <row r="1825" spans="1:7" x14ac:dyDescent="0.2">
      <c r="A1825" s="13"/>
      <c r="B1825" s="13"/>
      <c r="D1825" s="13"/>
      <c r="E1825" s="13"/>
      <c r="F1825" s="13"/>
    </row>
    <row r="1826" spans="1:7" x14ac:dyDescent="0.2">
      <c r="A1826" s="13"/>
      <c r="B1826" s="13"/>
      <c r="D1826" s="13"/>
      <c r="E1826" s="13"/>
      <c r="G1826" s="13"/>
    </row>
    <row r="1827" spans="1:7" x14ac:dyDescent="0.2">
      <c r="A1827" s="13"/>
      <c r="B1827" s="13"/>
      <c r="D1827" s="13"/>
      <c r="E1827" s="13"/>
      <c r="F1827" s="13"/>
    </row>
    <row r="1828" spans="1:7" x14ac:dyDescent="0.2">
      <c r="A1828" s="13"/>
      <c r="B1828" s="13"/>
      <c r="D1828" s="13"/>
      <c r="E1828" s="13"/>
      <c r="F1828" s="13"/>
    </row>
    <row r="1829" spans="1:7" x14ac:dyDescent="0.2">
      <c r="A1829" s="13"/>
      <c r="B1829" s="13"/>
      <c r="D1829" s="13"/>
      <c r="E1829" s="13"/>
      <c r="F1829" s="13"/>
    </row>
    <row r="1830" spans="1:7" x14ac:dyDescent="0.2">
      <c r="A1830" s="13"/>
      <c r="B1830" s="13"/>
      <c r="D1830" s="13"/>
      <c r="E1830" s="13"/>
      <c r="F1830" s="13"/>
    </row>
    <row r="1831" spans="1:7" x14ac:dyDescent="0.2">
      <c r="A1831" s="13"/>
      <c r="B1831" s="13"/>
      <c r="D1831" s="13"/>
      <c r="E1831" s="13"/>
      <c r="F1831" s="13"/>
    </row>
    <row r="1832" spans="1:7" x14ac:dyDescent="0.2">
      <c r="A1832" s="13"/>
      <c r="B1832" s="13"/>
      <c r="D1832" s="13"/>
      <c r="E1832" s="13"/>
      <c r="F1832" s="13"/>
    </row>
    <row r="1833" spans="1:7" x14ac:dyDescent="0.2">
      <c r="A1833" s="13"/>
      <c r="B1833" s="13"/>
      <c r="D1833" s="13"/>
      <c r="E1833" s="13"/>
      <c r="F1833" s="13"/>
    </row>
    <row r="1834" spans="1:7" x14ac:dyDescent="0.2">
      <c r="A1834" s="13"/>
      <c r="B1834" s="13"/>
      <c r="D1834" s="13"/>
      <c r="E1834" s="13"/>
      <c r="G1834" s="13"/>
    </row>
    <row r="1835" spans="1:7" x14ac:dyDescent="0.2">
      <c r="A1835" s="13"/>
      <c r="B1835" s="13"/>
      <c r="D1835" s="13"/>
      <c r="E1835" s="13"/>
      <c r="G1835" s="13"/>
    </row>
    <row r="1836" spans="1:7" x14ac:dyDescent="0.2">
      <c r="A1836" s="13"/>
      <c r="B1836" s="13"/>
      <c r="D1836" s="13"/>
      <c r="E1836" s="13"/>
      <c r="G1836" s="13"/>
    </row>
    <row r="1837" spans="1:7" x14ac:dyDescent="0.2">
      <c r="A1837" s="13"/>
      <c r="B1837" s="13"/>
      <c r="D1837" s="13"/>
      <c r="E1837" s="13"/>
      <c r="F1837" s="13"/>
    </row>
    <row r="1838" spans="1:7" x14ac:dyDescent="0.2">
      <c r="A1838" s="13"/>
      <c r="B1838" s="13"/>
      <c r="D1838" s="13"/>
      <c r="E1838" s="13"/>
      <c r="F1838" s="13"/>
    </row>
    <row r="1839" spans="1:7" x14ac:dyDescent="0.2">
      <c r="A1839" s="13"/>
      <c r="B1839" s="13"/>
      <c r="D1839" s="13"/>
      <c r="E1839" s="13"/>
      <c r="G1839" s="13"/>
    </row>
    <row r="1840" spans="1:7" x14ac:dyDescent="0.2">
      <c r="A1840" s="13"/>
      <c r="B1840" s="13"/>
      <c r="D1840" s="13"/>
      <c r="E1840" s="13"/>
      <c r="G1840" s="13"/>
    </row>
    <row r="1841" spans="1:7" x14ac:dyDescent="0.2">
      <c r="A1841" s="13"/>
      <c r="B1841" s="13"/>
      <c r="D1841" s="13"/>
      <c r="E1841" s="13"/>
      <c r="G1841" s="13"/>
    </row>
    <row r="1842" spans="1:7" x14ac:dyDescent="0.2">
      <c r="A1842" s="13"/>
      <c r="B1842" s="13"/>
      <c r="D1842" s="13"/>
      <c r="E1842" s="13"/>
      <c r="F1842" s="13"/>
    </row>
    <row r="1843" spans="1:7" x14ac:dyDescent="0.2">
      <c r="A1843" s="13"/>
      <c r="B1843" s="13"/>
      <c r="D1843" s="13"/>
      <c r="E1843" s="13"/>
      <c r="F1843" s="13"/>
    </row>
    <row r="1844" spans="1:7" x14ac:dyDescent="0.2">
      <c r="A1844" s="13"/>
      <c r="B1844" s="13"/>
      <c r="D1844" s="13"/>
      <c r="E1844" s="13"/>
      <c r="F1844" s="13"/>
    </row>
    <row r="1845" spans="1:7" x14ac:dyDescent="0.2">
      <c r="A1845" s="13"/>
      <c r="B1845" s="13"/>
      <c r="D1845" s="13"/>
      <c r="E1845" s="13"/>
      <c r="G1845" s="13"/>
    </row>
    <row r="1846" spans="1:7" x14ac:dyDescent="0.2">
      <c r="A1846" s="13"/>
      <c r="B1846" s="13"/>
      <c r="D1846" s="13"/>
      <c r="E1846" s="13"/>
      <c r="G1846" s="13"/>
    </row>
    <row r="1847" spans="1:7" x14ac:dyDescent="0.2">
      <c r="A1847" s="13"/>
      <c r="B1847" s="13"/>
      <c r="D1847" s="13"/>
      <c r="E1847" s="13"/>
      <c r="G1847" s="13"/>
    </row>
    <row r="1848" spans="1:7" x14ac:dyDescent="0.2">
      <c r="A1848" s="13"/>
      <c r="B1848" s="13"/>
      <c r="D1848" s="13"/>
      <c r="E1848" s="13"/>
      <c r="G1848" s="13"/>
    </row>
    <row r="1849" spans="1:7" x14ac:dyDescent="0.2">
      <c r="A1849" s="13"/>
      <c r="B1849" s="13"/>
      <c r="D1849" s="13"/>
      <c r="E1849" s="13"/>
      <c r="G1849" s="13"/>
    </row>
    <row r="1850" spans="1:7" x14ac:dyDescent="0.2">
      <c r="A1850" s="13"/>
      <c r="B1850" s="13"/>
      <c r="D1850" s="13"/>
      <c r="E1850" s="13"/>
      <c r="G1850" s="13"/>
    </row>
    <row r="1851" spans="1:7" x14ac:dyDescent="0.2">
      <c r="A1851" s="13"/>
      <c r="B1851" s="13"/>
      <c r="D1851" s="13"/>
      <c r="E1851" s="13"/>
      <c r="G1851" s="13"/>
    </row>
    <row r="1852" spans="1:7" x14ac:dyDescent="0.2">
      <c r="A1852" s="13"/>
      <c r="B1852" s="13"/>
      <c r="D1852" s="13"/>
      <c r="E1852" s="13"/>
      <c r="F1852" s="13"/>
    </row>
    <row r="1853" spans="1:7" x14ac:dyDescent="0.2">
      <c r="A1853" s="13"/>
      <c r="B1853" s="13"/>
      <c r="D1853" s="13"/>
      <c r="E1853" s="13"/>
      <c r="F1853" s="13"/>
    </row>
    <row r="1854" spans="1:7" x14ac:dyDescent="0.2">
      <c r="A1854" s="13"/>
      <c r="B1854" s="13"/>
      <c r="D1854" s="13"/>
      <c r="E1854" s="13"/>
      <c r="F1854" s="13"/>
    </row>
    <row r="1855" spans="1:7" x14ac:dyDescent="0.2">
      <c r="A1855" s="13"/>
      <c r="B1855" s="13"/>
      <c r="D1855" s="13"/>
      <c r="E1855" s="13"/>
      <c r="F1855" s="13"/>
    </row>
    <row r="1856" spans="1:7" x14ac:dyDescent="0.2">
      <c r="A1856" s="13"/>
      <c r="B1856" s="13"/>
      <c r="D1856" s="13"/>
      <c r="E1856" s="13"/>
      <c r="F1856" s="13"/>
    </row>
    <row r="1857" spans="1:7" x14ac:dyDescent="0.2">
      <c r="A1857" s="13"/>
      <c r="B1857" s="13"/>
      <c r="D1857" s="13"/>
      <c r="E1857" s="13"/>
      <c r="F1857" s="13"/>
    </row>
    <row r="1858" spans="1:7" x14ac:dyDescent="0.2">
      <c r="A1858" s="13"/>
      <c r="B1858" s="13"/>
      <c r="D1858" s="13"/>
      <c r="E1858" s="13"/>
      <c r="F1858" s="13"/>
    </row>
    <row r="1859" spans="1:7" x14ac:dyDescent="0.2">
      <c r="A1859" s="13"/>
      <c r="B1859" s="13"/>
      <c r="D1859" s="13"/>
      <c r="E1859" s="13"/>
      <c r="F1859" s="13"/>
    </row>
    <row r="1860" spans="1:7" x14ac:dyDescent="0.2">
      <c r="A1860" s="13"/>
      <c r="B1860" s="13"/>
      <c r="D1860" s="13"/>
      <c r="E1860" s="13"/>
      <c r="F1860" s="13"/>
    </row>
    <row r="1861" spans="1:7" x14ac:dyDescent="0.2">
      <c r="A1861" s="13"/>
      <c r="B1861" s="13"/>
      <c r="D1861" s="13"/>
      <c r="E1861" s="13"/>
      <c r="F1861" s="13"/>
    </row>
    <row r="1862" spans="1:7" x14ac:dyDescent="0.2">
      <c r="A1862" s="13"/>
      <c r="B1862" s="13"/>
      <c r="D1862" s="13"/>
      <c r="E1862" s="13"/>
      <c r="F1862" s="13"/>
    </row>
    <row r="1863" spans="1:7" x14ac:dyDescent="0.2">
      <c r="A1863" s="13"/>
      <c r="B1863" s="13"/>
      <c r="D1863" s="13"/>
      <c r="E1863" s="13"/>
      <c r="F1863" s="13"/>
    </row>
    <row r="1864" spans="1:7" x14ac:dyDescent="0.2">
      <c r="A1864" s="13"/>
      <c r="B1864" s="13"/>
      <c r="D1864" s="13"/>
      <c r="E1864" s="13"/>
      <c r="G1864" s="13"/>
    </row>
    <row r="1865" spans="1:7" x14ac:dyDescent="0.2">
      <c r="A1865" s="13"/>
      <c r="B1865" s="13"/>
      <c r="D1865" s="13"/>
      <c r="E1865" s="13"/>
      <c r="G1865" s="13"/>
    </row>
    <row r="1866" spans="1:7" x14ac:dyDescent="0.2">
      <c r="A1866" s="13"/>
      <c r="B1866" s="13"/>
      <c r="D1866" s="13"/>
      <c r="E1866" s="13"/>
      <c r="G1866" s="13"/>
    </row>
    <row r="1867" spans="1:7" x14ac:dyDescent="0.2">
      <c r="A1867" s="13"/>
      <c r="B1867" s="13"/>
      <c r="D1867" s="13"/>
      <c r="E1867" s="13"/>
      <c r="F1867" s="13"/>
    </row>
    <row r="1868" spans="1:7" x14ac:dyDescent="0.2">
      <c r="A1868" s="13"/>
      <c r="B1868" s="13"/>
      <c r="D1868" s="13"/>
      <c r="E1868" s="13"/>
      <c r="F1868" s="13"/>
    </row>
    <row r="1869" spans="1:7" x14ac:dyDescent="0.2">
      <c r="A1869" s="13"/>
      <c r="B1869" s="13"/>
      <c r="D1869" s="13"/>
      <c r="E1869" s="13"/>
      <c r="G1869" s="13"/>
    </row>
    <row r="1870" spans="1:7" x14ac:dyDescent="0.2">
      <c r="A1870" s="13"/>
      <c r="B1870" s="13"/>
      <c r="D1870" s="13"/>
      <c r="E1870" s="13"/>
      <c r="F1870" s="13"/>
    </row>
    <row r="1871" spans="1:7" x14ac:dyDescent="0.2">
      <c r="A1871" s="13"/>
      <c r="B1871" s="13"/>
      <c r="D1871" s="13"/>
      <c r="E1871" s="13"/>
      <c r="F1871" s="13"/>
    </row>
    <row r="1872" spans="1:7" x14ac:dyDescent="0.2">
      <c r="A1872" s="13"/>
      <c r="B1872" s="13"/>
      <c r="D1872" s="13"/>
      <c r="E1872" s="13"/>
      <c r="G1872" s="13"/>
    </row>
    <row r="1873" spans="1:7" x14ac:dyDescent="0.2">
      <c r="A1873" s="13"/>
      <c r="B1873" s="13"/>
      <c r="D1873" s="13"/>
      <c r="E1873" s="13"/>
      <c r="F1873" s="13"/>
    </row>
    <row r="1874" spans="1:7" x14ac:dyDescent="0.2">
      <c r="A1874" s="13"/>
      <c r="B1874" s="13"/>
      <c r="D1874" s="13"/>
      <c r="E1874" s="13"/>
      <c r="F1874" s="13"/>
    </row>
    <row r="1875" spans="1:7" x14ac:dyDescent="0.2">
      <c r="A1875" s="13"/>
      <c r="B1875" s="13"/>
      <c r="D1875" s="13"/>
      <c r="E1875" s="13"/>
      <c r="F1875" s="13"/>
    </row>
    <row r="1876" spans="1:7" x14ac:dyDescent="0.2">
      <c r="A1876" s="13"/>
      <c r="B1876" s="13"/>
      <c r="D1876" s="13"/>
      <c r="E1876" s="13"/>
      <c r="F1876" s="13"/>
    </row>
    <row r="1877" spans="1:7" x14ac:dyDescent="0.2">
      <c r="A1877" s="13"/>
      <c r="B1877" s="13"/>
      <c r="D1877" s="13"/>
      <c r="E1877" s="13"/>
      <c r="G1877" s="13"/>
    </row>
    <row r="1878" spans="1:7" x14ac:dyDescent="0.2">
      <c r="A1878" s="13"/>
      <c r="B1878" s="13"/>
      <c r="D1878" s="13"/>
      <c r="E1878" s="13"/>
      <c r="G1878" s="13"/>
    </row>
    <row r="1879" spans="1:7" x14ac:dyDescent="0.2">
      <c r="A1879" s="13"/>
      <c r="B1879" s="13"/>
      <c r="D1879" s="13"/>
      <c r="E1879" s="13"/>
      <c r="G1879" s="13"/>
    </row>
    <row r="1880" spans="1:7" x14ac:dyDescent="0.2">
      <c r="A1880" s="13"/>
      <c r="B1880" s="13"/>
      <c r="D1880" s="13"/>
      <c r="E1880" s="13"/>
      <c r="F1880" s="13"/>
    </row>
    <row r="1881" spans="1:7" x14ac:dyDescent="0.2">
      <c r="A1881" s="13"/>
      <c r="B1881" s="13"/>
      <c r="D1881" s="13"/>
      <c r="E1881" s="13"/>
      <c r="F1881" s="13"/>
    </row>
    <row r="1882" spans="1:7" x14ac:dyDescent="0.2">
      <c r="A1882" s="13"/>
      <c r="B1882" s="13"/>
      <c r="D1882" s="13"/>
      <c r="E1882" s="13"/>
      <c r="F1882" s="13"/>
    </row>
    <row r="1883" spans="1:7" x14ac:dyDescent="0.2">
      <c r="A1883" s="13"/>
      <c r="B1883" s="13"/>
      <c r="D1883" s="13"/>
      <c r="E1883" s="13"/>
      <c r="F1883" s="13"/>
    </row>
    <row r="1884" spans="1:7" x14ac:dyDescent="0.2">
      <c r="A1884" s="13"/>
      <c r="B1884" s="13"/>
      <c r="D1884" s="13"/>
      <c r="E1884" s="13"/>
      <c r="F1884" s="13"/>
    </row>
    <row r="1885" spans="1:7" x14ac:dyDescent="0.2">
      <c r="A1885" s="13"/>
      <c r="B1885" s="13"/>
      <c r="D1885" s="13"/>
      <c r="E1885" s="13"/>
      <c r="F1885" s="13"/>
    </row>
    <row r="1886" spans="1:7" x14ac:dyDescent="0.2">
      <c r="A1886" s="13"/>
      <c r="B1886" s="13"/>
      <c r="D1886" s="13"/>
      <c r="E1886" s="13"/>
      <c r="G1886" s="13"/>
    </row>
    <row r="1887" spans="1:7" x14ac:dyDescent="0.2">
      <c r="A1887" s="13"/>
      <c r="B1887" s="13"/>
      <c r="D1887" s="13"/>
      <c r="E1887" s="13"/>
      <c r="G1887" s="13"/>
    </row>
    <row r="1888" spans="1:7" x14ac:dyDescent="0.2">
      <c r="A1888" s="13"/>
      <c r="B1888" s="13"/>
      <c r="D1888" s="13"/>
      <c r="E1888" s="13"/>
      <c r="G1888" s="13"/>
    </row>
    <row r="1889" spans="1:7" x14ac:dyDescent="0.2">
      <c r="A1889" s="13"/>
      <c r="B1889" s="13"/>
      <c r="D1889" s="13"/>
      <c r="E1889" s="13"/>
      <c r="G1889" s="13"/>
    </row>
    <row r="1890" spans="1:7" x14ac:dyDescent="0.2">
      <c r="A1890" s="13"/>
      <c r="B1890" s="13"/>
      <c r="D1890" s="13"/>
      <c r="E1890" s="13"/>
      <c r="G1890" s="13"/>
    </row>
    <row r="1891" spans="1:7" x14ac:dyDescent="0.2">
      <c r="A1891" s="13"/>
      <c r="B1891" s="13"/>
      <c r="D1891" s="13"/>
      <c r="E1891" s="13"/>
      <c r="F1891" s="13"/>
    </row>
    <row r="1892" spans="1:7" x14ac:dyDescent="0.2">
      <c r="A1892" s="13"/>
      <c r="B1892" s="13"/>
      <c r="D1892" s="13"/>
      <c r="E1892" s="13"/>
      <c r="F1892" s="13"/>
    </row>
    <row r="1893" spans="1:7" x14ac:dyDescent="0.2">
      <c r="A1893" s="13"/>
      <c r="B1893" s="13"/>
      <c r="D1893" s="13"/>
      <c r="E1893" s="13"/>
      <c r="F1893" s="13"/>
    </row>
    <row r="1894" spans="1:7" x14ac:dyDescent="0.2">
      <c r="A1894" s="13"/>
      <c r="B1894" s="13"/>
      <c r="D1894" s="13"/>
      <c r="E1894" s="13"/>
      <c r="F1894" s="13"/>
    </row>
    <row r="1895" spans="1:7" x14ac:dyDescent="0.2">
      <c r="A1895" s="13"/>
      <c r="B1895" s="13"/>
      <c r="D1895" s="13"/>
      <c r="E1895" s="13"/>
      <c r="G1895" s="13"/>
    </row>
    <row r="1896" spans="1:7" x14ac:dyDescent="0.2">
      <c r="A1896" s="13"/>
      <c r="B1896" s="13"/>
      <c r="D1896" s="13"/>
      <c r="E1896" s="13"/>
      <c r="G1896" s="13"/>
    </row>
    <row r="1897" spans="1:7" x14ac:dyDescent="0.2">
      <c r="A1897" s="13"/>
      <c r="B1897" s="13"/>
      <c r="D1897" s="13"/>
      <c r="E1897" s="13"/>
      <c r="G1897" s="13"/>
    </row>
    <row r="1898" spans="1:7" x14ac:dyDescent="0.2">
      <c r="A1898" s="13"/>
      <c r="B1898" s="13"/>
      <c r="D1898" s="13"/>
      <c r="E1898" s="13"/>
      <c r="G1898" s="13"/>
    </row>
    <row r="1899" spans="1:7" x14ac:dyDescent="0.2">
      <c r="A1899" s="13"/>
      <c r="B1899" s="13"/>
      <c r="D1899" s="13"/>
      <c r="E1899" s="13"/>
      <c r="G1899" s="13"/>
    </row>
    <row r="1900" spans="1:7" x14ac:dyDescent="0.2">
      <c r="A1900" s="13"/>
      <c r="B1900" s="13"/>
      <c r="D1900" s="13"/>
      <c r="E1900" s="13"/>
      <c r="F1900" s="13"/>
    </row>
    <row r="1901" spans="1:7" x14ac:dyDescent="0.2">
      <c r="A1901" s="13"/>
      <c r="B1901" s="13"/>
      <c r="D1901" s="13"/>
      <c r="E1901" s="13"/>
      <c r="F1901" s="13"/>
    </row>
    <row r="1902" spans="1:7" x14ac:dyDescent="0.2">
      <c r="A1902" s="13"/>
      <c r="B1902" s="13"/>
      <c r="D1902" s="13"/>
      <c r="E1902" s="13"/>
      <c r="F1902" s="13"/>
    </row>
    <row r="1903" spans="1:7" x14ac:dyDescent="0.2">
      <c r="A1903" s="13"/>
      <c r="B1903" s="13"/>
      <c r="D1903" s="13"/>
      <c r="E1903" s="13"/>
      <c r="F1903" s="13"/>
    </row>
    <row r="1904" spans="1:7" x14ac:dyDescent="0.2">
      <c r="A1904" s="13"/>
      <c r="B1904" s="13"/>
      <c r="D1904" s="13"/>
      <c r="E1904" s="13"/>
      <c r="G1904" s="13"/>
    </row>
    <row r="1905" spans="1:7" x14ac:dyDescent="0.2">
      <c r="A1905" s="13"/>
      <c r="B1905" s="13"/>
      <c r="D1905" s="13"/>
      <c r="E1905" s="13"/>
      <c r="G1905" s="13"/>
    </row>
    <row r="1906" spans="1:7" x14ac:dyDescent="0.2">
      <c r="A1906" s="13"/>
      <c r="B1906" s="13"/>
      <c r="D1906" s="13"/>
      <c r="E1906" s="13"/>
      <c r="G1906" s="13"/>
    </row>
    <row r="1907" spans="1:7" x14ac:dyDescent="0.2">
      <c r="A1907" s="13"/>
      <c r="B1907" s="13"/>
      <c r="D1907" s="13"/>
      <c r="E1907" s="13"/>
      <c r="G1907" s="13"/>
    </row>
    <row r="1908" spans="1:7" x14ac:dyDescent="0.2">
      <c r="A1908" s="13"/>
      <c r="B1908" s="13"/>
      <c r="D1908" s="13"/>
      <c r="E1908" s="13"/>
      <c r="G1908" s="13"/>
    </row>
    <row r="1909" spans="1:7" x14ac:dyDescent="0.2">
      <c r="A1909" s="13"/>
      <c r="B1909" s="13"/>
      <c r="D1909" s="13"/>
      <c r="E1909" s="13"/>
      <c r="F1909" s="13"/>
    </row>
    <row r="1910" spans="1:7" x14ac:dyDescent="0.2">
      <c r="A1910" s="13"/>
      <c r="B1910" s="13"/>
      <c r="D1910" s="13"/>
      <c r="E1910" s="13"/>
      <c r="F1910" s="13"/>
    </row>
    <row r="1911" spans="1:7" x14ac:dyDescent="0.2">
      <c r="A1911" s="13"/>
      <c r="B1911" s="13"/>
      <c r="D1911" s="13"/>
      <c r="E1911" s="13"/>
      <c r="F1911" s="13"/>
    </row>
    <row r="1912" spans="1:7" x14ac:dyDescent="0.2">
      <c r="A1912" s="13"/>
      <c r="B1912" s="13"/>
      <c r="D1912" s="13"/>
      <c r="E1912" s="13"/>
      <c r="F1912" s="13"/>
    </row>
    <row r="1913" spans="1:7" x14ac:dyDescent="0.2">
      <c r="A1913" s="13"/>
      <c r="B1913" s="13"/>
      <c r="D1913" s="13"/>
      <c r="E1913" s="13"/>
      <c r="G1913" s="13"/>
    </row>
    <row r="1914" spans="1:7" x14ac:dyDescent="0.2">
      <c r="A1914" s="13"/>
      <c r="B1914" s="13"/>
      <c r="D1914" s="13"/>
      <c r="E1914" s="13"/>
      <c r="G1914" s="13"/>
    </row>
    <row r="1915" spans="1:7" x14ac:dyDescent="0.2">
      <c r="A1915" s="13"/>
      <c r="B1915" s="13"/>
      <c r="D1915" s="13"/>
      <c r="E1915" s="13"/>
      <c r="F1915" s="13"/>
    </row>
    <row r="1916" spans="1:7" x14ac:dyDescent="0.2">
      <c r="A1916" s="13"/>
      <c r="B1916" s="13"/>
      <c r="D1916" s="13"/>
      <c r="E1916" s="13"/>
      <c r="F1916" s="13"/>
    </row>
    <row r="1917" spans="1:7" x14ac:dyDescent="0.2">
      <c r="A1917" s="13"/>
      <c r="B1917" s="13"/>
      <c r="D1917" s="13"/>
      <c r="E1917" s="13"/>
      <c r="F1917" s="13"/>
    </row>
    <row r="1918" spans="1:7" x14ac:dyDescent="0.2">
      <c r="A1918" s="13"/>
      <c r="B1918" s="13"/>
      <c r="D1918" s="13"/>
      <c r="E1918" s="13"/>
      <c r="F1918" s="13"/>
    </row>
    <row r="1919" spans="1:7" x14ac:dyDescent="0.2">
      <c r="A1919" s="13"/>
      <c r="B1919" s="13"/>
      <c r="D1919" s="13"/>
      <c r="E1919" s="13"/>
      <c r="F1919" s="13"/>
    </row>
    <row r="1920" spans="1:7" x14ac:dyDescent="0.2">
      <c r="A1920" s="13"/>
      <c r="B1920" s="13"/>
      <c r="D1920" s="13"/>
      <c r="E1920" s="13"/>
      <c r="G1920" s="13"/>
    </row>
    <row r="1921" spans="1:7" x14ac:dyDescent="0.2">
      <c r="A1921" s="13"/>
      <c r="B1921" s="13"/>
      <c r="D1921" s="13"/>
      <c r="E1921" s="13"/>
      <c r="G1921" s="13"/>
    </row>
    <row r="1922" spans="1:7" x14ac:dyDescent="0.2">
      <c r="A1922" s="13"/>
      <c r="B1922" s="13"/>
      <c r="D1922" s="13"/>
      <c r="E1922" s="13"/>
      <c r="G1922" s="13"/>
    </row>
    <row r="1923" spans="1:7" x14ac:dyDescent="0.2">
      <c r="A1923" s="13"/>
      <c r="B1923" s="13"/>
      <c r="D1923" s="13"/>
      <c r="E1923" s="13"/>
      <c r="F1923" s="13"/>
    </row>
    <row r="1924" spans="1:7" x14ac:dyDescent="0.2">
      <c r="A1924" s="13"/>
      <c r="B1924" s="13"/>
      <c r="D1924" s="13"/>
      <c r="E1924" s="13"/>
      <c r="F1924" s="13"/>
    </row>
    <row r="1925" spans="1:7" x14ac:dyDescent="0.2">
      <c r="A1925" s="13"/>
      <c r="B1925" s="13"/>
      <c r="D1925" s="13"/>
      <c r="E1925" s="13"/>
      <c r="F1925" s="13"/>
    </row>
    <row r="1926" spans="1:7" x14ac:dyDescent="0.2">
      <c r="A1926" s="13"/>
      <c r="B1926" s="13"/>
      <c r="D1926" s="13"/>
      <c r="E1926" s="13"/>
      <c r="F1926" s="13"/>
    </row>
    <row r="1927" spans="1:7" x14ac:dyDescent="0.2">
      <c r="A1927" s="13"/>
      <c r="B1927" s="13"/>
      <c r="D1927" s="13"/>
      <c r="E1927" s="13"/>
      <c r="F1927" s="13"/>
    </row>
    <row r="1928" spans="1:7" x14ac:dyDescent="0.2">
      <c r="A1928" s="13"/>
      <c r="B1928" s="13"/>
      <c r="D1928" s="13"/>
      <c r="E1928" s="13"/>
      <c r="F1928" s="13"/>
    </row>
    <row r="1929" spans="1:7" x14ac:dyDescent="0.2">
      <c r="A1929" s="13"/>
      <c r="B1929" s="13"/>
      <c r="D1929" s="13"/>
      <c r="E1929" s="13"/>
      <c r="F1929" s="13"/>
    </row>
    <row r="1930" spans="1:7" x14ac:dyDescent="0.2">
      <c r="A1930" s="13"/>
      <c r="B1930" s="13"/>
      <c r="D1930" s="13"/>
      <c r="E1930" s="13"/>
      <c r="F1930" s="13"/>
    </row>
    <row r="1931" spans="1:7" x14ac:dyDescent="0.2">
      <c r="A1931" s="13"/>
      <c r="B1931" s="13"/>
      <c r="D1931" s="13"/>
      <c r="E1931" s="13"/>
      <c r="F1931" s="13"/>
    </row>
    <row r="1932" spans="1:7" x14ac:dyDescent="0.2">
      <c r="A1932" s="13"/>
      <c r="B1932" s="13"/>
      <c r="D1932" s="13"/>
      <c r="E1932" s="13"/>
      <c r="F1932" s="13"/>
    </row>
    <row r="1933" spans="1:7" x14ac:dyDescent="0.2">
      <c r="A1933" s="13"/>
      <c r="B1933" s="13"/>
      <c r="D1933" s="13"/>
      <c r="E1933" s="13"/>
      <c r="F1933" s="13"/>
    </row>
    <row r="1934" spans="1:7" x14ac:dyDescent="0.2">
      <c r="A1934" s="13"/>
      <c r="B1934" s="13"/>
      <c r="D1934" s="13"/>
      <c r="E1934" s="13"/>
      <c r="F1934" s="13"/>
    </row>
    <row r="1935" spans="1:7" x14ac:dyDescent="0.2">
      <c r="A1935" s="13"/>
      <c r="B1935" s="13"/>
      <c r="D1935" s="13"/>
      <c r="E1935" s="13"/>
      <c r="G1935" s="13"/>
    </row>
    <row r="1936" spans="1:7" x14ac:dyDescent="0.2">
      <c r="A1936" s="13"/>
      <c r="B1936" s="13"/>
      <c r="D1936" s="13"/>
      <c r="E1936" s="13"/>
      <c r="F1936" s="13"/>
    </row>
    <row r="1937" spans="1:7" x14ac:dyDescent="0.2">
      <c r="A1937" s="13"/>
      <c r="B1937" s="13"/>
      <c r="D1937" s="13"/>
      <c r="E1937" s="13"/>
      <c r="G1937" s="13"/>
    </row>
    <row r="1938" spans="1:7" x14ac:dyDescent="0.2">
      <c r="A1938" s="13"/>
      <c r="B1938" s="13"/>
      <c r="D1938" s="13"/>
      <c r="E1938" s="13"/>
      <c r="G1938" s="13"/>
    </row>
    <row r="1939" spans="1:7" x14ac:dyDescent="0.2">
      <c r="A1939" s="13"/>
      <c r="B1939" s="13"/>
      <c r="D1939" s="13"/>
      <c r="E1939" s="13"/>
      <c r="G1939" s="13"/>
    </row>
    <row r="1940" spans="1:7" x14ac:dyDescent="0.2">
      <c r="A1940" s="13"/>
      <c r="B1940" s="13"/>
      <c r="D1940" s="13"/>
      <c r="E1940" s="13"/>
      <c r="G1940" s="13"/>
    </row>
    <row r="1941" spans="1:7" x14ac:dyDescent="0.2">
      <c r="A1941" s="13"/>
      <c r="B1941" s="13"/>
      <c r="D1941" s="13"/>
      <c r="E1941" s="13"/>
      <c r="F1941" s="13"/>
    </row>
    <row r="1942" spans="1:7" x14ac:dyDescent="0.2">
      <c r="A1942" s="13"/>
      <c r="B1942" s="13"/>
      <c r="D1942" s="13"/>
      <c r="E1942" s="13"/>
      <c r="F1942" s="13"/>
    </row>
    <row r="1943" spans="1:7" x14ac:dyDescent="0.2">
      <c r="A1943" s="13"/>
      <c r="B1943" s="13"/>
      <c r="D1943" s="13"/>
      <c r="E1943" s="13"/>
      <c r="F1943" s="13"/>
    </row>
    <row r="1944" spans="1:7" x14ac:dyDescent="0.2">
      <c r="A1944" s="13"/>
      <c r="B1944" s="13"/>
      <c r="D1944" s="13"/>
      <c r="E1944" s="13"/>
      <c r="F1944" s="13"/>
    </row>
    <row r="1945" spans="1:7" x14ac:dyDescent="0.2">
      <c r="A1945" s="13"/>
      <c r="B1945" s="13"/>
      <c r="D1945" s="13"/>
      <c r="E1945" s="13"/>
      <c r="G1945" s="13"/>
    </row>
    <row r="1946" spans="1:7" x14ac:dyDescent="0.2">
      <c r="A1946" s="13"/>
      <c r="B1946" s="13"/>
      <c r="D1946" s="13"/>
      <c r="E1946" s="13"/>
      <c r="F1946" s="13"/>
    </row>
    <row r="1947" spans="1:7" x14ac:dyDescent="0.2">
      <c r="A1947" s="13"/>
      <c r="B1947" s="13"/>
      <c r="D1947" s="13"/>
      <c r="E1947" s="13"/>
      <c r="F1947" s="13"/>
    </row>
    <row r="1948" spans="1:7" x14ac:dyDescent="0.2">
      <c r="A1948" s="13"/>
      <c r="B1948" s="13"/>
      <c r="D1948" s="13"/>
      <c r="E1948" s="13"/>
      <c r="G1948" s="13"/>
    </row>
    <row r="1949" spans="1:7" x14ac:dyDescent="0.2">
      <c r="A1949" s="13"/>
      <c r="B1949" s="13"/>
      <c r="D1949" s="13"/>
      <c r="E1949" s="13"/>
      <c r="G1949" s="13"/>
    </row>
    <row r="1950" spans="1:7" x14ac:dyDescent="0.2">
      <c r="A1950" s="13"/>
      <c r="B1950" s="13"/>
      <c r="D1950" s="13"/>
      <c r="E1950" s="13"/>
      <c r="F1950" s="13"/>
    </row>
    <row r="1951" spans="1:7" x14ac:dyDescent="0.2">
      <c r="A1951" s="13"/>
      <c r="B1951" s="13"/>
      <c r="D1951" s="13"/>
      <c r="E1951" s="13"/>
      <c r="F1951" s="13"/>
    </row>
    <row r="1952" spans="1:7" x14ac:dyDescent="0.2">
      <c r="A1952" s="13"/>
      <c r="B1952" s="13"/>
      <c r="D1952" s="13"/>
      <c r="E1952" s="13"/>
      <c r="G1952" s="13"/>
    </row>
    <row r="1953" spans="1:7" x14ac:dyDescent="0.2">
      <c r="A1953" s="13"/>
      <c r="B1953" s="13"/>
      <c r="D1953" s="13"/>
      <c r="E1953" s="13"/>
      <c r="G1953" s="13"/>
    </row>
    <row r="1954" spans="1:7" x14ac:dyDescent="0.2">
      <c r="A1954" s="13"/>
      <c r="B1954" s="13"/>
      <c r="D1954" s="13"/>
      <c r="E1954" s="13"/>
      <c r="G1954" s="13"/>
    </row>
    <row r="1955" spans="1:7" x14ac:dyDescent="0.2">
      <c r="A1955" s="13"/>
      <c r="B1955" s="13"/>
      <c r="D1955" s="13"/>
      <c r="E1955" s="13"/>
      <c r="G1955" s="13"/>
    </row>
    <row r="1956" spans="1:7" x14ac:dyDescent="0.2">
      <c r="A1956" s="13"/>
      <c r="B1956" s="13"/>
      <c r="D1956" s="13"/>
      <c r="E1956" s="13"/>
      <c r="G1956" s="13"/>
    </row>
    <row r="1957" spans="1:7" x14ac:dyDescent="0.2">
      <c r="A1957" s="13"/>
      <c r="B1957" s="13"/>
      <c r="D1957" s="13"/>
      <c r="E1957" s="13"/>
      <c r="G1957" s="13"/>
    </row>
    <row r="1958" spans="1:7" x14ac:dyDescent="0.2">
      <c r="A1958" s="13"/>
      <c r="B1958" s="13"/>
      <c r="D1958" s="13"/>
      <c r="E1958" s="13"/>
      <c r="G1958" s="13"/>
    </row>
    <row r="1959" spans="1:7" x14ac:dyDescent="0.2">
      <c r="A1959" s="13"/>
      <c r="B1959" s="13"/>
      <c r="D1959" s="13"/>
      <c r="E1959" s="13"/>
      <c r="G1959" s="13"/>
    </row>
    <row r="1960" spans="1:7" x14ac:dyDescent="0.2">
      <c r="A1960" s="13"/>
      <c r="B1960" s="13"/>
      <c r="D1960" s="13"/>
      <c r="E1960" s="13"/>
      <c r="G1960" s="13"/>
    </row>
    <row r="1961" spans="1:7" x14ac:dyDescent="0.2">
      <c r="A1961" s="13"/>
      <c r="B1961" s="13"/>
      <c r="D1961" s="13"/>
      <c r="E1961" s="13"/>
      <c r="G1961" s="13"/>
    </row>
    <row r="1962" spans="1:7" x14ac:dyDescent="0.2">
      <c r="A1962" s="13"/>
      <c r="B1962" s="13"/>
      <c r="D1962" s="13"/>
      <c r="E1962" s="13"/>
      <c r="G1962" s="13"/>
    </row>
    <row r="1963" spans="1:7" x14ac:dyDescent="0.2">
      <c r="A1963" s="13"/>
      <c r="B1963" s="13"/>
      <c r="D1963" s="13"/>
      <c r="E1963" s="13"/>
      <c r="G1963" s="13"/>
    </row>
    <row r="1964" spans="1:7" x14ac:dyDescent="0.2">
      <c r="A1964" s="13"/>
      <c r="B1964" s="13"/>
      <c r="D1964" s="13"/>
      <c r="E1964" s="13"/>
      <c r="G1964" s="13"/>
    </row>
    <row r="1965" spans="1:7" x14ac:dyDescent="0.2">
      <c r="A1965" s="13"/>
      <c r="B1965" s="13"/>
      <c r="D1965" s="13"/>
      <c r="E1965" s="13"/>
      <c r="F1965" s="13"/>
    </row>
    <row r="1966" spans="1:7" x14ac:dyDescent="0.2">
      <c r="A1966" s="13"/>
      <c r="B1966" s="13"/>
      <c r="D1966" s="13"/>
      <c r="E1966" s="13"/>
      <c r="F1966" s="13"/>
    </row>
    <row r="1967" spans="1:7" x14ac:dyDescent="0.2">
      <c r="A1967" s="13"/>
      <c r="B1967" s="13"/>
      <c r="D1967" s="13"/>
      <c r="E1967" s="13"/>
      <c r="G1967" s="13"/>
    </row>
    <row r="1968" spans="1:7" x14ac:dyDescent="0.2">
      <c r="A1968" s="13"/>
      <c r="B1968" s="13"/>
      <c r="D1968" s="13"/>
      <c r="E1968" s="13"/>
      <c r="G1968" s="13"/>
    </row>
    <row r="1969" spans="1:7" x14ac:dyDescent="0.2">
      <c r="A1969" s="13"/>
      <c r="B1969" s="13"/>
      <c r="D1969" s="13"/>
      <c r="E1969" s="13"/>
      <c r="F1969" s="13"/>
    </row>
    <row r="1970" spans="1:7" x14ac:dyDescent="0.2">
      <c r="A1970" s="13"/>
      <c r="B1970" s="13"/>
      <c r="D1970" s="13"/>
      <c r="E1970" s="13"/>
      <c r="F1970" s="13"/>
    </row>
    <row r="1971" spans="1:7" x14ac:dyDescent="0.2">
      <c r="A1971" s="13"/>
      <c r="B1971" s="13"/>
      <c r="D1971" s="13"/>
      <c r="E1971" s="13"/>
      <c r="F1971" s="13"/>
    </row>
    <row r="1972" spans="1:7" x14ac:dyDescent="0.2">
      <c r="A1972" s="13"/>
      <c r="B1972" s="13"/>
      <c r="D1972" s="13"/>
      <c r="E1972" s="13"/>
      <c r="F1972" s="13"/>
    </row>
    <row r="1973" spans="1:7" x14ac:dyDescent="0.2">
      <c r="A1973" s="13"/>
      <c r="B1973" s="13"/>
      <c r="D1973" s="13"/>
      <c r="E1973" s="13"/>
      <c r="F1973" s="13"/>
    </row>
    <row r="1974" spans="1:7" x14ac:dyDescent="0.2">
      <c r="A1974" s="13"/>
      <c r="B1974" s="13"/>
      <c r="D1974" s="13"/>
      <c r="E1974" s="13"/>
      <c r="F1974" s="13"/>
    </row>
    <row r="1975" spans="1:7" x14ac:dyDescent="0.2">
      <c r="A1975" s="13"/>
      <c r="B1975" s="13"/>
      <c r="D1975" s="13"/>
      <c r="E1975" s="13"/>
      <c r="F1975" s="13"/>
    </row>
    <row r="1976" spans="1:7" x14ac:dyDescent="0.2">
      <c r="A1976" s="13"/>
      <c r="B1976" s="13"/>
      <c r="D1976" s="13"/>
      <c r="E1976" s="13"/>
      <c r="G1976" s="13"/>
    </row>
    <row r="1977" spans="1:7" x14ac:dyDescent="0.2">
      <c r="A1977" s="13"/>
      <c r="B1977" s="13"/>
      <c r="D1977" s="13"/>
      <c r="E1977" s="13"/>
      <c r="G1977" s="13"/>
    </row>
    <row r="1978" spans="1:7" x14ac:dyDescent="0.2">
      <c r="A1978" s="13"/>
      <c r="B1978" s="13"/>
      <c r="D1978" s="13"/>
      <c r="E1978" s="13"/>
      <c r="G1978" s="13"/>
    </row>
    <row r="1979" spans="1:7" x14ac:dyDescent="0.2">
      <c r="A1979" s="13"/>
      <c r="B1979" s="13"/>
      <c r="D1979" s="13"/>
      <c r="E1979" s="13"/>
      <c r="F1979" s="13"/>
    </row>
    <row r="1980" spans="1:7" x14ac:dyDescent="0.2">
      <c r="A1980" s="13"/>
      <c r="B1980" s="13"/>
      <c r="D1980" s="13"/>
      <c r="E1980" s="13"/>
      <c r="G1980" s="13"/>
    </row>
    <row r="1981" spans="1:7" x14ac:dyDescent="0.2">
      <c r="A1981" s="13"/>
      <c r="B1981" s="13"/>
      <c r="D1981" s="13"/>
      <c r="E1981" s="13"/>
      <c r="G1981" s="13"/>
    </row>
    <row r="1982" spans="1:7" x14ac:dyDescent="0.2">
      <c r="A1982" s="13"/>
      <c r="B1982" s="13"/>
      <c r="D1982" s="13"/>
      <c r="E1982" s="13"/>
      <c r="F1982" s="13"/>
    </row>
    <row r="1983" spans="1:7" x14ac:dyDescent="0.2">
      <c r="A1983" s="13"/>
      <c r="B1983" s="13"/>
      <c r="D1983" s="13"/>
      <c r="E1983" s="13"/>
      <c r="F1983" s="13"/>
    </row>
    <row r="1984" spans="1:7" x14ac:dyDescent="0.2">
      <c r="A1984" s="13"/>
      <c r="B1984" s="13"/>
      <c r="D1984" s="13"/>
      <c r="E1984" s="13"/>
      <c r="F1984" s="13"/>
    </row>
    <row r="1985" spans="1:7" x14ac:dyDescent="0.2">
      <c r="A1985" s="13"/>
      <c r="B1985" s="13"/>
      <c r="D1985" s="13"/>
      <c r="E1985" s="13"/>
      <c r="F1985" s="13"/>
    </row>
    <row r="1986" spans="1:7" x14ac:dyDescent="0.2">
      <c r="A1986" s="13"/>
      <c r="B1986" s="13"/>
      <c r="D1986" s="13"/>
      <c r="E1986" s="13"/>
      <c r="F1986" s="13"/>
    </row>
    <row r="1987" spans="1:7" x14ac:dyDescent="0.2">
      <c r="A1987" s="13"/>
      <c r="B1987" s="13"/>
      <c r="D1987" s="13"/>
      <c r="E1987" s="13"/>
      <c r="F1987" s="13"/>
    </row>
    <row r="1988" spans="1:7" x14ac:dyDescent="0.2">
      <c r="A1988" s="13"/>
      <c r="B1988" s="13"/>
      <c r="D1988" s="13"/>
      <c r="E1988" s="13"/>
      <c r="F1988" s="13"/>
    </row>
    <row r="1989" spans="1:7" x14ac:dyDescent="0.2">
      <c r="A1989" s="13"/>
      <c r="B1989" s="13"/>
      <c r="D1989" s="13"/>
      <c r="E1989" s="13"/>
      <c r="G1989" s="13"/>
    </row>
    <row r="1990" spans="1:7" x14ac:dyDescent="0.2">
      <c r="A1990" s="13"/>
      <c r="B1990" s="13"/>
      <c r="D1990" s="13"/>
      <c r="E1990" s="13"/>
      <c r="G1990" s="13"/>
    </row>
    <row r="1991" spans="1:7" x14ac:dyDescent="0.2">
      <c r="A1991" s="13"/>
      <c r="B1991" s="13"/>
      <c r="D1991" s="13"/>
      <c r="E1991" s="13"/>
      <c r="F1991" s="13"/>
    </row>
    <row r="1992" spans="1:7" x14ac:dyDescent="0.2">
      <c r="A1992" s="13"/>
      <c r="B1992" s="13"/>
      <c r="D1992" s="13"/>
      <c r="E1992" s="13"/>
      <c r="G1992" s="13"/>
    </row>
    <row r="1993" spans="1:7" x14ac:dyDescent="0.2">
      <c r="A1993" s="13"/>
      <c r="B1993" s="13"/>
      <c r="D1993" s="13"/>
      <c r="E1993" s="13"/>
      <c r="G1993" s="13"/>
    </row>
    <row r="1994" spans="1:7" x14ac:dyDescent="0.2">
      <c r="A1994" s="13"/>
      <c r="B1994" s="13"/>
      <c r="D1994" s="13"/>
      <c r="E1994" s="13"/>
      <c r="G1994" s="13"/>
    </row>
    <row r="1995" spans="1:7" x14ac:dyDescent="0.2">
      <c r="A1995" s="13"/>
      <c r="B1995" s="13"/>
      <c r="D1995" s="13"/>
      <c r="E1995" s="13"/>
      <c r="F1995" s="13"/>
    </row>
    <row r="1996" spans="1:7" x14ac:dyDescent="0.2">
      <c r="A1996" s="13"/>
      <c r="B1996" s="13"/>
      <c r="D1996" s="13"/>
      <c r="E1996" s="13"/>
      <c r="F1996" s="13"/>
    </row>
    <row r="1997" spans="1:7" x14ac:dyDescent="0.2">
      <c r="A1997" s="13"/>
      <c r="B1997" s="13"/>
      <c r="D1997" s="13"/>
      <c r="E1997" s="13"/>
      <c r="F1997" s="13"/>
    </row>
    <row r="1998" spans="1:7" x14ac:dyDescent="0.2">
      <c r="A1998" s="13"/>
      <c r="B1998" s="13"/>
      <c r="D1998" s="13"/>
      <c r="E1998" s="13"/>
      <c r="F1998" s="13"/>
    </row>
    <row r="1999" spans="1:7" x14ac:dyDescent="0.2">
      <c r="A1999" s="13"/>
      <c r="B1999" s="13"/>
      <c r="D1999" s="13"/>
      <c r="E1999" s="13"/>
      <c r="F1999" s="13"/>
    </row>
    <row r="2000" spans="1:7" x14ac:dyDescent="0.2">
      <c r="A2000" s="13"/>
      <c r="B2000" s="13"/>
      <c r="D2000" s="13"/>
      <c r="E2000" s="13"/>
      <c r="F2000" s="13"/>
    </row>
    <row r="2001" spans="1:7" x14ac:dyDescent="0.2">
      <c r="A2001" s="13"/>
      <c r="B2001" s="13"/>
      <c r="D2001" s="13"/>
      <c r="E2001" s="13"/>
      <c r="F2001" s="13"/>
    </row>
    <row r="2002" spans="1:7" x14ac:dyDescent="0.2">
      <c r="A2002" s="13"/>
      <c r="B2002" s="13"/>
      <c r="D2002" s="13"/>
      <c r="E2002" s="13"/>
      <c r="G2002" s="13"/>
    </row>
    <row r="2003" spans="1:7" x14ac:dyDescent="0.2">
      <c r="A2003" s="13"/>
      <c r="B2003" s="13"/>
      <c r="D2003" s="13"/>
      <c r="E2003" s="13"/>
      <c r="G2003" s="13"/>
    </row>
    <row r="2004" spans="1:7" x14ac:dyDescent="0.2">
      <c r="A2004" s="13"/>
      <c r="B2004" s="13"/>
      <c r="D2004" s="13"/>
      <c r="E2004" s="13"/>
      <c r="G2004" s="13"/>
    </row>
    <row r="2005" spans="1:7" x14ac:dyDescent="0.2">
      <c r="A2005" s="13"/>
      <c r="B2005" s="13"/>
      <c r="D2005" s="13"/>
      <c r="E2005" s="13"/>
      <c r="G2005" s="13"/>
    </row>
    <row r="2006" spans="1:7" x14ac:dyDescent="0.2">
      <c r="A2006" s="13"/>
      <c r="B2006" s="13"/>
      <c r="D2006" s="13"/>
      <c r="E2006" s="13"/>
      <c r="F2006" s="13"/>
    </row>
    <row r="2007" spans="1:7" x14ac:dyDescent="0.2">
      <c r="A2007" s="13"/>
      <c r="B2007" s="13"/>
      <c r="D2007" s="13"/>
      <c r="E2007" s="13"/>
      <c r="F2007" s="13"/>
    </row>
    <row r="2008" spans="1:7" x14ac:dyDescent="0.2">
      <c r="A2008" s="13"/>
      <c r="B2008" s="13"/>
      <c r="D2008" s="13"/>
      <c r="E2008" s="13"/>
      <c r="F2008" s="13"/>
    </row>
    <row r="2009" spans="1:7" x14ac:dyDescent="0.2">
      <c r="A2009" s="13"/>
      <c r="B2009" s="13"/>
      <c r="D2009" s="13"/>
      <c r="E2009" s="13"/>
      <c r="G2009" s="13"/>
    </row>
    <row r="2010" spans="1:7" x14ac:dyDescent="0.2">
      <c r="A2010" s="13"/>
      <c r="B2010" s="13"/>
      <c r="D2010" s="13"/>
      <c r="E2010" s="13"/>
      <c r="G2010" s="13"/>
    </row>
    <row r="2011" spans="1:7" x14ac:dyDescent="0.2">
      <c r="A2011" s="13"/>
      <c r="B2011" s="13"/>
      <c r="D2011" s="13"/>
      <c r="E2011" s="13"/>
      <c r="G2011" s="13"/>
    </row>
    <row r="2012" spans="1:7" x14ac:dyDescent="0.2">
      <c r="A2012" s="13"/>
      <c r="B2012" s="13"/>
      <c r="D2012" s="13"/>
      <c r="E2012" s="13"/>
      <c r="G2012" s="13"/>
    </row>
    <row r="2013" spans="1:7" x14ac:dyDescent="0.2">
      <c r="A2013" s="13"/>
      <c r="B2013" s="13"/>
      <c r="D2013" s="13"/>
      <c r="E2013" s="13"/>
      <c r="G2013" s="13"/>
    </row>
    <row r="2014" spans="1:7" x14ac:dyDescent="0.2">
      <c r="A2014" s="13"/>
      <c r="B2014" s="13"/>
      <c r="D2014" s="13"/>
      <c r="E2014" s="13"/>
      <c r="G2014" s="13"/>
    </row>
    <row r="2015" spans="1:7" x14ac:dyDescent="0.2">
      <c r="A2015" s="13"/>
      <c r="B2015" s="13"/>
      <c r="D2015" s="13"/>
      <c r="E2015" s="13"/>
      <c r="G2015" s="13"/>
    </row>
    <row r="2016" spans="1:7" x14ac:dyDescent="0.2">
      <c r="A2016" s="13"/>
      <c r="B2016" s="13"/>
      <c r="D2016" s="13"/>
      <c r="E2016" s="13"/>
      <c r="G2016" s="13"/>
    </row>
    <row r="2017" spans="1:6" x14ac:dyDescent="0.2">
      <c r="A2017" s="13"/>
      <c r="B2017" s="13"/>
      <c r="D2017" s="13"/>
      <c r="E2017" s="13"/>
      <c r="F2017" s="13"/>
    </row>
    <row r="2018" spans="1:6" x14ac:dyDescent="0.2">
      <c r="A2018" s="13"/>
      <c r="B2018" s="13"/>
      <c r="D2018" s="13"/>
      <c r="E2018" s="13"/>
      <c r="F2018" s="13"/>
    </row>
    <row r="2019" spans="1:6" x14ac:dyDescent="0.2">
      <c r="A2019" s="13"/>
      <c r="B2019" s="13"/>
      <c r="D2019" s="13"/>
      <c r="E2019" s="13"/>
      <c r="F2019" s="13"/>
    </row>
    <row r="2020" spans="1:6" x14ac:dyDescent="0.2">
      <c r="A2020" s="13"/>
      <c r="B2020" s="13"/>
      <c r="D2020" s="13"/>
      <c r="E2020" s="13"/>
      <c r="F2020" s="13"/>
    </row>
    <row r="2021" spans="1:6" x14ac:dyDescent="0.2">
      <c r="A2021" s="13"/>
      <c r="B2021" s="13"/>
      <c r="D2021" s="13"/>
      <c r="E2021" s="13"/>
      <c r="F2021" s="13"/>
    </row>
    <row r="2022" spans="1:6" x14ac:dyDescent="0.2">
      <c r="A2022" s="13"/>
      <c r="B2022" s="13"/>
      <c r="D2022" s="13"/>
      <c r="E2022" s="13"/>
      <c r="F2022" s="13"/>
    </row>
    <row r="2023" spans="1:6" x14ac:dyDescent="0.2">
      <c r="A2023" s="13"/>
      <c r="B2023" s="13"/>
      <c r="D2023" s="13"/>
      <c r="E2023" s="13"/>
      <c r="F2023" s="13"/>
    </row>
    <row r="2024" spans="1:6" x14ac:dyDescent="0.2">
      <c r="A2024" s="13"/>
      <c r="B2024" s="13"/>
      <c r="D2024" s="13"/>
      <c r="E2024" s="13"/>
      <c r="F2024" s="13"/>
    </row>
    <row r="2025" spans="1:6" x14ac:dyDescent="0.2">
      <c r="A2025" s="13"/>
      <c r="B2025" s="13"/>
      <c r="D2025" s="13"/>
      <c r="E2025" s="13"/>
      <c r="F2025" s="13"/>
    </row>
    <row r="2026" spans="1:6" x14ac:dyDescent="0.2">
      <c r="A2026" s="13"/>
      <c r="B2026" s="13"/>
      <c r="D2026" s="13"/>
      <c r="E2026" s="13"/>
      <c r="F2026" s="13"/>
    </row>
    <row r="2027" spans="1:6" x14ac:dyDescent="0.2">
      <c r="A2027" s="13"/>
      <c r="B2027" s="13"/>
      <c r="D2027" s="13"/>
      <c r="E2027" s="13"/>
      <c r="F2027" s="13"/>
    </row>
    <row r="2028" spans="1:6" x14ac:dyDescent="0.2">
      <c r="A2028" s="13"/>
      <c r="B2028" s="13"/>
      <c r="D2028" s="13"/>
      <c r="E2028" s="13"/>
      <c r="F2028" s="13"/>
    </row>
    <row r="2029" spans="1:6" x14ac:dyDescent="0.2">
      <c r="A2029" s="13"/>
      <c r="B2029" s="13"/>
      <c r="D2029" s="13"/>
      <c r="E2029" s="13"/>
      <c r="F2029" s="13"/>
    </row>
    <row r="2030" spans="1:6" x14ac:dyDescent="0.2">
      <c r="A2030" s="13"/>
      <c r="B2030" s="13"/>
      <c r="D2030" s="13"/>
      <c r="E2030" s="13"/>
      <c r="F2030" s="13"/>
    </row>
    <row r="2031" spans="1:6" x14ac:dyDescent="0.2">
      <c r="A2031" s="13"/>
      <c r="B2031" s="13"/>
      <c r="D2031" s="13"/>
      <c r="E2031" s="13"/>
      <c r="F2031" s="13"/>
    </row>
    <row r="2032" spans="1:6" x14ac:dyDescent="0.2">
      <c r="A2032" s="13"/>
      <c r="B2032" s="13"/>
      <c r="D2032" s="13"/>
      <c r="E2032" s="13"/>
      <c r="F2032" s="13"/>
    </row>
    <row r="2033" spans="1:7" x14ac:dyDescent="0.2">
      <c r="A2033" s="13"/>
      <c r="B2033" s="13"/>
      <c r="D2033" s="13"/>
      <c r="E2033" s="13"/>
      <c r="F2033" s="13"/>
    </row>
    <row r="2034" spans="1:7" x14ac:dyDescent="0.2">
      <c r="A2034" s="13"/>
      <c r="B2034" s="13"/>
      <c r="D2034" s="13"/>
      <c r="E2034" s="13"/>
      <c r="G2034" s="13"/>
    </row>
    <row r="2035" spans="1:7" x14ac:dyDescent="0.2">
      <c r="A2035" s="13"/>
      <c r="B2035" s="13"/>
      <c r="D2035" s="13"/>
      <c r="E2035" s="13"/>
      <c r="G2035" s="13"/>
    </row>
    <row r="2036" spans="1:7" x14ac:dyDescent="0.2">
      <c r="A2036" s="13"/>
      <c r="B2036" s="13"/>
      <c r="D2036" s="13"/>
      <c r="E2036" s="13"/>
      <c r="G2036" s="13"/>
    </row>
    <row r="2037" spans="1:7" x14ac:dyDescent="0.2">
      <c r="A2037" s="13"/>
      <c r="B2037" s="13"/>
      <c r="D2037" s="13"/>
      <c r="E2037" s="13"/>
      <c r="G2037" s="13"/>
    </row>
    <row r="2038" spans="1:7" x14ac:dyDescent="0.2">
      <c r="A2038" s="13"/>
      <c r="B2038" s="13"/>
      <c r="D2038" s="13"/>
      <c r="E2038" s="13"/>
      <c r="G2038" s="13"/>
    </row>
    <row r="2039" spans="1:7" x14ac:dyDescent="0.2">
      <c r="A2039" s="13"/>
      <c r="B2039" s="13"/>
      <c r="D2039" s="13"/>
      <c r="E2039" s="13"/>
      <c r="G2039" s="13"/>
    </row>
    <row r="2040" spans="1:7" x14ac:dyDescent="0.2">
      <c r="A2040" s="13"/>
      <c r="B2040" s="13"/>
      <c r="D2040" s="13"/>
      <c r="E2040" s="13"/>
      <c r="G2040" s="13"/>
    </row>
    <row r="2041" spans="1:7" x14ac:dyDescent="0.2">
      <c r="A2041" s="13"/>
      <c r="B2041" s="13"/>
      <c r="D2041" s="13"/>
      <c r="E2041" s="13"/>
      <c r="F2041" s="13"/>
    </row>
    <row r="2042" spans="1:7" x14ac:dyDescent="0.2">
      <c r="A2042" s="13"/>
      <c r="B2042" s="13"/>
      <c r="D2042" s="13"/>
      <c r="E2042" s="13"/>
      <c r="F2042" s="13"/>
    </row>
    <row r="2043" spans="1:7" x14ac:dyDescent="0.2">
      <c r="A2043" s="13"/>
      <c r="B2043" s="13"/>
      <c r="D2043" s="13"/>
      <c r="E2043" s="13"/>
      <c r="F2043" s="13"/>
    </row>
    <row r="2044" spans="1:7" x14ac:dyDescent="0.2">
      <c r="A2044" s="13"/>
      <c r="B2044" s="13"/>
      <c r="D2044" s="13"/>
      <c r="E2044" s="13"/>
      <c r="F2044" s="13"/>
    </row>
    <row r="2045" spans="1:7" x14ac:dyDescent="0.2">
      <c r="A2045" s="13"/>
      <c r="B2045" s="13"/>
      <c r="D2045" s="13"/>
      <c r="E2045" s="13"/>
      <c r="G2045" s="13"/>
    </row>
    <row r="2046" spans="1:7" x14ac:dyDescent="0.2">
      <c r="A2046" s="13"/>
      <c r="B2046" s="13"/>
      <c r="D2046" s="13"/>
      <c r="E2046" s="13"/>
      <c r="G2046" s="13"/>
    </row>
    <row r="2047" spans="1:7" x14ac:dyDescent="0.2">
      <c r="A2047" s="13"/>
      <c r="B2047" s="13"/>
      <c r="D2047" s="13"/>
      <c r="E2047" s="13"/>
      <c r="F2047" s="13"/>
    </row>
    <row r="2048" spans="1:7" x14ac:dyDescent="0.2">
      <c r="A2048" s="13"/>
      <c r="B2048" s="13"/>
      <c r="D2048" s="13"/>
      <c r="E2048" s="13"/>
      <c r="F2048" s="13"/>
    </row>
    <row r="2049" spans="1:7" x14ac:dyDescent="0.2">
      <c r="A2049" s="13"/>
      <c r="B2049" s="13"/>
      <c r="D2049" s="13"/>
      <c r="E2049" s="13"/>
      <c r="F2049" s="13"/>
    </row>
    <row r="2050" spans="1:7" x14ac:dyDescent="0.2">
      <c r="A2050" s="13"/>
      <c r="B2050" s="13"/>
      <c r="D2050" s="13"/>
      <c r="E2050" s="13"/>
      <c r="F2050" s="13"/>
    </row>
    <row r="2051" spans="1:7" x14ac:dyDescent="0.2">
      <c r="A2051" s="13"/>
      <c r="B2051" s="13"/>
      <c r="D2051" s="13"/>
      <c r="E2051" s="13"/>
      <c r="F2051" s="13"/>
    </row>
    <row r="2052" spans="1:7" x14ac:dyDescent="0.2">
      <c r="A2052" s="13"/>
      <c r="B2052" s="13"/>
      <c r="D2052" s="13"/>
      <c r="E2052" s="13"/>
      <c r="G2052" s="13"/>
    </row>
    <row r="2053" spans="1:7" x14ac:dyDescent="0.2">
      <c r="A2053" s="13"/>
      <c r="B2053" s="13"/>
      <c r="D2053" s="13"/>
      <c r="E2053" s="13"/>
      <c r="F2053" s="13"/>
    </row>
    <row r="2054" spans="1:7" x14ac:dyDescent="0.2">
      <c r="A2054" s="13"/>
      <c r="B2054" s="13"/>
      <c r="D2054" s="13"/>
      <c r="E2054" s="13"/>
      <c r="F2054" s="13"/>
    </row>
    <row r="2055" spans="1:7" x14ac:dyDescent="0.2">
      <c r="A2055" s="13"/>
      <c r="B2055" s="13"/>
      <c r="D2055" s="13"/>
      <c r="E2055" s="13"/>
      <c r="F2055" s="13"/>
    </row>
    <row r="2056" spans="1:7" x14ac:dyDescent="0.2">
      <c r="A2056" s="13"/>
      <c r="B2056" s="13"/>
      <c r="D2056" s="13"/>
      <c r="E2056" s="13"/>
      <c r="G2056" s="13"/>
    </row>
    <row r="2057" spans="1:7" x14ac:dyDescent="0.2">
      <c r="A2057" s="13"/>
      <c r="B2057" s="13"/>
      <c r="D2057" s="13"/>
      <c r="E2057" s="13"/>
      <c r="G2057" s="13"/>
    </row>
    <row r="2058" spans="1:7" x14ac:dyDescent="0.2">
      <c r="A2058" s="13"/>
      <c r="B2058" s="13"/>
      <c r="D2058" s="13"/>
      <c r="E2058" s="13"/>
      <c r="G2058" s="13"/>
    </row>
    <row r="2059" spans="1:7" x14ac:dyDescent="0.2">
      <c r="A2059" s="13"/>
      <c r="B2059" s="13"/>
      <c r="D2059" s="13"/>
      <c r="E2059" s="13"/>
      <c r="G2059" s="13"/>
    </row>
    <row r="2060" spans="1:7" x14ac:dyDescent="0.2">
      <c r="A2060" s="13"/>
      <c r="B2060" s="13"/>
      <c r="D2060" s="13"/>
      <c r="E2060" s="13"/>
      <c r="G2060" s="13"/>
    </row>
    <row r="2061" spans="1:7" x14ac:dyDescent="0.2">
      <c r="A2061" s="13"/>
      <c r="B2061" s="13"/>
      <c r="D2061" s="13"/>
      <c r="E2061" s="13"/>
      <c r="G2061" s="13"/>
    </row>
    <row r="2062" spans="1:7" x14ac:dyDescent="0.2">
      <c r="A2062" s="13"/>
      <c r="B2062" s="13"/>
      <c r="D2062" s="13"/>
      <c r="E2062" s="13"/>
      <c r="G2062" s="13"/>
    </row>
    <row r="2063" spans="1:7" x14ac:dyDescent="0.2">
      <c r="A2063" s="13"/>
      <c r="B2063" s="13"/>
      <c r="D2063" s="13"/>
      <c r="E2063" s="13"/>
      <c r="G2063" s="13"/>
    </row>
    <row r="2064" spans="1:7" x14ac:dyDescent="0.2">
      <c r="A2064" s="13"/>
      <c r="B2064" s="13"/>
      <c r="D2064" s="13"/>
      <c r="E2064" s="13"/>
      <c r="G2064" s="13"/>
    </row>
    <row r="2065" spans="1:7" x14ac:dyDescent="0.2">
      <c r="A2065" s="13"/>
      <c r="B2065" s="13"/>
      <c r="D2065" s="13"/>
      <c r="E2065" s="13"/>
      <c r="G2065" s="13"/>
    </row>
    <row r="2066" spans="1:7" x14ac:dyDescent="0.2">
      <c r="A2066" s="13"/>
      <c r="B2066" s="13"/>
      <c r="D2066" s="13"/>
      <c r="E2066" s="13"/>
      <c r="F2066" s="13"/>
    </row>
    <row r="2067" spans="1:7" x14ac:dyDescent="0.2">
      <c r="A2067" s="13"/>
      <c r="B2067" s="13"/>
      <c r="D2067" s="13"/>
      <c r="E2067" s="13"/>
      <c r="F2067" s="13"/>
    </row>
    <row r="2068" spans="1:7" x14ac:dyDescent="0.2">
      <c r="A2068" s="13"/>
      <c r="B2068" s="13"/>
      <c r="D2068" s="13"/>
      <c r="E2068" s="13"/>
      <c r="F2068" s="13"/>
    </row>
    <row r="2069" spans="1:7" x14ac:dyDescent="0.2">
      <c r="A2069" s="13"/>
      <c r="B2069" s="13"/>
      <c r="D2069" s="13"/>
      <c r="E2069" s="13"/>
      <c r="F2069" s="13"/>
    </row>
    <row r="2070" spans="1:7" x14ac:dyDescent="0.2">
      <c r="A2070" s="13"/>
      <c r="B2070" s="13"/>
      <c r="D2070" s="13"/>
      <c r="E2070" s="13"/>
      <c r="F2070" s="13"/>
    </row>
    <row r="2071" spans="1:7" x14ac:dyDescent="0.2">
      <c r="A2071" s="13"/>
      <c r="B2071" s="13"/>
      <c r="D2071" s="13"/>
      <c r="E2071" s="13"/>
      <c r="F2071" s="13"/>
    </row>
    <row r="2072" spans="1:7" x14ac:dyDescent="0.2">
      <c r="A2072" s="13"/>
      <c r="B2072" s="13"/>
      <c r="D2072" s="13"/>
      <c r="E2072" s="13"/>
      <c r="F2072" s="13"/>
    </row>
    <row r="2073" spans="1:7" x14ac:dyDescent="0.2">
      <c r="A2073" s="13"/>
      <c r="B2073" s="13"/>
      <c r="D2073" s="13"/>
      <c r="E2073" s="13"/>
      <c r="F2073" s="13"/>
    </row>
    <row r="2074" spans="1:7" x14ac:dyDescent="0.2">
      <c r="A2074" s="13"/>
      <c r="B2074" s="13"/>
      <c r="D2074" s="13"/>
      <c r="E2074" s="13"/>
      <c r="F2074" s="13"/>
    </row>
    <row r="2075" spans="1:7" x14ac:dyDescent="0.2">
      <c r="A2075" s="13"/>
      <c r="B2075" s="13"/>
      <c r="D2075" s="13"/>
      <c r="E2075" s="13"/>
      <c r="F2075" s="13"/>
    </row>
    <row r="2076" spans="1:7" x14ac:dyDescent="0.2">
      <c r="A2076" s="13"/>
      <c r="B2076" s="13"/>
      <c r="D2076" s="13"/>
      <c r="E2076" s="13"/>
      <c r="G2076" s="13"/>
    </row>
    <row r="2077" spans="1:7" x14ac:dyDescent="0.2">
      <c r="A2077" s="13"/>
      <c r="B2077" s="13"/>
      <c r="D2077" s="13"/>
      <c r="E2077" s="13"/>
      <c r="G2077" s="13"/>
    </row>
    <row r="2078" spans="1:7" x14ac:dyDescent="0.2">
      <c r="A2078" s="13"/>
      <c r="B2078" s="13"/>
      <c r="D2078" s="13"/>
      <c r="E2078" s="13"/>
      <c r="G2078" s="13"/>
    </row>
    <row r="2079" spans="1:7" x14ac:dyDescent="0.2">
      <c r="A2079" s="13"/>
      <c r="B2079" s="13"/>
      <c r="D2079" s="13"/>
      <c r="E2079" s="13"/>
      <c r="F2079" s="13"/>
    </row>
    <row r="2080" spans="1:7" x14ac:dyDescent="0.2">
      <c r="A2080" s="13"/>
      <c r="B2080" s="13"/>
      <c r="D2080" s="13"/>
      <c r="E2080" s="13"/>
      <c r="F2080" s="13"/>
    </row>
    <row r="2081" spans="1:7" x14ac:dyDescent="0.2">
      <c r="A2081" s="13"/>
      <c r="B2081" s="13"/>
      <c r="D2081" s="13"/>
      <c r="E2081" s="13"/>
      <c r="F2081" s="13"/>
    </row>
    <row r="2082" spans="1:7" x14ac:dyDescent="0.2">
      <c r="A2082" s="13"/>
      <c r="B2082" s="13"/>
      <c r="D2082" s="13"/>
      <c r="E2082" s="13"/>
      <c r="G2082" s="13"/>
    </row>
    <row r="2083" spans="1:7" x14ac:dyDescent="0.2">
      <c r="A2083" s="13"/>
      <c r="B2083" s="13"/>
      <c r="D2083" s="13"/>
      <c r="E2083" s="13"/>
      <c r="F2083" s="13"/>
    </row>
    <row r="2084" spans="1:7" x14ac:dyDescent="0.2">
      <c r="A2084" s="13"/>
      <c r="B2084" s="13"/>
      <c r="D2084" s="13"/>
      <c r="E2084" s="13"/>
      <c r="F2084" s="13"/>
    </row>
    <row r="2085" spans="1:7" x14ac:dyDescent="0.2">
      <c r="A2085" s="13"/>
      <c r="B2085" s="13"/>
      <c r="D2085" s="13"/>
      <c r="E2085" s="13"/>
      <c r="G2085" s="13"/>
    </row>
    <row r="2086" spans="1:7" x14ac:dyDescent="0.2">
      <c r="A2086" s="13"/>
      <c r="B2086" s="13"/>
      <c r="D2086" s="13"/>
      <c r="E2086" s="13"/>
      <c r="G2086" s="13"/>
    </row>
    <row r="2087" spans="1:7" x14ac:dyDescent="0.2">
      <c r="A2087" s="13"/>
      <c r="B2087" s="13"/>
      <c r="D2087" s="13"/>
      <c r="E2087" s="13"/>
      <c r="G2087" s="13"/>
    </row>
    <row r="2088" spans="1:7" x14ac:dyDescent="0.2">
      <c r="A2088" s="13"/>
      <c r="B2088" s="13"/>
      <c r="D2088" s="13"/>
      <c r="E2088" s="13"/>
      <c r="G2088" s="13"/>
    </row>
    <row r="2089" spans="1:7" x14ac:dyDescent="0.2">
      <c r="A2089" s="13"/>
      <c r="B2089" s="13"/>
      <c r="D2089" s="13"/>
      <c r="E2089" s="13"/>
      <c r="F2089" s="13"/>
    </row>
    <row r="2090" spans="1:7" x14ac:dyDescent="0.2">
      <c r="A2090" s="13"/>
      <c r="B2090" s="13"/>
      <c r="D2090" s="13"/>
      <c r="E2090" s="13"/>
      <c r="F2090" s="13"/>
    </row>
    <row r="2091" spans="1:7" x14ac:dyDescent="0.2">
      <c r="A2091" s="13"/>
      <c r="B2091" s="13"/>
      <c r="D2091" s="13"/>
      <c r="E2091" s="13"/>
      <c r="F2091" s="13"/>
    </row>
    <row r="2092" spans="1:7" x14ac:dyDescent="0.2">
      <c r="A2092" s="13"/>
      <c r="B2092" s="13"/>
      <c r="D2092" s="13"/>
      <c r="E2092" s="13"/>
      <c r="G2092" s="13"/>
    </row>
    <row r="2093" spans="1:7" x14ac:dyDescent="0.2">
      <c r="A2093" s="13"/>
      <c r="B2093" s="13"/>
      <c r="D2093" s="13"/>
      <c r="E2093" s="13"/>
      <c r="G2093" s="13"/>
    </row>
    <row r="2094" spans="1:7" x14ac:dyDescent="0.2">
      <c r="A2094" s="13"/>
      <c r="B2094" s="13"/>
      <c r="D2094" s="13"/>
      <c r="E2094" s="13"/>
      <c r="G2094" s="13"/>
    </row>
    <row r="2095" spans="1:7" x14ac:dyDescent="0.2">
      <c r="A2095" s="13"/>
      <c r="B2095" s="13"/>
      <c r="D2095" s="13"/>
      <c r="E2095" s="13"/>
      <c r="F2095" s="13"/>
    </row>
    <row r="2096" spans="1:7" x14ac:dyDescent="0.2">
      <c r="A2096" s="13"/>
      <c r="B2096" s="13"/>
      <c r="D2096" s="13"/>
      <c r="E2096" s="13"/>
      <c r="F2096" s="13"/>
    </row>
    <row r="2097" spans="1:7" x14ac:dyDescent="0.2">
      <c r="A2097" s="13"/>
      <c r="B2097" s="13"/>
      <c r="D2097" s="13"/>
      <c r="E2097" s="13"/>
      <c r="G2097" s="13"/>
    </row>
    <row r="2098" spans="1:7" x14ac:dyDescent="0.2">
      <c r="A2098" s="13"/>
      <c r="B2098" s="13"/>
      <c r="D2098" s="13"/>
      <c r="E2098" s="13"/>
      <c r="G2098" s="13"/>
    </row>
    <row r="2099" spans="1:7" x14ac:dyDescent="0.2">
      <c r="A2099" s="13"/>
      <c r="B2099" s="13"/>
      <c r="D2099" s="13"/>
      <c r="E2099" s="13"/>
      <c r="F2099" s="13"/>
    </row>
    <row r="2100" spans="1:7" x14ac:dyDescent="0.2">
      <c r="A2100" s="13"/>
      <c r="B2100" s="13"/>
      <c r="D2100" s="13"/>
      <c r="E2100" s="13"/>
      <c r="F2100" s="13"/>
    </row>
    <row r="2101" spans="1:7" x14ac:dyDescent="0.2">
      <c r="A2101" s="13"/>
      <c r="B2101" s="13"/>
      <c r="D2101" s="13"/>
      <c r="E2101" s="13"/>
      <c r="F2101" s="13"/>
    </row>
    <row r="2102" spans="1:7" x14ac:dyDescent="0.2">
      <c r="A2102" s="13"/>
      <c r="B2102" s="13"/>
      <c r="D2102" s="13"/>
      <c r="E2102" s="13"/>
      <c r="F2102" s="13"/>
    </row>
    <row r="2103" spans="1:7" x14ac:dyDescent="0.2">
      <c r="A2103" s="13"/>
      <c r="B2103" s="13"/>
      <c r="D2103" s="13"/>
      <c r="E2103" s="13"/>
      <c r="F2103" s="13"/>
    </row>
    <row r="2104" spans="1:7" x14ac:dyDescent="0.2">
      <c r="A2104" s="13"/>
      <c r="B2104" s="13"/>
      <c r="D2104" s="13"/>
      <c r="E2104" s="13"/>
      <c r="F2104" s="13"/>
    </row>
    <row r="2105" spans="1:7" x14ac:dyDescent="0.2">
      <c r="A2105" s="13"/>
      <c r="B2105" s="13"/>
      <c r="D2105" s="13"/>
      <c r="E2105" s="13"/>
      <c r="F2105" s="13"/>
    </row>
    <row r="2106" spans="1:7" x14ac:dyDescent="0.2">
      <c r="A2106" s="13"/>
      <c r="B2106" s="13"/>
      <c r="D2106" s="13"/>
      <c r="E2106" s="13"/>
      <c r="F2106" s="13"/>
    </row>
    <row r="2107" spans="1:7" x14ac:dyDescent="0.2">
      <c r="A2107" s="13"/>
      <c r="B2107" s="13"/>
      <c r="D2107" s="13"/>
      <c r="E2107" s="13"/>
      <c r="F2107" s="13"/>
    </row>
    <row r="2108" spans="1:7" x14ac:dyDescent="0.2">
      <c r="A2108" s="13"/>
      <c r="B2108" s="13"/>
      <c r="D2108" s="13"/>
      <c r="E2108" s="13"/>
      <c r="F2108" s="13"/>
    </row>
    <row r="2109" spans="1:7" x14ac:dyDescent="0.2">
      <c r="A2109" s="13"/>
      <c r="B2109" s="13"/>
      <c r="D2109" s="13"/>
      <c r="E2109" s="13"/>
      <c r="G2109" s="13"/>
    </row>
    <row r="2110" spans="1:7" x14ac:dyDescent="0.2">
      <c r="A2110" s="13"/>
      <c r="B2110" s="13"/>
      <c r="D2110" s="13"/>
      <c r="E2110" s="13"/>
      <c r="G2110" s="13"/>
    </row>
    <row r="2111" spans="1:7" x14ac:dyDescent="0.2">
      <c r="A2111" s="13"/>
      <c r="B2111" s="13"/>
      <c r="D2111" s="13"/>
      <c r="E2111" s="13"/>
      <c r="G2111" s="13"/>
    </row>
    <row r="2112" spans="1:7" x14ac:dyDescent="0.2">
      <c r="A2112" s="13"/>
      <c r="B2112" s="13"/>
      <c r="D2112" s="13"/>
      <c r="E2112" s="13"/>
      <c r="G2112" s="13"/>
    </row>
    <row r="2113" spans="1:7" x14ac:dyDescent="0.2">
      <c r="A2113" s="13"/>
      <c r="B2113" s="13"/>
      <c r="D2113" s="13"/>
      <c r="E2113" s="13"/>
      <c r="G2113" s="13"/>
    </row>
    <row r="2114" spans="1:7" x14ac:dyDescent="0.2">
      <c r="A2114" s="13"/>
      <c r="B2114" s="13"/>
      <c r="D2114" s="13"/>
      <c r="E2114" s="13"/>
      <c r="G2114" s="13"/>
    </row>
    <row r="2115" spans="1:7" x14ac:dyDescent="0.2">
      <c r="A2115" s="13"/>
      <c r="B2115" s="13"/>
      <c r="D2115" s="13"/>
      <c r="E2115" s="13"/>
      <c r="G2115" s="13"/>
    </row>
    <row r="2116" spans="1:7" x14ac:dyDescent="0.2">
      <c r="A2116" s="13"/>
      <c r="B2116" s="13"/>
      <c r="D2116" s="13"/>
      <c r="E2116" s="13"/>
      <c r="G2116" s="13"/>
    </row>
    <row r="2117" spans="1:7" x14ac:dyDescent="0.2">
      <c r="A2117" s="13"/>
      <c r="B2117" s="13"/>
      <c r="D2117" s="13"/>
      <c r="E2117" s="13"/>
      <c r="G2117" s="13"/>
    </row>
    <row r="2118" spans="1:7" x14ac:dyDescent="0.2">
      <c r="A2118" s="13"/>
      <c r="B2118" s="13"/>
      <c r="D2118" s="13"/>
      <c r="E2118" s="13"/>
      <c r="G2118" s="13"/>
    </row>
    <row r="2119" spans="1:7" x14ac:dyDescent="0.2">
      <c r="A2119" s="13"/>
      <c r="B2119" s="13"/>
      <c r="D2119" s="13"/>
      <c r="E2119" s="13"/>
      <c r="F2119" s="13"/>
    </row>
    <row r="2120" spans="1:7" x14ac:dyDescent="0.2">
      <c r="A2120" s="13"/>
      <c r="B2120" s="13"/>
      <c r="D2120" s="13"/>
      <c r="E2120" s="13"/>
      <c r="F2120" s="13"/>
    </row>
    <row r="2121" spans="1:7" x14ac:dyDescent="0.2">
      <c r="A2121" s="13"/>
      <c r="B2121" s="13"/>
      <c r="D2121" s="13"/>
      <c r="E2121" s="13"/>
      <c r="F2121" s="13"/>
    </row>
    <row r="2122" spans="1:7" x14ac:dyDescent="0.2">
      <c r="A2122" s="13"/>
      <c r="B2122" s="13"/>
      <c r="D2122" s="13"/>
      <c r="E2122" s="13"/>
      <c r="F2122" s="13"/>
    </row>
    <row r="2123" spans="1:7" x14ac:dyDescent="0.2">
      <c r="A2123" s="13"/>
      <c r="B2123" s="13"/>
      <c r="D2123" s="13"/>
      <c r="E2123" s="13"/>
      <c r="F2123" s="13"/>
    </row>
    <row r="2124" spans="1:7" x14ac:dyDescent="0.2">
      <c r="A2124" s="13"/>
      <c r="B2124" s="13"/>
      <c r="D2124" s="13"/>
      <c r="E2124" s="13"/>
      <c r="F2124" s="13"/>
    </row>
    <row r="2125" spans="1:7" x14ac:dyDescent="0.2">
      <c r="A2125" s="13"/>
      <c r="B2125" s="13"/>
      <c r="D2125" s="13"/>
      <c r="E2125" s="13"/>
      <c r="F2125" s="13"/>
    </row>
    <row r="2126" spans="1:7" x14ac:dyDescent="0.2">
      <c r="A2126" s="13"/>
      <c r="B2126" s="13"/>
      <c r="D2126" s="13"/>
      <c r="E2126" s="13"/>
      <c r="F2126" s="13"/>
    </row>
    <row r="2127" spans="1:7" x14ac:dyDescent="0.2">
      <c r="A2127" s="13"/>
      <c r="B2127" s="13"/>
      <c r="D2127" s="13"/>
      <c r="E2127" s="13"/>
      <c r="F2127" s="13"/>
    </row>
    <row r="2128" spans="1:7" x14ac:dyDescent="0.2">
      <c r="A2128" s="13"/>
      <c r="B2128" s="13"/>
      <c r="D2128" s="13"/>
      <c r="E2128" s="13"/>
      <c r="F2128" s="13"/>
    </row>
    <row r="2129" spans="1:7" x14ac:dyDescent="0.2">
      <c r="A2129" s="13"/>
      <c r="B2129" s="13"/>
      <c r="D2129" s="13"/>
      <c r="E2129" s="13"/>
      <c r="F2129" s="13"/>
    </row>
    <row r="2130" spans="1:7" x14ac:dyDescent="0.2">
      <c r="A2130" s="13"/>
      <c r="B2130" s="13"/>
      <c r="D2130" s="13"/>
      <c r="E2130" s="13"/>
      <c r="F2130" s="13"/>
    </row>
    <row r="2131" spans="1:7" x14ac:dyDescent="0.2">
      <c r="A2131" s="13"/>
      <c r="B2131" s="13"/>
      <c r="D2131" s="13"/>
      <c r="E2131" s="13"/>
      <c r="F2131" s="13"/>
    </row>
    <row r="2132" spans="1:7" x14ac:dyDescent="0.2">
      <c r="A2132" s="13"/>
      <c r="B2132" s="13"/>
      <c r="D2132" s="13"/>
      <c r="E2132" s="13"/>
      <c r="F2132" s="13"/>
    </row>
    <row r="2133" spans="1:7" x14ac:dyDescent="0.2">
      <c r="A2133" s="13"/>
      <c r="B2133" s="13"/>
      <c r="D2133" s="13"/>
      <c r="E2133" s="13"/>
      <c r="G2133" s="13"/>
    </row>
    <row r="2134" spans="1:7" x14ac:dyDescent="0.2">
      <c r="A2134" s="13"/>
      <c r="B2134" s="13"/>
      <c r="D2134" s="13"/>
      <c r="E2134" s="13"/>
      <c r="G2134" s="13"/>
    </row>
    <row r="2135" spans="1:7" x14ac:dyDescent="0.2">
      <c r="A2135" s="13"/>
      <c r="B2135" s="13"/>
      <c r="D2135" s="13"/>
      <c r="E2135" s="13"/>
      <c r="G2135" s="13"/>
    </row>
    <row r="2136" spans="1:7" x14ac:dyDescent="0.2">
      <c r="A2136" s="13"/>
      <c r="B2136" s="13"/>
      <c r="D2136" s="13"/>
      <c r="E2136" s="13"/>
      <c r="G2136" s="13"/>
    </row>
    <row r="2137" spans="1:7" x14ac:dyDescent="0.2">
      <c r="A2137" s="13"/>
      <c r="B2137" s="13"/>
      <c r="D2137" s="13"/>
      <c r="E2137" s="13"/>
      <c r="F2137" s="13"/>
    </row>
    <row r="2138" spans="1:7" x14ac:dyDescent="0.2">
      <c r="A2138" s="13"/>
      <c r="B2138" s="13"/>
      <c r="D2138" s="13"/>
      <c r="E2138" s="13"/>
      <c r="F2138" s="13"/>
    </row>
    <row r="2139" spans="1:7" x14ac:dyDescent="0.2">
      <c r="A2139" s="13"/>
      <c r="B2139" s="13"/>
      <c r="D2139" s="13"/>
      <c r="E2139" s="13"/>
      <c r="F2139" s="13"/>
    </row>
    <row r="2140" spans="1:7" x14ac:dyDescent="0.2">
      <c r="A2140" s="13"/>
      <c r="B2140" s="13"/>
      <c r="D2140" s="13"/>
      <c r="E2140" s="13"/>
      <c r="F2140" s="13"/>
    </row>
    <row r="2141" spans="1:7" x14ac:dyDescent="0.2">
      <c r="A2141" s="13"/>
      <c r="B2141" s="13"/>
      <c r="D2141" s="13"/>
      <c r="E2141" s="13"/>
      <c r="G2141" s="13"/>
    </row>
    <row r="2142" spans="1:7" x14ac:dyDescent="0.2">
      <c r="A2142" s="13"/>
      <c r="B2142" s="13"/>
      <c r="D2142" s="13"/>
      <c r="E2142" s="13"/>
      <c r="F2142" s="13"/>
    </row>
    <row r="2143" spans="1:7" x14ac:dyDescent="0.2">
      <c r="A2143" s="13"/>
      <c r="B2143" s="13"/>
      <c r="D2143" s="13"/>
      <c r="E2143" s="13"/>
      <c r="F2143" s="13"/>
    </row>
    <row r="2144" spans="1:7" x14ac:dyDescent="0.2">
      <c r="A2144" s="13"/>
      <c r="B2144" s="13"/>
      <c r="D2144" s="13"/>
      <c r="E2144" s="13"/>
      <c r="F2144" s="13"/>
    </row>
    <row r="2145" spans="1:7" x14ac:dyDescent="0.2">
      <c r="A2145" s="13"/>
      <c r="B2145" s="13"/>
      <c r="D2145" s="13"/>
      <c r="E2145" s="13"/>
      <c r="F2145" s="13"/>
    </row>
    <row r="2146" spans="1:7" x14ac:dyDescent="0.2">
      <c r="A2146" s="13"/>
      <c r="B2146" s="13"/>
      <c r="D2146" s="13"/>
      <c r="E2146" s="13"/>
      <c r="F2146" s="13"/>
    </row>
    <row r="2147" spans="1:7" x14ac:dyDescent="0.2">
      <c r="A2147" s="13"/>
      <c r="B2147" s="13"/>
      <c r="D2147" s="13"/>
      <c r="E2147" s="13"/>
      <c r="G2147" s="13"/>
    </row>
    <row r="2148" spans="1:7" x14ac:dyDescent="0.2">
      <c r="A2148" s="13"/>
      <c r="B2148" s="13"/>
      <c r="D2148" s="13"/>
      <c r="E2148" s="13"/>
      <c r="G2148" s="13"/>
    </row>
    <row r="2149" spans="1:7" x14ac:dyDescent="0.2">
      <c r="A2149" s="13"/>
      <c r="B2149" s="13"/>
      <c r="D2149" s="13"/>
      <c r="E2149" s="13"/>
      <c r="G2149" s="13"/>
    </row>
    <row r="2150" spans="1:7" x14ac:dyDescent="0.2">
      <c r="A2150" s="13"/>
      <c r="B2150" s="13"/>
      <c r="D2150" s="13"/>
      <c r="E2150" s="13"/>
      <c r="G2150" s="13"/>
    </row>
    <row r="2151" spans="1:7" x14ac:dyDescent="0.2">
      <c r="A2151" s="13"/>
      <c r="B2151" s="13"/>
      <c r="D2151" s="13"/>
      <c r="E2151" s="13"/>
      <c r="G2151" s="13"/>
    </row>
    <row r="2152" spans="1:7" x14ac:dyDescent="0.2">
      <c r="A2152" s="13"/>
      <c r="B2152" s="13"/>
      <c r="D2152" s="13"/>
      <c r="E2152" s="13"/>
      <c r="G2152" s="13"/>
    </row>
    <row r="2153" spans="1:7" x14ac:dyDescent="0.2">
      <c r="A2153" s="13"/>
      <c r="B2153" s="13"/>
      <c r="D2153" s="13"/>
      <c r="E2153" s="13"/>
      <c r="F2153" s="13"/>
    </row>
    <row r="2154" spans="1:7" x14ac:dyDescent="0.2">
      <c r="A2154" s="13"/>
      <c r="B2154" s="13"/>
      <c r="D2154" s="13"/>
      <c r="E2154" s="13"/>
      <c r="G2154" s="13"/>
    </row>
    <row r="2155" spans="1:7" x14ac:dyDescent="0.2">
      <c r="A2155" s="13"/>
      <c r="B2155" s="13"/>
      <c r="D2155" s="13"/>
      <c r="E2155" s="13"/>
      <c r="F2155" s="13"/>
    </row>
    <row r="2156" spans="1:7" x14ac:dyDescent="0.2">
      <c r="A2156" s="13"/>
      <c r="B2156" s="13"/>
      <c r="D2156" s="13"/>
      <c r="E2156" s="13"/>
      <c r="F2156" s="13"/>
    </row>
    <row r="2157" spans="1:7" x14ac:dyDescent="0.2">
      <c r="A2157" s="13"/>
      <c r="B2157" s="13"/>
      <c r="D2157" s="13"/>
      <c r="E2157" s="13"/>
      <c r="F2157" s="13"/>
    </row>
    <row r="2158" spans="1:7" x14ac:dyDescent="0.2">
      <c r="A2158" s="13"/>
      <c r="B2158" s="13"/>
      <c r="D2158" s="13"/>
      <c r="E2158" s="13"/>
      <c r="F2158" s="13"/>
    </row>
    <row r="2159" spans="1:7" x14ac:dyDescent="0.2">
      <c r="A2159" s="13"/>
      <c r="B2159" s="13"/>
      <c r="D2159" s="13"/>
      <c r="E2159" s="13"/>
      <c r="G2159" s="13"/>
    </row>
    <row r="2160" spans="1:7" x14ac:dyDescent="0.2">
      <c r="A2160" s="13"/>
      <c r="B2160" s="13"/>
      <c r="D2160" s="13"/>
      <c r="E2160" s="13"/>
      <c r="G2160" s="13"/>
    </row>
    <row r="2161" spans="1:7" x14ac:dyDescent="0.2">
      <c r="A2161" s="13"/>
      <c r="B2161" s="13"/>
      <c r="D2161" s="13"/>
      <c r="E2161" s="13"/>
      <c r="G2161" s="13"/>
    </row>
    <row r="2162" spans="1:7" x14ac:dyDescent="0.2">
      <c r="A2162" s="13"/>
      <c r="B2162" s="13"/>
      <c r="D2162" s="13"/>
      <c r="E2162" s="13"/>
      <c r="G2162" s="13"/>
    </row>
    <row r="2163" spans="1:7" x14ac:dyDescent="0.2">
      <c r="A2163" s="13"/>
      <c r="B2163" s="13"/>
      <c r="D2163" s="13"/>
      <c r="E2163" s="13"/>
      <c r="G2163" s="13"/>
    </row>
    <row r="2164" spans="1:7" x14ac:dyDescent="0.2">
      <c r="A2164" s="13"/>
      <c r="B2164" s="13"/>
      <c r="D2164" s="13"/>
      <c r="E2164" s="13"/>
      <c r="G2164" s="13"/>
    </row>
    <row r="2165" spans="1:7" x14ac:dyDescent="0.2">
      <c r="A2165" s="13"/>
      <c r="B2165" s="13"/>
      <c r="D2165" s="13"/>
      <c r="E2165" s="13"/>
      <c r="F2165" s="13"/>
    </row>
    <row r="2166" spans="1:7" x14ac:dyDescent="0.2">
      <c r="A2166" s="13"/>
      <c r="B2166" s="13"/>
      <c r="D2166" s="13"/>
      <c r="E2166" s="13"/>
      <c r="F2166" s="13"/>
    </row>
    <row r="2167" spans="1:7" x14ac:dyDescent="0.2">
      <c r="A2167" s="13"/>
      <c r="B2167" s="13"/>
      <c r="D2167" s="13"/>
      <c r="E2167" s="13"/>
      <c r="F2167" s="13"/>
    </row>
    <row r="2168" spans="1:7" x14ac:dyDescent="0.2">
      <c r="A2168" s="13"/>
      <c r="B2168" s="13"/>
      <c r="D2168" s="13"/>
      <c r="E2168" s="13"/>
      <c r="F2168" s="13"/>
    </row>
    <row r="2169" spans="1:7" x14ac:dyDescent="0.2">
      <c r="A2169" s="13"/>
      <c r="B2169" s="13"/>
      <c r="D2169" s="13"/>
      <c r="E2169" s="13"/>
      <c r="F2169" s="13"/>
    </row>
    <row r="2170" spans="1:7" x14ac:dyDescent="0.2">
      <c r="A2170" s="13"/>
      <c r="B2170" s="13"/>
      <c r="D2170" s="13"/>
      <c r="E2170" s="13"/>
      <c r="G2170" s="13"/>
    </row>
    <row r="2171" spans="1:7" x14ac:dyDescent="0.2">
      <c r="A2171" s="13"/>
      <c r="B2171" s="13"/>
      <c r="D2171" s="13"/>
      <c r="E2171" s="13"/>
      <c r="G2171" s="13"/>
    </row>
    <row r="2172" spans="1:7" x14ac:dyDescent="0.2">
      <c r="A2172" s="13"/>
      <c r="B2172" s="13"/>
      <c r="D2172" s="13"/>
      <c r="E2172" s="13"/>
      <c r="G2172" s="13"/>
    </row>
    <row r="2173" spans="1:7" x14ac:dyDescent="0.2">
      <c r="A2173" s="13"/>
      <c r="B2173" s="13"/>
      <c r="D2173" s="13"/>
      <c r="E2173" s="13"/>
      <c r="F2173" s="13"/>
    </row>
    <row r="2174" spans="1:7" x14ac:dyDescent="0.2">
      <c r="A2174" s="13"/>
      <c r="B2174" s="13"/>
      <c r="D2174" s="13"/>
      <c r="E2174" s="13"/>
      <c r="G2174" s="13"/>
    </row>
    <row r="2175" spans="1:7" x14ac:dyDescent="0.2">
      <c r="A2175" s="13"/>
      <c r="B2175" s="13"/>
      <c r="D2175" s="13"/>
      <c r="E2175" s="13"/>
      <c r="G2175" s="13"/>
    </row>
    <row r="2176" spans="1:7" x14ac:dyDescent="0.2">
      <c r="A2176" s="13"/>
      <c r="B2176" s="13"/>
      <c r="D2176" s="13"/>
      <c r="E2176" s="13"/>
      <c r="F2176" s="13"/>
    </row>
    <row r="2177" spans="1:7" x14ac:dyDescent="0.2">
      <c r="A2177" s="13"/>
      <c r="B2177" s="13"/>
      <c r="D2177" s="13"/>
      <c r="E2177" s="13"/>
      <c r="G2177" s="13"/>
    </row>
    <row r="2178" spans="1:7" x14ac:dyDescent="0.2">
      <c r="A2178" s="13"/>
      <c r="B2178" s="13"/>
      <c r="D2178" s="13"/>
      <c r="E2178" s="13"/>
      <c r="F2178" s="13"/>
    </row>
    <row r="2179" spans="1:7" x14ac:dyDescent="0.2">
      <c r="A2179" s="13"/>
      <c r="B2179" s="13"/>
      <c r="D2179" s="13"/>
      <c r="E2179" s="13"/>
      <c r="F2179" s="13"/>
    </row>
    <row r="2180" spans="1:7" x14ac:dyDescent="0.2">
      <c r="A2180" s="13"/>
      <c r="B2180" s="13"/>
      <c r="D2180" s="13"/>
      <c r="E2180" s="13"/>
      <c r="F2180" s="13"/>
    </row>
    <row r="2181" spans="1:7" x14ac:dyDescent="0.2">
      <c r="A2181" s="13"/>
      <c r="B2181" s="13"/>
      <c r="D2181" s="13"/>
      <c r="E2181" s="13"/>
      <c r="F2181" s="13"/>
    </row>
    <row r="2182" spans="1:7" x14ac:dyDescent="0.2">
      <c r="A2182" s="13"/>
      <c r="B2182" s="13"/>
      <c r="D2182" s="13"/>
      <c r="E2182" s="13"/>
      <c r="F2182" s="13"/>
    </row>
    <row r="2183" spans="1:7" x14ac:dyDescent="0.2">
      <c r="A2183" s="13"/>
      <c r="B2183" s="13"/>
      <c r="D2183" s="13"/>
      <c r="E2183" s="13"/>
      <c r="F2183" s="13"/>
    </row>
    <row r="2184" spans="1:7" x14ac:dyDescent="0.2">
      <c r="A2184" s="13"/>
      <c r="B2184" s="13"/>
      <c r="D2184" s="13"/>
      <c r="E2184" s="13"/>
      <c r="G2184" s="13"/>
    </row>
    <row r="2185" spans="1:7" x14ac:dyDescent="0.2">
      <c r="A2185" s="13"/>
      <c r="B2185" s="13"/>
      <c r="D2185" s="13"/>
      <c r="E2185" s="13"/>
      <c r="G2185" s="13"/>
    </row>
    <row r="2186" spans="1:7" x14ac:dyDescent="0.2">
      <c r="A2186" s="13"/>
      <c r="B2186" s="13"/>
      <c r="D2186" s="13"/>
      <c r="E2186" s="13"/>
      <c r="F2186" s="13"/>
    </row>
    <row r="2187" spans="1:7" x14ac:dyDescent="0.2">
      <c r="A2187" s="13"/>
      <c r="B2187" s="13"/>
      <c r="D2187" s="13"/>
      <c r="E2187" s="13"/>
      <c r="G2187" s="13"/>
    </row>
    <row r="2188" spans="1:7" x14ac:dyDescent="0.2">
      <c r="A2188" s="13"/>
      <c r="B2188" s="13"/>
      <c r="D2188" s="13"/>
      <c r="E2188" s="13"/>
      <c r="G2188" s="13"/>
    </row>
    <row r="2189" spans="1:7" x14ac:dyDescent="0.2">
      <c r="A2189" s="13"/>
      <c r="B2189" s="13"/>
      <c r="D2189" s="13"/>
      <c r="E2189" s="13"/>
      <c r="G2189" s="13"/>
    </row>
    <row r="2190" spans="1:7" x14ac:dyDescent="0.2">
      <c r="A2190" s="13"/>
      <c r="B2190" s="13"/>
      <c r="D2190" s="13"/>
      <c r="E2190" s="13"/>
      <c r="F2190" s="13"/>
    </row>
    <row r="2191" spans="1:7" x14ac:dyDescent="0.2">
      <c r="A2191" s="13"/>
      <c r="B2191" s="13"/>
      <c r="D2191" s="13"/>
      <c r="E2191" s="13"/>
      <c r="F2191" s="13"/>
    </row>
    <row r="2192" spans="1:7" x14ac:dyDescent="0.2">
      <c r="A2192" s="13"/>
      <c r="B2192" s="13"/>
      <c r="D2192" s="13"/>
      <c r="E2192" s="13"/>
      <c r="F2192" s="13"/>
    </row>
    <row r="2193" spans="1:7" x14ac:dyDescent="0.2">
      <c r="A2193" s="13"/>
      <c r="B2193" s="13"/>
      <c r="D2193" s="13"/>
      <c r="E2193" s="13"/>
      <c r="F2193" s="13"/>
    </row>
    <row r="2194" spans="1:7" x14ac:dyDescent="0.2">
      <c r="A2194" s="13"/>
      <c r="B2194" s="13"/>
      <c r="D2194" s="13"/>
      <c r="E2194" s="13"/>
      <c r="G2194" s="13"/>
    </row>
    <row r="2195" spans="1:7" x14ac:dyDescent="0.2">
      <c r="A2195" s="13"/>
      <c r="B2195" s="13"/>
      <c r="D2195" s="13"/>
      <c r="E2195" s="13"/>
      <c r="G2195" s="13"/>
    </row>
    <row r="2196" spans="1:7" x14ac:dyDescent="0.2">
      <c r="A2196" s="13"/>
      <c r="B2196" s="13"/>
      <c r="D2196" s="13"/>
      <c r="E2196" s="13"/>
      <c r="G2196" s="13"/>
    </row>
    <row r="2197" spans="1:7" x14ac:dyDescent="0.2">
      <c r="A2197" s="13"/>
      <c r="B2197" s="13"/>
      <c r="D2197" s="13"/>
      <c r="E2197" s="13"/>
      <c r="G2197" s="13"/>
    </row>
    <row r="2198" spans="1:7" x14ac:dyDescent="0.2">
      <c r="A2198" s="13"/>
      <c r="B2198" s="13"/>
      <c r="D2198" s="13"/>
      <c r="E2198" s="13"/>
      <c r="G2198" s="13"/>
    </row>
    <row r="2199" spans="1:7" x14ac:dyDescent="0.2">
      <c r="A2199" s="13"/>
      <c r="B2199" s="13"/>
      <c r="D2199" s="13"/>
      <c r="E2199" s="13"/>
      <c r="G2199" s="13"/>
    </row>
    <row r="2200" spans="1:7" x14ac:dyDescent="0.2">
      <c r="A2200" s="13"/>
      <c r="B2200" s="13"/>
      <c r="D2200" s="13"/>
      <c r="E2200" s="13"/>
      <c r="G2200" s="13"/>
    </row>
    <row r="2201" spans="1:7" x14ac:dyDescent="0.2">
      <c r="A2201" s="13"/>
      <c r="B2201" s="13"/>
      <c r="D2201" s="13"/>
      <c r="E2201" s="13"/>
      <c r="F2201" s="13"/>
    </row>
    <row r="2202" spans="1:7" x14ac:dyDescent="0.2">
      <c r="A2202" s="13"/>
      <c r="B2202" s="13"/>
      <c r="D2202" s="13"/>
      <c r="E2202" s="13"/>
      <c r="F2202" s="13"/>
    </row>
    <row r="2203" spans="1:7" x14ac:dyDescent="0.2">
      <c r="A2203" s="13"/>
      <c r="B2203" s="13"/>
      <c r="D2203" s="13"/>
      <c r="E2203" s="13"/>
      <c r="F2203" s="13"/>
    </row>
    <row r="2204" spans="1:7" x14ac:dyDescent="0.2">
      <c r="A2204" s="13"/>
      <c r="B2204" s="13"/>
      <c r="D2204" s="13"/>
      <c r="E2204" s="13"/>
      <c r="F2204" s="13"/>
    </row>
    <row r="2205" spans="1:7" x14ac:dyDescent="0.2">
      <c r="A2205" s="13"/>
      <c r="B2205" s="13"/>
      <c r="D2205" s="13"/>
      <c r="E2205" s="13"/>
      <c r="G2205" s="13"/>
    </row>
    <row r="2206" spans="1:7" x14ac:dyDescent="0.2">
      <c r="A2206" s="13"/>
      <c r="B2206" s="13"/>
      <c r="D2206" s="13"/>
      <c r="E2206" s="13"/>
      <c r="G2206" s="13"/>
    </row>
    <row r="2207" spans="1:7" x14ac:dyDescent="0.2">
      <c r="A2207" s="13"/>
      <c r="B2207" s="13"/>
      <c r="D2207" s="13"/>
      <c r="E2207" s="13"/>
      <c r="G2207" s="13"/>
    </row>
    <row r="2208" spans="1:7" x14ac:dyDescent="0.2">
      <c r="A2208" s="13"/>
      <c r="B2208" s="13"/>
      <c r="D2208" s="13"/>
      <c r="E2208" s="13"/>
      <c r="F2208" s="13"/>
    </row>
    <row r="2209" spans="1:7" x14ac:dyDescent="0.2">
      <c r="A2209" s="13"/>
      <c r="B2209" s="13"/>
      <c r="D2209" s="13"/>
      <c r="E2209" s="13"/>
      <c r="F2209" s="13"/>
    </row>
    <row r="2210" spans="1:7" x14ac:dyDescent="0.2">
      <c r="A2210" s="13"/>
      <c r="B2210" s="13"/>
      <c r="D2210" s="13"/>
      <c r="E2210" s="13"/>
      <c r="F2210" s="13"/>
    </row>
    <row r="2211" spans="1:7" x14ac:dyDescent="0.2">
      <c r="A2211" s="13"/>
      <c r="B2211" s="13"/>
      <c r="D2211" s="13"/>
      <c r="E2211" s="13"/>
      <c r="F2211" s="13"/>
    </row>
    <row r="2212" spans="1:7" x14ac:dyDescent="0.2">
      <c r="A2212" s="13"/>
      <c r="B2212" s="13"/>
      <c r="D2212" s="13"/>
      <c r="E2212" s="13"/>
      <c r="F2212" s="13"/>
    </row>
    <row r="2213" spans="1:7" x14ac:dyDescent="0.2">
      <c r="A2213" s="13"/>
      <c r="B2213" s="13"/>
      <c r="D2213" s="13"/>
      <c r="E2213" s="13"/>
      <c r="F2213" s="13"/>
    </row>
    <row r="2214" spans="1:7" x14ac:dyDescent="0.2">
      <c r="A2214" s="13"/>
      <c r="B2214" s="13"/>
      <c r="D2214" s="13"/>
      <c r="E2214" s="13"/>
      <c r="F2214" s="13"/>
    </row>
    <row r="2215" spans="1:7" x14ac:dyDescent="0.2">
      <c r="A2215" s="13"/>
      <c r="B2215" s="13"/>
      <c r="D2215" s="13"/>
      <c r="E2215" s="13"/>
      <c r="F2215" s="13"/>
    </row>
    <row r="2216" spans="1:7" x14ac:dyDescent="0.2">
      <c r="A2216" s="13"/>
      <c r="B2216" s="13"/>
      <c r="D2216" s="13"/>
      <c r="E2216" s="13"/>
      <c r="F2216" s="13"/>
    </row>
    <row r="2217" spans="1:7" x14ac:dyDescent="0.2">
      <c r="A2217" s="13"/>
      <c r="B2217" s="13"/>
      <c r="D2217" s="13"/>
      <c r="E2217" s="13"/>
      <c r="F2217" s="13"/>
    </row>
    <row r="2218" spans="1:7" x14ac:dyDescent="0.2">
      <c r="A2218" s="13"/>
      <c r="B2218" s="13"/>
      <c r="D2218" s="13"/>
      <c r="E2218" s="13"/>
      <c r="F2218" s="13"/>
    </row>
    <row r="2219" spans="1:7" x14ac:dyDescent="0.2">
      <c r="A2219" s="13"/>
      <c r="B2219" s="13"/>
      <c r="D2219" s="13"/>
      <c r="E2219" s="13"/>
      <c r="F2219" s="13"/>
    </row>
    <row r="2220" spans="1:7" x14ac:dyDescent="0.2">
      <c r="A2220" s="13"/>
      <c r="B2220" s="13"/>
      <c r="D2220" s="13"/>
      <c r="E2220" s="13"/>
      <c r="G2220" s="13"/>
    </row>
    <row r="2221" spans="1:7" x14ac:dyDescent="0.2">
      <c r="A2221" s="13"/>
      <c r="B2221" s="13"/>
      <c r="D2221" s="13"/>
      <c r="E2221" s="13"/>
      <c r="G2221" s="13"/>
    </row>
    <row r="2222" spans="1:7" x14ac:dyDescent="0.2">
      <c r="A2222" s="13"/>
      <c r="B2222" s="13"/>
      <c r="D2222" s="13"/>
      <c r="E2222" s="13"/>
      <c r="G2222" s="13"/>
    </row>
    <row r="2223" spans="1:7" x14ac:dyDescent="0.2">
      <c r="A2223" s="13"/>
      <c r="B2223" s="13"/>
      <c r="D2223" s="13"/>
      <c r="E2223" s="13"/>
      <c r="F2223" s="13"/>
    </row>
    <row r="2224" spans="1:7" x14ac:dyDescent="0.2">
      <c r="A2224" s="13"/>
      <c r="B2224" s="13"/>
      <c r="D2224" s="13"/>
      <c r="E2224" s="13"/>
      <c r="F2224" s="13"/>
    </row>
    <row r="2225" spans="1:7" x14ac:dyDescent="0.2">
      <c r="A2225" s="13"/>
      <c r="B2225" s="13"/>
      <c r="D2225" s="13"/>
      <c r="E2225" s="13"/>
      <c r="G2225" s="13"/>
    </row>
    <row r="2226" spans="1:7" x14ac:dyDescent="0.2">
      <c r="A2226" s="13"/>
      <c r="B2226" s="13"/>
      <c r="D2226" s="13"/>
      <c r="E2226" s="13"/>
      <c r="G2226" s="13"/>
    </row>
    <row r="2227" spans="1:7" x14ac:dyDescent="0.2">
      <c r="A2227" s="13"/>
      <c r="B2227" s="13"/>
      <c r="D2227" s="13"/>
      <c r="E2227" s="13"/>
      <c r="G2227" s="13"/>
    </row>
    <row r="2228" spans="1:7" x14ac:dyDescent="0.2">
      <c r="A2228" s="13"/>
      <c r="B2228" s="13"/>
      <c r="D2228" s="13"/>
      <c r="E2228" s="13"/>
      <c r="F2228" s="13"/>
    </row>
    <row r="2229" spans="1:7" x14ac:dyDescent="0.2">
      <c r="A2229" s="13"/>
      <c r="B2229" s="13"/>
      <c r="D2229" s="13"/>
      <c r="E2229" s="13"/>
      <c r="F2229" s="13"/>
    </row>
    <row r="2230" spans="1:7" x14ac:dyDescent="0.2">
      <c r="A2230" s="13"/>
      <c r="B2230" s="13"/>
      <c r="D2230" s="13"/>
      <c r="E2230" s="13"/>
      <c r="F2230" s="13"/>
    </row>
    <row r="2231" spans="1:7" x14ac:dyDescent="0.2">
      <c r="A2231" s="13"/>
      <c r="B2231" s="13"/>
      <c r="D2231" s="13"/>
      <c r="E2231" s="13"/>
      <c r="F2231" s="13"/>
    </row>
    <row r="2232" spans="1:7" x14ac:dyDescent="0.2">
      <c r="A2232" s="13"/>
      <c r="B2232" s="13"/>
      <c r="D2232" s="13"/>
      <c r="E2232" s="13"/>
      <c r="F2232" s="13"/>
    </row>
    <row r="2233" spans="1:7" x14ac:dyDescent="0.2">
      <c r="A2233" s="13"/>
      <c r="B2233" s="13"/>
      <c r="D2233" s="13"/>
      <c r="E2233" s="13"/>
      <c r="F2233" s="13"/>
    </row>
    <row r="2234" spans="1:7" x14ac:dyDescent="0.2">
      <c r="A2234" s="13"/>
      <c r="B2234" s="13"/>
      <c r="D2234" s="13"/>
      <c r="E2234" s="13"/>
      <c r="F2234" s="13"/>
    </row>
    <row r="2235" spans="1:7" x14ac:dyDescent="0.2">
      <c r="A2235" s="13"/>
      <c r="B2235" s="13"/>
      <c r="D2235" s="13"/>
      <c r="E2235" s="13"/>
      <c r="F2235" s="13"/>
    </row>
    <row r="2236" spans="1:7" x14ac:dyDescent="0.2">
      <c r="A2236" s="13"/>
      <c r="B2236" s="13"/>
      <c r="D2236" s="13"/>
      <c r="E2236" s="13"/>
      <c r="G2236" s="13"/>
    </row>
    <row r="2237" spans="1:7" x14ac:dyDescent="0.2">
      <c r="A2237" s="13"/>
      <c r="B2237" s="13"/>
      <c r="D2237" s="13"/>
      <c r="E2237" s="13"/>
      <c r="G2237" s="13"/>
    </row>
    <row r="2238" spans="1:7" x14ac:dyDescent="0.2">
      <c r="A2238" s="13"/>
      <c r="B2238" s="13"/>
      <c r="D2238" s="13"/>
      <c r="E2238" s="13"/>
      <c r="G2238" s="13"/>
    </row>
    <row r="2239" spans="1:7" x14ac:dyDescent="0.2">
      <c r="A2239" s="13"/>
      <c r="B2239" s="13"/>
      <c r="D2239" s="13"/>
      <c r="E2239" s="13"/>
      <c r="F2239" s="13"/>
    </row>
    <row r="2240" spans="1:7" x14ac:dyDescent="0.2">
      <c r="A2240" s="13"/>
      <c r="B2240" s="13"/>
      <c r="D2240" s="13"/>
      <c r="E2240" s="13"/>
      <c r="F2240" s="13"/>
    </row>
    <row r="2241" spans="1:7" x14ac:dyDescent="0.2">
      <c r="A2241" s="13"/>
      <c r="B2241" s="13"/>
      <c r="D2241" s="13"/>
      <c r="E2241" s="13"/>
      <c r="G2241" s="13"/>
    </row>
    <row r="2242" spans="1:7" x14ac:dyDescent="0.2">
      <c r="A2242" s="13"/>
      <c r="B2242" s="13"/>
      <c r="D2242" s="13"/>
      <c r="E2242" s="13"/>
      <c r="G2242" s="13"/>
    </row>
    <row r="2243" spans="1:7" x14ac:dyDescent="0.2">
      <c r="A2243" s="13"/>
      <c r="B2243" s="13"/>
      <c r="D2243" s="13"/>
      <c r="E2243" s="13"/>
      <c r="F2243" s="13"/>
    </row>
    <row r="2244" spans="1:7" x14ac:dyDescent="0.2">
      <c r="A2244" s="13"/>
      <c r="B2244" s="13"/>
      <c r="D2244" s="13"/>
      <c r="E2244" s="13"/>
      <c r="F2244" s="13"/>
    </row>
    <row r="2245" spans="1:7" x14ac:dyDescent="0.2">
      <c r="A2245" s="13"/>
      <c r="B2245" s="13"/>
      <c r="D2245" s="13"/>
      <c r="E2245" s="13"/>
      <c r="F2245" s="13"/>
    </row>
    <row r="2246" spans="1:7" x14ac:dyDescent="0.2">
      <c r="A2246" s="13"/>
      <c r="B2246" s="13"/>
      <c r="D2246" s="13"/>
      <c r="E2246" s="13"/>
      <c r="F2246" s="13"/>
    </row>
    <row r="2247" spans="1:7" x14ac:dyDescent="0.2">
      <c r="A2247" s="13"/>
      <c r="B2247" s="13"/>
      <c r="D2247" s="13"/>
      <c r="E2247" s="13"/>
      <c r="G2247" s="13"/>
    </row>
    <row r="2248" spans="1:7" x14ac:dyDescent="0.2">
      <c r="A2248" s="13"/>
      <c r="B2248" s="13"/>
      <c r="D2248" s="13"/>
      <c r="E2248" s="13"/>
      <c r="F2248" s="13"/>
    </row>
    <row r="2249" spans="1:7" x14ac:dyDescent="0.2">
      <c r="A2249" s="13"/>
      <c r="B2249" s="13"/>
      <c r="D2249" s="13"/>
      <c r="E2249" s="13"/>
      <c r="F2249" s="13"/>
    </row>
    <row r="2250" spans="1:7" x14ac:dyDescent="0.2">
      <c r="A2250" s="13"/>
      <c r="B2250" s="13"/>
      <c r="D2250" s="13"/>
      <c r="E2250" s="13"/>
      <c r="F2250" s="13"/>
    </row>
    <row r="2251" spans="1:7" x14ac:dyDescent="0.2">
      <c r="A2251" s="13"/>
      <c r="B2251" s="13"/>
      <c r="D2251" s="13"/>
      <c r="E2251" s="13"/>
      <c r="G2251" s="13"/>
    </row>
    <row r="2252" spans="1:7" x14ac:dyDescent="0.2">
      <c r="A2252" s="13"/>
      <c r="B2252" s="13"/>
      <c r="D2252" s="13"/>
      <c r="E2252" s="13"/>
      <c r="G2252" s="13"/>
    </row>
    <row r="2253" spans="1:7" x14ac:dyDescent="0.2">
      <c r="A2253" s="13"/>
      <c r="B2253" s="13"/>
      <c r="D2253" s="13"/>
      <c r="E2253" s="13"/>
      <c r="G2253" s="13"/>
    </row>
    <row r="2254" spans="1:7" x14ac:dyDescent="0.2">
      <c r="A2254" s="13"/>
      <c r="B2254" s="13"/>
      <c r="D2254" s="13"/>
      <c r="E2254" s="13"/>
      <c r="G2254" s="13"/>
    </row>
    <row r="2255" spans="1:7" x14ac:dyDescent="0.2">
      <c r="A2255" s="13"/>
      <c r="B2255" s="13"/>
      <c r="D2255" s="13"/>
      <c r="E2255" s="13"/>
      <c r="G2255" s="13"/>
    </row>
    <row r="2256" spans="1:7" x14ac:dyDescent="0.2">
      <c r="A2256" s="13"/>
      <c r="B2256" s="13"/>
      <c r="D2256" s="13"/>
      <c r="E2256" s="13"/>
      <c r="G2256" s="13"/>
    </row>
    <row r="2257" spans="1:7" x14ac:dyDescent="0.2">
      <c r="A2257" s="13"/>
      <c r="B2257" s="13"/>
      <c r="D2257" s="13"/>
      <c r="E2257" s="13"/>
      <c r="G2257" s="13"/>
    </row>
    <row r="2258" spans="1:7" x14ac:dyDescent="0.2">
      <c r="A2258" s="13"/>
      <c r="B2258" s="13"/>
      <c r="D2258" s="13"/>
      <c r="E2258" s="13"/>
      <c r="G2258" s="13"/>
    </row>
    <row r="2259" spans="1:7" x14ac:dyDescent="0.2">
      <c r="A2259" s="13"/>
      <c r="B2259" s="13"/>
      <c r="D2259" s="13"/>
      <c r="E2259" s="13"/>
      <c r="G2259" s="13"/>
    </row>
    <row r="2260" spans="1:7" x14ac:dyDescent="0.2">
      <c r="A2260" s="13"/>
      <c r="B2260" s="13"/>
      <c r="D2260" s="13"/>
      <c r="E2260" s="13"/>
      <c r="G2260" s="13"/>
    </row>
    <row r="2261" spans="1:7" x14ac:dyDescent="0.2">
      <c r="A2261" s="13"/>
      <c r="B2261" s="13"/>
      <c r="D2261" s="13"/>
      <c r="E2261" s="13"/>
      <c r="G2261" s="13"/>
    </row>
    <row r="2262" spans="1:7" x14ac:dyDescent="0.2">
      <c r="A2262" s="13"/>
      <c r="B2262" s="13"/>
      <c r="D2262" s="13"/>
      <c r="E2262" s="13"/>
      <c r="F2262" s="13"/>
    </row>
    <row r="2263" spans="1:7" x14ac:dyDescent="0.2">
      <c r="A2263" s="13"/>
      <c r="B2263" s="13"/>
      <c r="D2263" s="13"/>
      <c r="E2263" s="13"/>
      <c r="F2263" s="13"/>
    </row>
    <row r="2264" spans="1:7" x14ac:dyDescent="0.2">
      <c r="A2264" s="13"/>
      <c r="B2264" s="13"/>
      <c r="D2264" s="13"/>
      <c r="E2264" s="13"/>
      <c r="F2264" s="13"/>
    </row>
    <row r="2265" spans="1:7" x14ac:dyDescent="0.2">
      <c r="A2265" s="13"/>
      <c r="B2265" s="13"/>
      <c r="D2265" s="13"/>
      <c r="E2265" s="13"/>
      <c r="F2265" s="13"/>
    </row>
    <row r="2266" spans="1:7" x14ac:dyDescent="0.2">
      <c r="A2266" s="13"/>
      <c r="B2266" s="13"/>
      <c r="D2266" s="13"/>
      <c r="E2266" s="13"/>
      <c r="F2266" s="13"/>
    </row>
    <row r="2267" spans="1:7" x14ac:dyDescent="0.2">
      <c r="A2267" s="13"/>
      <c r="B2267" s="13"/>
      <c r="D2267" s="13"/>
      <c r="E2267" s="13"/>
      <c r="F2267" s="13"/>
    </row>
    <row r="2268" spans="1:7" x14ac:dyDescent="0.2">
      <c r="A2268" s="13"/>
      <c r="B2268" s="13"/>
      <c r="D2268" s="13"/>
      <c r="E2268" s="13"/>
      <c r="F2268" s="13"/>
    </row>
    <row r="2269" spans="1:7" x14ac:dyDescent="0.2">
      <c r="A2269" s="13"/>
      <c r="B2269" s="13"/>
      <c r="D2269" s="13"/>
      <c r="E2269" s="13"/>
      <c r="F2269" s="13"/>
    </row>
    <row r="2270" spans="1:7" x14ac:dyDescent="0.2">
      <c r="A2270" s="13"/>
      <c r="B2270" s="13"/>
      <c r="D2270" s="13"/>
      <c r="E2270" s="13"/>
      <c r="F2270" s="13"/>
    </row>
    <row r="2271" spans="1:7" x14ac:dyDescent="0.2">
      <c r="A2271" s="13"/>
      <c r="B2271" s="13"/>
      <c r="D2271" s="13"/>
      <c r="E2271" s="13"/>
      <c r="F2271" s="13"/>
    </row>
    <row r="2272" spans="1:7" x14ac:dyDescent="0.2">
      <c r="A2272" s="13"/>
      <c r="B2272" s="13"/>
      <c r="D2272" s="13"/>
      <c r="E2272" s="13"/>
      <c r="F2272" s="13"/>
    </row>
    <row r="2273" spans="1:7" x14ac:dyDescent="0.2">
      <c r="A2273" s="13"/>
      <c r="B2273" s="13"/>
      <c r="D2273" s="13"/>
      <c r="E2273" s="13"/>
      <c r="G2273" s="13"/>
    </row>
    <row r="2274" spans="1:7" x14ac:dyDescent="0.2">
      <c r="A2274" s="13"/>
      <c r="B2274" s="13"/>
      <c r="D2274" s="13"/>
      <c r="E2274" s="13"/>
      <c r="G2274" s="13"/>
    </row>
    <row r="2275" spans="1:7" x14ac:dyDescent="0.2">
      <c r="A2275" s="13"/>
      <c r="B2275" s="13"/>
      <c r="D2275" s="13"/>
      <c r="E2275" s="13"/>
      <c r="G2275" s="13"/>
    </row>
    <row r="2276" spans="1:7" x14ac:dyDescent="0.2">
      <c r="A2276" s="13"/>
      <c r="B2276" s="13"/>
      <c r="D2276" s="13"/>
      <c r="E2276" s="13"/>
      <c r="G2276" s="13"/>
    </row>
    <row r="2277" spans="1:7" x14ac:dyDescent="0.2">
      <c r="A2277" s="13"/>
      <c r="B2277" s="13"/>
      <c r="D2277" s="13"/>
      <c r="E2277" s="13"/>
      <c r="G2277" s="13"/>
    </row>
    <row r="2278" spans="1:7" x14ac:dyDescent="0.2">
      <c r="A2278" s="13"/>
      <c r="B2278" s="13"/>
      <c r="D2278" s="13"/>
      <c r="E2278" s="13"/>
      <c r="G2278" s="13"/>
    </row>
    <row r="2279" spans="1:7" x14ac:dyDescent="0.2">
      <c r="A2279" s="13"/>
      <c r="B2279" s="13"/>
      <c r="D2279" s="13"/>
      <c r="E2279" s="13"/>
      <c r="F2279" s="13"/>
    </row>
    <row r="2280" spans="1:7" x14ac:dyDescent="0.2">
      <c r="A2280" s="13"/>
      <c r="B2280" s="13"/>
      <c r="D2280" s="13"/>
      <c r="E2280" s="13"/>
      <c r="F2280" s="13"/>
    </row>
    <row r="2281" spans="1:7" x14ac:dyDescent="0.2">
      <c r="A2281" s="13"/>
      <c r="B2281" s="13"/>
      <c r="D2281" s="13"/>
      <c r="E2281" s="13"/>
      <c r="G2281" s="13"/>
    </row>
    <row r="2282" spans="1:7" x14ac:dyDescent="0.2">
      <c r="A2282" s="13"/>
      <c r="B2282" s="13"/>
      <c r="D2282" s="13"/>
      <c r="E2282" s="13"/>
      <c r="G2282" s="13"/>
    </row>
    <row r="2283" spans="1:7" x14ac:dyDescent="0.2">
      <c r="A2283" s="13"/>
      <c r="B2283" s="13"/>
      <c r="D2283" s="13"/>
      <c r="E2283" s="13"/>
      <c r="F2283" s="13"/>
    </row>
    <row r="2284" spans="1:7" x14ac:dyDescent="0.2">
      <c r="A2284" s="13"/>
      <c r="B2284" s="13"/>
      <c r="D2284" s="13"/>
      <c r="E2284" s="13"/>
      <c r="F2284" s="13"/>
    </row>
    <row r="2285" spans="1:7" x14ac:dyDescent="0.2">
      <c r="A2285" s="13"/>
      <c r="B2285" s="13"/>
      <c r="D2285" s="13"/>
      <c r="E2285" s="13"/>
      <c r="G2285" s="13"/>
    </row>
    <row r="2286" spans="1:7" x14ac:dyDescent="0.2">
      <c r="A2286" s="13"/>
      <c r="B2286" s="13"/>
      <c r="D2286" s="13"/>
      <c r="E2286" s="13"/>
      <c r="F2286" s="13"/>
    </row>
    <row r="2287" spans="1:7" x14ac:dyDescent="0.2">
      <c r="A2287" s="13"/>
      <c r="B2287" s="13"/>
      <c r="D2287" s="13"/>
      <c r="E2287" s="13"/>
      <c r="G2287" s="13"/>
    </row>
    <row r="2288" spans="1:7" x14ac:dyDescent="0.2">
      <c r="A2288" s="13"/>
      <c r="B2288" s="13"/>
      <c r="D2288" s="13"/>
      <c r="E2288" s="13"/>
      <c r="G2288" s="13"/>
    </row>
    <row r="2289" spans="1:7" x14ac:dyDescent="0.2">
      <c r="A2289" s="13"/>
      <c r="B2289" s="13"/>
      <c r="D2289" s="13"/>
      <c r="E2289" s="13"/>
      <c r="G2289" s="13"/>
    </row>
    <row r="2290" spans="1:7" x14ac:dyDescent="0.2">
      <c r="A2290" s="13"/>
      <c r="B2290" s="13"/>
      <c r="D2290" s="13"/>
      <c r="E2290" s="13"/>
      <c r="G2290" s="13"/>
    </row>
    <row r="2291" spans="1:7" x14ac:dyDescent="0.2">
      <c r="A2291" s="13"/>
      <c r="B2291" s="13"/>
      <c r="D2291" s="13"/>
      <c r="E2291" s="13"/>
      <c r="G2291" s="13"/>
    </row>
    <row r="2292" spans="1:7" x14ac:dyDescent="0.2">
      <c r="A2292" s="13"/>
      <c r="B2292" s="13"/>
      <c r="D2292" s="13"/>
      <c r="E2292" s="13"/>
      <c r="G2292" s="13"/>
    </row>
    <row r="2293" spans="1:7" x14ac:dyDescent="0.2">
      <c r="A2293" s="13"/>
      <c r="B2293" s="13"/>
      <c r="D2293" s="13"/>
      <c r="E2293" s="13"/>
      <c r="F2293" s="13"/>
    </row>
    <row r="2294" spans="1:7" x14ac:dyDescent="0.2">
      <c r="A2294" s="13"/>
      <c r="B2294" s="13"/>
      <c r="D2294" s="13"/>
      <c r="E2294" s="13"/>
      <c r="F2294" s="13"/>
    </row>
    <row r="2295" spans="1:7" x14ac:dyDescent="0.2">
      <c r="A2295" s="13"/>
      <c r="B2295" s="13"/>
      <c r="D2295" s="13"/>
      <c r="E2295" s="13"/>
      <c r="F2295" s="13"/>
    </row>
    <row r="2296" spans="1:7" x14ac:dyDescent="0.2">
      <c r="A2296" s="13"/>
      <c r="B2296" s="13"/>
      <c r="D2296" s="13"/>
      <c r="E2296" s="13"/>
      <c r="F2296" s="13"/>
    </row>
    <row r="2297" spans="1:7" x14ac:dyDescent="0.2">
      <c r="A2297" s="13"/>
      <c r="B2297" s="13"/>
      <c r="D2297" s="13"/>
      <c r="E2297" s="13"/>
      <c r="F2297" s="13"/>
    </row>
    <row r="2298" spans="1:7" x14ac:dyDescent="0.2">
      <c r="A2298" s="13"/>
      <c r="B2298" s="13"/>
      <c r="D2298" s="13"/>
      <c r="E2298" s="13"/>
      <c r="F2298" s="13"/>
    </row>
    <row r="2299" spans="1:7" x14ac:dyDescent="0.2">
      <c r="A2299" s="13"/>
      <c r="B2299" s="13"/>
      <c r="D2299" s="13"/>
      <c r="E2299" s="13"/>
      <c r="F2299" s="13"/>
    </row>
    <row r="2300" spans="1:7" x14ac:dyDescent="0.2">
      <c r="A2300" s="13"/>
      <c r="B2300" s="13"/>
      <c r="D2300" s="13"/>
      <c r="E2300" s="13"/>
      <c r="G2300" s="13"/>
    </row>
    <row r="2301" spans="1:7" x14ac:dyDescent="0.2">
      <c r="A2301" s="13"/>
      <c r="B2301" s="13"/>
      <c r="D2301" s="13"/>
      <c r="E2301" s="13"/>
      <c r="G2301" s="13"/>
    </row>
    <row r="2302" spans="1:7" x14ac:dyDescent="0.2">
      <c r="A2302" s="13"/>
      <c r="B2302" s="13"/>
      <c r="D2302" s="13"/>
      <c r="E2302" s="13"/>
      <c r="F2302" s="13"/>
    </row>
    <row r="2303" spans="1:7" x14ac:dyDescent="0.2">
      <c r="A2303" s="13"/>
      <c r="B2303" s="13"/>
      <c r="D2303" s="13"/>
      <c r="E2303" s="13"/>
      <c r="G2303" s="13"/>
    </row>
    <row r="2304" spans="1:7" x14ac:dyDescent="0.2">
      <c r="A2304" s="13"/>
      <c r="B2304" s="13"/>
      <c r="D2304" s="13"/>
      <c r="E2304" s="13"/>
      <c r="F2304" s="13"/>
    </row>
    <row r="2305" spans="1:7" x14ac:dyDescent="0.2">
      <c r="A2305" s="13"/>
      <c r="B2305" s="13"/>
      <c r="D2305" s="13"/>
      <c r="E2305" s="13"/>
      <c r="F2305" s="13"/>
    </row>
    <row r="2306" spans="1:7" x14ac:dyDescent="0.2">
      <c r="A2306" s="13"/>
      <c r="B2306" s="13"/>
      <c r="D2306" s="13"/>
      <c r="E2306" s="13"/>
      <c r="F2306" s="13"/>
    </row>
    <row r="2307" spans="1:7" x14ac:dyDescent="0.2">
      <c r="A2307" s="13"/>
      <c r="B2307" s="13"/>
      <c r="D2307" s="13"/>
      <c r="E2307" s="13"/>
      <c r="F2307" s="13"/>
    </row>
    <row r="2308" spans="1:7" x14ac:dyDescent="0.2">
      <c r="A2308" s="13"/>
      <c r="B2308" s="13"/>
      <c r="D2308" s="13"/>
      <c r="E2308" s="13"/>
      <c r="F2308" s="13"/>
    </row>
    <row r="2309" spans="1:7" x14ac:dyDescent="0.2">
      <c r="A2309" s="13"/>
      <c r="B2309" s="13"/>
      <c r="D2309" s="13"/>
      <c r="E2309" s="13"/>
      <c r="F2309" s="13"/>
    </row>
    <row r="2310" spans="1:7" x14ac:dyDescent="0.2">
      <c r="A2310" s="13"/>
      <c r="B2310" s="13"/>
      <c r="D2310" s="13"/>
      <c r="E2310" s="13"/>
      <c r="G2310" s="13"/>
    </row>
    <row r="2311" spans="1:7" x14ac:dyDescent="0.2">
      <c r="A2311" s="13"/>
      <c r="B2311" s="13"/>
      <c r="D2311" s="13"/>
      <c r="E2311" s="13"/>
      <c r="G2311" s="13"/>
    </row>
    <row r="2312" spans="1:7" x14ac:dyDescent="0.2">
      <c r="A2312" s="13"/>
      <c r="B2312" s="13"/>
      <c r="D2312" s="13"/>
      <c r="E2312" s="13"/>
      <c r="G2312" s="13"/>
    </row>
    <row r="2313" spans="1:7" x14ac:dyDescent="0.2">
      <c r="A2313" s="13"/>
      <c r="B2313" s="13"/>
      <c r="D2313" s="13"/>
      <c r="E2313" s="13"/>
      <c r="G2313" s="13"/>
    </row>
    <row r="2314" spans="1:7" x14ac:dyDescent="0.2">
      <c r="A2314" s="13"/>
      <c r="B2314" s="13"/>
      <c r="D2314" s="13"/>
      <c r="E2314" s="13"/>
      <c r="G2314" s="13"/>
    </row>
    <row r="2315" spans="1:7" x14ac:dyDescent="0.2">
      <c r="A2315" s="13"/>
      <c r="B2315" s="13"/>
      <c r="D2315" s="13"/>
      <c r="E2315" s="13"/>
      <c r="F2315" s="13"/>
    </row>
    <row r="2316" spans="1:7" x14ac:dyDescent="0.2">
      <c r="A2316" s="13"/>
      <c r="B2316" s="13"/>
      <c r="D2316" s="13"/>
      <c r="E2316" s="13"/>
      <c r="F2316" s="13"/>
    </row>
    <row r="2317" spans="1:7" x14ac:dyDescent="0.2">
      <c r="A2317" s="13"/>
      <c r="B2317" s="13"/>
      <c r="D2317" s="13"/>
      <c r="E2317" s="13"/>
      <c r="F2317" s="13"/>
    </row>
    <row r="2318" spans="1:7" x14ac:dyDescent="0.2">
      <c r="A2318" s="13"/>
      <c r="B2318" s="13"/>
      <c r="D2318" s="13"/>
      <c r="E2318" s="13"/>
      <c r="F2318" s="13"/>
    </row>
    <row r="2319" spans="1:7" x14ac:dyDescent="0.2">
      <c r="A2319" s="13"/>
      <c r="B2319" s="13"/>
      <c r="D2319" s="13"/>
      <c r="E2319" s="13"/>
      <c r="F2319" s="13"/>
    </row>
    <row r="2320" spans="1:7" x14ac:dyDescent="0.2">
      <c r="A2320" s="13"/>
      <c r="B2320" s="13"/>
      <c r="D2320" s="13"/>
      <c r="E2320" s="13"/>
      <c r="G2320" s="13"/>
    </row>
    <row r="2321" spans="1:7" x14ac:dyDescent="0.2">
      <c r="A2321" s="13"/>
      <c r="B2321" s="13"/>
      <c r="D2321" s="13"/>
      <c r="E2321" s="13"/>
      <c r="F2321" s="13"/>
    </row>
    <row r="2322" spans="1:7" x14ac:dyDescent="0.2">
      <c r="A2322" s="13"/>
      <c r="B2322" s="13"/>
      <c r="D2322" s="13"/>
      <c r="E2322" s="13"/>
      <c r="F2322" s="13"/>
    </row>
    <row r="2323" spans="1:7" x14ac:dyDescent="0.2">
      <c r="A2323" s="13"/>
      <c r="B2323" s="13"/>
      <c r="D2323" s="13"/>
      <c r="E2323" s="13"/>
      <c r="F2323" s="13"/>
    </row>
    <row r="2324" spans="1:7" x14ac:dyDescent="0.2">
      <c r="A2324" s="13"/>
      <c r="B2324" s="13"/>
      <c r="D2324" s="13"/>
      <c r="E2324" s="13"/>
      <c r="F2324" s="13"/>
    </row>
    <row r="2325" spans="1:7" x14ac:dyDescent="0.2">
      <c r="A2325" s="13"/>
      <c r="B2325" s="13"/>
      <c r="D2325" s="13"/>
      <c r="E2325" s="13"/>
      <c r="F2325" s="13"/>
    </row>
    <row r="2326" spans="1:7" x14ac:dyDescent="0.2">
      <c r="A2326" s="13"/>
      <c r="B2326" s="13"/>
      <c r="D2326" s="13"/>
      <c r="E2326" s="13"/>
      <c r="F2326" s="13"/>
    </row>
    <row r="2327" spans="1:7" x14ac:dyDescent="0.2">
      <c r="A2327" s="13"/>
      <c r="B2327" s="13"/>
      <c r="D2327" s="13"/>
      <c r="E2327" s="13"/>
      <c r="F2327" s="13"/>
    </row>
    <row r="2328" spans="1:7" x14ac:dyDescent="0.2">
      <c r="A2328" s="13"/>
      <c r="B2328" s="13"/>
      <c r="D2328" s="13"/>
      <c r="E2328" s="13"/>
      <c r="G2328" s="13"/>
    </row>
    <row r="2329" spans="1:7" x14ac:dyDescent="0.2">
      <c r="A2329" s="13"/>
      <c r="B2329" s="13"/>
      <c r="D2329" s="13"/>
      <c r="E2329" s="13"/>
      <c r="G2329" s="13"/>
    </row>
    <row r="2330" spans="1:7" x14ac:dyDescent="0.2">
      <c r="A2330" s="13"/>
      <c r="B2330" s="13"/>
      <c r="D2330" s="13"/>
      <c r="E2330" s="13"/>
      <c r="G2330" s="13"/>
    </row>
    <row r="2331" spans="1:7" x14ac:dyDescent="0.2">
      <c r="A2331" s="13"/>
      <c r="B2331" s="13"/>
      <c r="D2331" s="13"/>
      <c r="E2331" s="13"/>
      <c r="G2331" s="13"/>
    </row>
    <row r="2332" spans="1:7" x14ac:dyDescent="0.2">
      <c r="A2332" s="13"/>
      <c r="B2332" s="13"/>
      <c r="D2332" s="13"/>
      <c r="E2332" s="13"/>
      <c r="G2332" s="13"/>
    </row>
    <row r="2333" spans="1:7" x14ac:dyDescent="0.2">
      <c r="A2333" s="13"/>
      <c r="B2333" s="13"/>
      <c r="D2333" s="13"/>
      <c r="E2333" s="13"/>
      <c r="F2333" s="13"/>
    </row>
    <row r="2334" spans="1:7" x14ac:dyDescent="0.2">
      <c r="A2334" s="13"/>
      <c r="B2334" s="13"/>
      <c r="D2334" s="13"/>
      <c r="E2334" s="13"/>
      <c r="F2334" s="13"/>
    </row>
    <row r="2335" spans="1:7" x14ac:dyDescent="0.2">
      <c r="A2335" s="13"/>
      <c r="B2335" s="13"/>
      <c r="D2335" s="13"/>
      <c r="E2335" s="13"/>
      <c r="F2335" s="13"/>
    </row>
    <row r="2336" spans="1:7" x14ac:dyDescent="0.2">
      <c r="A2336" s="13"/>
      <c r="B2336" s="13"/>
      <c r="D2336" s="13"/>
      <c r="E2336" s="13"/>
      <c r="F2336" s="13"/>
    </row>
    <row r="2337" spans="1:7" x14ac:dyDescent="0.2">
      <c r="A2337" s="13"/>
      <c r="B2337" s="13"/>
      <c r="D2337" s="13"/>
      <c r="E2337" s="13"/>
      <c r="F2337" s="13"/>
    </row>
    <row r="2338" spans="1:7" x14ac:dyDescent="0.2">
      <c r="A2338" s="13"/>
      <c r="B2338" s="13"/>
      <c r="D2338" s="13"/>
      <c r="E2338" s="13"/>
      <c r="G2338" s="13"/>
    </row>
    <row r="2339" spans="1:7" x14ac:dyDescent="0.2">
      <c r="A2339" s="13"/>
      <c r="B2339" s="13"/>
      <c r="D2339" s="13"/>
      <c r="E2339" s="13"/>
      <c r="G2339" s="13"/>
    </row>
    <row r="2340" spans="1:7" x14ac:dyDescent="0.2">
      <c r="A2340" s="13"/>
      <c r="B2340" s="13"/>
      <c r="D2340" s="13"/>
      <c r="E2340" s="13"/>
      <c r="G2340" s="13"/>
    </row>
    <row r="2341" spans="1:7" x14ac:dyDescent="0.2">
      <c r="A2341" s="13"/>
      <c r="B2341" s="13"/>
      <c r="D2341" s="13"/>
      <c r="E2341" s="13"/>
      <c r="G2341" s="13"/>
    </row>
    <row r="2342" spans="1:7" x14ac:dyDescent="0.2">
      <c r="A2342" s="13"/>
      <c r="B2342" s="13"/>
      <c r="D2342" s="13"/>
      <c r="E2342" s="13"/>
      <c r="G2342" s="13"/>
    </row>
    <row r="2343" spans="1:7" x14ac:dyDescent="0.2">
      <c r="A2343" s="13"/>
      <c r="B2343" s="13"/>
      <c r="D2343" s="13"/>
      <c r="E2343" s="13"/>
      <c r="F2343" s="13"/>
    </row>
    <row r="2344" spans="1:7" x14ac:dyDescent="0.2">
      <c r="A2344" s="13"/>
      <c r="B2344" s="13"/>
      <c r="D2344" s="13"/>
      <c r="E2344" s="13"/>
      <c r="F2344" s="13"/>
    </row>
    <row r="2345" spans="1:7" x14ac:dyDescent="0.2">
      <c r="A2345" s="13"/>
      <c r="B2345" s="13"/>
      <c r="D2345" s="13"/>
      <c r="E2345" s="13"/>
      <c r="F2345" s="13"/>
    </row>
    <row r="2346" spans="1:7" x14ac:dyDescent="0.2">
      <c r="A2346" s="13"/>
      <c r="B2346" s="13"/>
      <c r="D2346" s="13"/>
      <c r="E2346" s="13"/>
      <c r="F2346" s="13"/>
    </row>
    <row r="2347" spans="1:7" x14ac:dyDescent="0.2">
      <c r="A2347" s="13"/>
      <c r="B2347" s="13"/>
      <c r="D2347" s="13"/>
      <c r="E2347" s="13"/>
      <c r="F2347" s="13"/>
    </row>
    <row r="2348" spans="1:7" x14ac:dyDescent="0.2">
      <c r="A2348" s="13"/>
      <c r="B2348" s="13"/>
      <c r="D2348" s="13"/>
      <c r="E2348" s="13"/>
      <c r="F2348" s="13"/>
    </row>
    <row r="2349" spans="1:7" x14ac:dyDescent="0.2">
      <c r="A2349" s="13"/>
      <c r="B2349" s="13"/>
      <c r="D2349" s="13"/>
      <c r="E2349" s="13"/>
      <c r="G2349" s="13"/>
    </row>
    <row r="2350" spans="1:7" x14ac:dyDescent="0.2">
      <c r="A2350" s="13"/>
      <c r="B2350" s="13"/>
      <c r="D2350" s="13"/>
      <c r="E2350" s="13"/>
      <c r="G2350" s="13"/>
    </row>
    <row r="2351" spans="1:7" x14ac:dyDescent="0.2">
      <c r="A2351" s="13"/>
      <c r="B2351" s="13"/>
      <c r="D2351" s="13"/>
      <c r="E2351" s="13"/>
      <c r="G2351" s="13"/>
    </row>
    <row r="2352" spans="1:7" x14ac:dyDescent="0.2">
      <c r="A2352" s="13"/>
      <c r="B2352" s="13"/>
      <c r="D2352" s="13"/>
      <c r="E2352" s="13"/>
      <c r="F2352" s="13"/>
    </row>
    <row r="2353" spans="1:7" x14ac:dyDescent="0.2">
      <c r="A2353" s="13"/>
      <c r="B2353" s="13"/>
      <c r="D2353" s="13"/>
      <c r="E2353" s="13"/>
      <c r="G2353" s="13"/>
    </row>
    <row r="2354" spans="1:7" x14ac:dyDescent="0.2">
      <c r="A2354" s="13"/>
      <c r="B2354" s="13"/>
      <c r="D2354" s="13"/>
      <c r="E2354" s="13"/>
      <c r="G2354" s="13"/>
    </row>
    <row r="2355" spans="1:7" x14ac:dyDescent="0.2">
      <c r="A2355" s="13"/>
      <c r="B2355" s="13"/>
      <c r="D2355" s="13"/>
      <c r="E2355" s="13"/>
      <c r="F2355" s="13"/>
    </row>
    <row r="2356" spans="1:7" x14ac:dyDescent="0.2">
      <c r="A2356" s="13"/>
      <c r="B2356" s="13"/>
      <c r="D2356" s="13"/>
      <c r="E2356" s="13"/>
      <c r="F2356" s="13"/>
    </row>
    <row r="2357" spans="1:7" x14ac:dyDescent="0.2">
      <c r="A2357" s="13"/>
      <c r="B2357" s="13"/>
      <c r="D2357" s="13"/>
      <c r="E2357" s="13"/>
      <c r="G2357" s="13"/>
    </row>
    <row r="2358" spans="1:7" x14ac:dyDescent="0.2">
      <c r="A2358" s="13"/>
      <c r="B2358" s="13"/>
      <c r="D2358" s="13"/>
      <c r="E2358" s="13"/>
      <c r="G2358" s="13"/>
    </row>
    <row r="2359" spans="1:7" x14ac:dyDescent="0.2">
      <c r="A2359" s="13"/>
      <c r="B2359" s="13"/>
      <c r="D2359" s="13"/>
      <c r="E2359" s="13"/>
      <c r="F2359" s="13"/>
    </row>
    <row r="2360" spans="1:7" x14ac:dyDescent="0.2">
      <c r="A2360" s="13"/>
      <c r="B2360" s="13"/>
      <c r="D2360" s="13"/>
      <c r="E2360" s="13"/>
      <c r="G2360" s="13"/>
    </row>
    <row r="2361" spans="1:7" x14ac:dyDescent="0.2">
      <c r="A2361" s="13"/>
      <c r="B2361" s="13"/>
      <c r="D2361" s="13"/>
      <c r="E2361" s="13"/>
      <c r="G2361" s="13"/>
    </row>
    <row r="2362" spans="1:7" x14ac:dyDescent="0.2">
      <c r="A2362" s="13"/>
      <c r="B2362" s="13"/>
      <c r="D2362" s="13"/>
      <c r="E2362" s="13"/>
      <c r="G2362" s="13"/>
    </row>
    <row r="2363" spans="1:7" x14ac:dyDescent="0.2">
      <c r="A2363" s="13"/>
      <c r="B2363" s="13"/>
      <c r="D2363" s="13"/>
      <c r="E2363" s="13"/>
      <c r="F2363" s="13"/>
    </row>
    <row r="2364" spans="1:7" x14ac:dyDescent="0.2">
      <c r="A2364" s="13"/>
      <c r="B2364" s="13"/>
      <c r="D2364" s="13"/>
      <c r="E2364" s="13"/>
      <c r="G2364" s="13"/>
    </row>
    <row r="2365" spans="1:7" x14ac:dyDescent="0.2">
      <c r="A2365" s="13"/>
      <c r="B2365" s="13"/>
      <c r="D2365" s="13"/>
      <c r="E2365" s="13"/>
      <c r="G2365" s="13"/>
    </row>
    <row r="2366" spans="1:7" x14ac:dyDescent="0.2">
      <c r="A2366" s="13"/>
      <c r="B2366" s="13"/>
      <c r="D2366" s="13"/>
      <c r="E2366" s="13"/>
      <c r="F2366" s="13"/>
    </row>
    <row r="2367" spans="1:7" x14ac:dyDescent="0.2">
      <c r="A2367" s="13"/>
      <c r="B2367" s="13"/>
      <c r="D2367" s="13"/>
      <c r="E2367" s="13"/>
      <c r="F2367" s="13"/>
    </row>
    <row r="2368" spans="1:7" x14ac:dyDescent="0.2">
      <c r="A2368" s="13"/>
      <c r="B2368" s="13"/>
      <c r="D2368" s="13"/>
      <c r="E2368" s="13"/>
      <c r="F2368" s="13"/>
    </row>
    <row r="2369" spans="1:7" x14ac:dyDescent="0.2">
      <c r="A2369" s="13"/>
      <c r="B2369" s="13"/>
      <c r="D2369" s="13"/>
      <c r="E2369" s="13"/>
      <c r="F2369" s="13"/>
    </row>
    <row r="2370" spans="1:7" x14ac:dyDescent="0.2">
      <c r="A2370" s="13"/>
      <c r="B2370" s="13"/>
      <c r="D2370" s="13"/>
      <c r="E2370" s="13"/>
      <c r="F2370" s="13"/>
    </row>
    <row r="2371" spans="1:7" x14ac:dyDescent="0.2">
      <c r="A2371" s="13"/>
      <c r="B2371" s="13"/>
      <c r="D2371" s="13"/>
      <c r="E2371" s="13"/>
      <c r="F2371" s="13"/>
    </row>
    <row r="2372" spans="1:7" x14ac:dyDescent="0.2">
      <c r="A2372" s="13"/>
      <c r="B2372" s="13"/>
      <c r="D2372" s="13"/>
      <c r="E2372" s="13"/>
      <c r="F2372" s="13"/>
    </row>
    <row r="2373" spans="1:7" x14ac:dyDescent="0.2">
      <c r="A2373" s="13"/>
      <c r="B2373" s="13"/>
      <c r="D2373" s="13"/>
      <c r="E2373" s="13"/>
      <c r="F2373" s="13"/>
    </row>
    <row r="2374" spans="1:7" x14ac:dyDescent="0.2">
      <c r="A2374" s="13"/>
      <c r="B2374" s="13"/>
      <c r="D2374" s="13"/>
      <c r="E2374" s="13"/>
      <c r="F2374" s="13"/>
    </row>
    <row r="2375" spans="1:7" x14ac:dyDescent="0.2">
      <c r="A2375" s="13"/>
      <c r="B2375" s="13"/>
      <c r="D2375" s="13"/>
      <c r="E2375" s="13"/>
      <c r="G2375" s="13"/>
    </row>
    <row r="2376" spans="1:7" x14ac:dyDescent="0.2">
      <c r="A2376" s="13"/>
      <c r="B2376" s="13"/>
      <c r="D2376" s="13"/>
      <c r="E2376" s="13"/>
      <c r="G2376" s="13"/>
    </row>
    <row r="2377" spans="1:7" x14ac:dyDescent="0.2">
      <c r="A2377" s="13"/>
      <c r="B2377" s="13"/>
      <c r="D2377" s="13"/>
      <c r="E2377" s="13"/>
      <c r="G2377" s="13"/>
    </row>
    <row r="2378" spans="1:7" x14ac:dyDescent="0.2">
      <c r="A2378" s="13"/>
      <c r="B2378" s="13"/>
      <c r="D2378" s="13"/>
      <c r="E2378" s="13"/>
      <c r="G2378" s="13"/>
    </row>
    <row r="2379" spans="1:7" x14ac:dyDescent="0.2">
      <c r="A2379" s="13"/>
      <c r="B2379" s="13"/>
      <c r="D2379" s="13"/>
      <c r="E2379" s="13"/>
      <c r="G2379" s="13"/>
    </row>
    <row r="2380" spans="1:7" x14ac:dyDescent="0.2">
      <c r="A2380" s="13"/>
      <c r="B2380" s="13"/>
      <c r="D2380" s="13"/>
      <c r="E2380" s="13"/>
      <c r="G2380" s="13"/>
    </row>
    <row r="2381" spans="1:7" x14ac:dyDescent="0.2">
      <c r="A2381" s="13"/>
      <c r="B2381" s="13"/>
      <c r="D2381" s="13"/>
      <c r="E2381" s="13"/>
      <c r="G2381" s="13"/>
    </row>
    <row r="2382" spans="1:7" x14ac:dyDescent="0.2">
      <c r="A2382" s="13"/>
      <c r="B2382" s="13"/>
      <c r="D2382" s="13"/>
      <c r="E2382" s="13"/>
      <c r="F2382" s="13"/>
    </row>
    <row r="2383" spans="1:7" x14ac:dyDescent="0.2">
      <c r="A2383" s="13"/>
      <c r="B2383" s="13"/>
      <c r="D2383" s="13"/>
      <c r="E2383" s="13"/>
      <c r="F2383" s="13"/>
    </row>
    <row r="2384" spans="1:7" x14ac:dyDescent="0.2">
      <c r="A2384" s="13"/>
      <c r="B2384" s="13"/>
      <c r="D2384" s="13"/>
      <c r="E2384" s="13"/>
      <c r="F2384" s="13"/>
    </row>
    <row r="2385" spans="1:7" x14ac:dyDescent="0.2">
      <c r="A2385" s="13"/>
      <c r="B2385" s="13"/>
      <c r="D2385" s="13"/>
      <c r="E2385" s="13"/>
      <c r="G2385" s="13"/>
    </row>
    <row r="2386" spans="1:7" x14ac:dyDescent="0.2">
      <c r="A2386" s="13"/>
      <c r="B2386" s="13"/>
      <c r="D2386" s="13"/>
      <c r="E2386" s="13"/>
      <c r="F2386" s="13"/>
    </row>
    <row r="2387" spans="1:7" x14ac:dyDescent="0.2">
      <c r="A2387" s="13"/>
      <c r="B2387" s="13"/>
      <c r="D2387" s="13"/>
      <c r="E2387" s="13"/>
      <c r="F2387" s="13"/>
    </row>
    <row r="2388" spans="1:7" x14ac:dyDescent="0.2">
      <c r="A2388" s="13"/>
      <c r="B2388" s="13"/>
      <c r="D2388" s="13"/>
      <c r="E2388" s="13"/>
      <c r="F2388" s="13"/>
    </row>
    <row r="2389" spans="1:7" x14ac:dyDescent="0.2">
      <c r="A2389" s="13"/>
      <c r="B2389" s="13"/>
      <c r="D2389" s="13"/>
      <c r="E2389" s="13"/>
      <c r="F2389" s="13"/>
    </row>
    <row r="2390" spans="1:7" x14ac:dyDescent="0.2">
      <c r="A2390" s="13"/>
      <c r="B2390" s="13"/>
      <c r="D2390" s="13"/>
      <c r="E2390" s="13"/>
      <c r="G2390" s="13"/>
    </row>
    <row r="2391" spans="1:7" x14ac:dyDescent="0.2">
      <c r="A2391" s="13"/>
      <c r="B2391" s="13"/>
      <c r="D2391" s="13"/>
      <c r="E2391" s="13"/>
      <c r="G2391" s="13"/>
    </row>
    <row r="2392" spans="1:7" x14ac:dyDescent="0.2">
      <c r="A2392" s="13"/>
      <c r="B2392" s="13"/>
      <c r="D2392" s="13"/>
      <c r="E2392" s="13"/>
      <c r="G2392" s="13"/>
    </row>
    <row r="2393" spans="1:7" x14ac:dyDescent="0.2">
      <c r="A2393" s="13"/>
      <c r="B2393" s="13"/>
      <c r="D2393" s="13"/>
      <c r="E2393" s="13"/>
      <c r="G2393" s="13"/>
    </row>
    <row r="2394" spans="1:7" x14ac:dyDescent="0.2">
      <c r="A2394" s="13"/>
      <c r="B2394" s="13"/>
      <c r="D2394" s="13"/>
      <c r="E2394" s="13"/>
      <c r="G2394" s="13"/>
    </row>
    <row r="2395" spans="1:7" x14ac:dyDescent="0.2">
      <c r="A2395" s="13"/>
      <c r="B2395" s="13"/>
      <c r="D2395" s="13"/>
      <c r="E2395" s="13"/>
      <c r="G2395" s="13"/>
    </row>
    <row r="2396" spans="1:7" x14ac:dyDescent="0.2">
      <c r="A2396" s="13"/>
      <c r="B2396" s="13"/>
      <c r="D2396" s="13"/>
      <c r="E2396" s="13"/>
      <c r="G2396" s="13"/>
    </row>
    <row r="2397" spans="1:7" x14ac:dyDescent="0.2">
      <c r="A2397" s="13"/>
      <c r="B2397" s="13"/>
      <c r="D2397" s="13"/>
      <c r="E2397" s="13"/>
      <c r="G2397" s="13"/>
    </row>
    <row r="2398" spans="1:7" x14ac:dyDescent="0.2">
      <c r="A2398" s="13"/>
      <c r="B2398" s="13"/>
      <c r="D2398" s="13"/>
      <c r="E2398" s="13"/>
      <c r="G2398" s="13"/>
    </row>
    <row r="2399" spans="1:7" x14ac:dyDescent="0.2">
      <c r="A2399" s="13"/>
      <c r="B2399" s="13"/>
      <c r="D2399" s="13"/>
      <c r="E2399" s="13"/>
      <c r="G2399" s="13"/>
    </row>
    <row r="2400" spans="1:7" x14ac:dyDescent="0.2">
      <c r="A2400" s="13"/>
      <c r="B2400" s="13"/>
      <c r="D2400" s="13"/>
      <c r="E2400" s="13"/>
      <c r="F2400" s="13"/>
    </row>
    <row r="2401" spans="1:6" x14ac:dyDescent="0.2">
      <c r="A2401" s="13"/>
      <c r="B2401" s="13"/>
      <c r="D2401" s="13"/>
      <c r="E2401" s="13"/>
      <c r="F2401" s="13"/>
    </row>
    <row r="2402" spans="1:6" x14ac:dyDescent="0.2">
      <c r="A2402" s="13"/>
      <c r="B2402" s="13"/>
      <c r="D2402" s="13"/>
      <c r="E2402" s="13"/>
      <c r="F2402" s="13"/>
    </row>
    <row r="2403" spans="1:6" x14ac:dyDescent="0.2">
      <c r="A2403" s="13"/>
      <c r="B2403" s="13"/>
      <c r="D2403" s="13"/>
      <c r="E2403" s="13"/>
      <c r="F2403" s="13"/>
    </row>
    <row r="2404" spans="1:6" x14ac:dyDescent="0.2">
      <c r="A2404" s="13"/>
      <c r="B2404" s="13"/>
      <c r="D2404" s="13"/>
      <c r="E2404" s="13"/>
      <c r="F2404" s="13"/>
    </row>
    <row r="2405" spans="1:6" x14ac:dyDescent="0.2">
      <c r="A2405" s="13"/>
      <c r="B2405" s="13"/>
      <c r="D2405" s="13"/>
      <c r="E2405" s="13"/>
      <c r="F2405" s="13"/>
    </row>
    <row r="2406" spans="1:6" x14ac:dyDescent="0.2">
      <c r="A2406" s="13"/>
      <c r="B2406" s="13"/>
      <c r="D2406" s="13"/>
      <c r="E2406" s="13"/>
      <c r="F2406" s="13"/>
    </row>
    <row r="2407" spans="1:6" x14ac:dyDescent="0.2">
      <c r="A2407" s="13"/>
      <c r="B2407" s="13"/>
      <c r="D2407" s="13"/>
      <c r="E2407" s="13"/>
      <c r="F2407" s="13"/>
    </row>
    <row r="2408" spans="1:6" x14ac:dyDescent="0.2">
      <c r="A2408" s="13"/>
      <c r="B2408" s="13"/>
      <c r="D2408" s="13"/>
      <c r="E2408" s="13"/>
      <c r="F2408" s="13"/>
    </row>
    <row r="2409" spans="1:6" x14ac:dyDescent="0.2">
      <c r="A2409" s="13"/>
      <c r="B2409" s="13"/>
      <c r="D2409" s="13"/>
      <c r="E2409" s="13"/>
      <c r="F2409" s="13"/>
    </row>
    <row r="2410" spans="1:6" x14ac:dyDescent="0.2">
      <c r="A2410" s="13"/>
      <c r="B2410" s="13"/>
      <c r="D2410" s="13"/>
      <c r="E2410" s="13"/>
      <c r="F2410" s="13"/>
    </row>
    <row r="2411" spans="1:6" x14ac:dyDescent="0.2">
      <c r="A2411" s="13"/>
      <c r="B2411" s="13"/>
      <c r="D2411" s="13"/>
      <c r="E2411" s="13"/>
      <c r="F2411" s="13"/>
    </row>
    <row r="2412" spans="1:6" x14ac:dyDescent="0.2">
      <c r="A2412" s="13"/>
      <c r="B2412" s="13"/>
      <c r="D2412" s="13"/>
      <c r="E2412" s="13"/>
      <c r="F2412" s="13"/>
    </row>
    <row r="2413" spans="1:6" x14ac:dyDescent="0.2">
      <c r="A2413" s="13"/>
      <c r="B2413" s="13"/>
      <c r="D2413" s="13"/>
      <c r="E2413" s="13"/>
      <c r="F2413" s="13"/>
    </row>
    <row r="2414" spans="1:6" x14ac:dyDescent="0.2">
      <c r="A2414" s="13"/>
      <c r="B2414" s="13"/>
      <c r="D2414" s="13"/>
      <c r="E2414" s="13"/>
      <c r="F2414" s="13"/>
    </row>
    <row r="2415" spans="1:6" x14ac:dyDescent="0.2">
      <c r="A2415" s="13"/>
      <c r="B2415" s="13"/>
      <c r="D2415" s="13"/>
      <c r="E2415" s="13"/>
      <c r="F2415" s="13"/>
    </row>
    <row r="2416" spans="1:6" x14ac:dyDescent="0.2">
      <c r="A2416" s="13"/>
      <c r="B2416" s="13"/>
      <c r="D2416" s="13"/>
      <c r="E2416" s="13"/>
      <c r="F2416" s="13"/>
    </row>
    <row r="2417" spans="1:7" x14ac:dyDescent="0.2">
      <c r="A2417" s="13"/>
      <c r="B2417" s="13"/>
      <c r="D2417" s="13"/>
      <c r="E2417" s="13"/>
      <c r="G2417" s="13"/>
    </row>
    <row r="2418" spans="1:7" x14ac:dyDescent="0.2">
      <c r="A2418" s="13"/>
      <c r="B2418" s="13"/>
      <c r="D2418" s="13"/>
      <c r="E2418" s="13"/>
      <c r="G2418" s="13"/>
    </row>
    <row r="2419" spans="1:7" x14ac:dyDescent="0.2">
      <c r="A2419" s="13"/>
      <c r="B2419" s="13"/>
      <c r="D2419" s="13"/>
      <c r="E2419" s="13"/>
      <c r="G2419" s="13"/>
    </row>
    <row r="2420" spans="1:7" x14ac:dyDescent="0.2">
      <c r="A2420" s="13"/>
      <c r="B2420" s="13"/>
      <c r="D2420" s="13"/>
      <c r="E2420" s="13"/>
      <c r="G2420" s="13"/>
    </row>
    <row r="2421" spans="1:7" x14ac:dyDescent="0.2">
      <c r="A2421" s="13"/>
      <c r="B2421" s="13"/>
      <c r="D2421" s="13"/>
      <c r="E2421" s="13"/>
      <c r="G2421" s="13"/>
    </row>
    <row r="2422" spans="1:7" x14ac:dyDescent="0.2">
      <c r="A2422" s="13"/>
      <c r="B2422" s="13"/>
      <c r="D2422" s="13"/>
      <c r="E2422" s="13"/>
      <c r="F2422" s="13"/>
    </row>
    <row r="2423" spans="1:7" x14ac:dyDescent="0.2">
      <c r="A2423" s="13"/>
      <c r="B2423" s="13"/>
      <c r="D2423" s="13"/>
      <c r="E2423" s="13"/>
      <c r="F2423" s="13"/>
    </row>
    <row r="2424" spans="1:7" x14ac:dyDescent="0.2">
      <c r="A2424" s="13"/>
      <c r="B2424" s="13"/>
      <c r="D2424" s="13"/>
      <c r="E2424" s="13"/>
      <c r="F2424" s="13"/>
    </row>
    <row r="2425" spans="1:7" x14ac:dyDescent="0.2">
      <c r="A2425" s="13"/>
      <c r="B2425" s="13"/>
      <c r="D2425" s="13"/>
      <c r="E2425" s="13"/>
      <c r="F2425" s="13"/>
    </row>
    <row r="2426" spans="1:7" x14ac:dyDescent="0.2">
      <c r="A2426" s="13"/>
      <c r="B2426" s="13"/>
      <c r="D2426" s="13"/>
      <c r="E2426" s="13"/>
      <c r="G2426" s="13"/>
    </row>
    <row r="2427" spans="1:7" x14ac:dyDescent="0.2">
      <c r="A2427" s="13"/>
      <c r="B2427" s="13"/>
      <c r="D2427" s="13"/>
      <c r="E2427" s="13"/>
      <c r="G2427" s="13"/>
    </row>
    <row r="2428" spans="1:7" x14ac:dyDescent="0.2">
      <c r="A2428" s="13"/>
      <c r="B2428" s="13"/>
      <c r="D2428" s="13"/>
      <c r="E2428" s="13"/>
      <c r="G2428" s="13"/>
    </row>
    <row r="2429" spans="1:7" x14ac:dyDescent="0.2">
      <c r="A2429" s="13"/>
      <c r="B2429" s="13"/>
      <c r="D2429" s="13"/>
      <c r="E2429" s="13"/>
      <c r="G2429" s="13"/>
    </row>
    <row r="2430" spans="1:7" x14ac:dyDescent="0.2">
      <c r="A2430" s="13"/>
      <c r="B2430" s="13"/>
      <c r="D2430" s="13"/>
      <c r="E2430" s="13"/>
      <c r="F2430" s="13"/>
    </row>
    <row r="2431" spans="1:7" x14ac:dyDescent="0.2">
      <c r="A2431" s="13"/>
      <c r="B2431" s="13"/>
      <c r="D2431" s="13"/>
      <c r="E2431" s="13"/>
      <c r="G2431" s="13"/>
    </row>
    <row r="2432" spans="1:7" x14ac:dyDescent="0.2">
      <c r="A2432" s="13"/>
      <c r="B2432" s="13"/>
      <c r="D2432" s="13"/>
      <c r="E2432" s="13"/>
      <c r="G2432" s="13"/>
    </row>
    <row r="2433" spans="1:7" x14ac:dyDescent="0.2">
      <c r="A2433" s="13"/>
      <c r="B2433" s="13"/>
      <c r="D2433" s="13"/>
      <c r="E2433" s="13"/>
      <c r="G2433" s="13"/>
    </row>
    <row r="2434" spans="1:7" x14ac:dyDescent="0.2">
      <c r="A2434" s="13"/>
      <c r="B2434" s="13"/>
      <c r="D2434" s="13"/>
      <c r="E2434" s="13"/>
      <c r="F2434" s="13"/>
    </row>
    <row r="2435" spans="1:7" x14ac:dyDescent="0.2">
      <c r="A2435" s="13"/>
      <c r="B2435" s="13"/>
      <c r="D2435" s="13"/>
      <c r="E2435" s="13"/>
      <c r="F2435" s="13"/>
    </row>
    <row r="2436" spans="1:7" x14ac:dyDescent="0.2">
      <c r="A2436" s="13"/>
      <c r="B2436" s="13"/>
      <c r="D2436" s="13"/>
      <c r="E2436" s="13"/>
      <c r="F2436" s="13"/>
    </row>
    <row r="2437" spans="1:7" x14ac:dyDescent="0.2">
      <c r="A2437" s="13"/>
      <c r="B2437" s="13"/>
      <c r="D2437" s="13"/>
      <c r="E2437" s="13"/>
      <c r="F2437" s="13"/>
    </row>
    <row r="2438" spans="1:7" x14ac:dyDescent="0.2">
      <c r="A2438" s="13"/>
      <c r="B2438" s="13"/>
      <c r="D2438" s="13"/>
      <c r="E2438" s="13"/>
      <c r="F2438" s="13"/>
    </row>
    <row r="2439" spans="1:7" x14ac:dyDescent="0.2">
      <c r="A2439" s="13"/>
      <c r="B2439" s="13"/>
      <c r="D2439" s="13"/>
      <c r="E2439" s="13"/>
      <c r="F2439" s="13"/>
    </row>
    <row r="2440" spans="1:7" x14ac:dyDescent="0.2">
      <c r="A2440" s="13"/>
      <c r="B2440" s="13"/>
      <c r="D2440" s="13"/>
      <c r="E2440" s="13"/>
      <c r="F2440" s="13"/>
    </row>
    <row r="2441" spans="1:7" x14ac:dyDescent="0.2">
      <c r="A2441" s="13"/>
      <c r="B2441" s="13"/>
      <c r="D2441" s="13"/>
      <c r="E2441" s="13"/>
      <c r="G2441" s="13"/>
    </row>
    <row r="2442" spans="1:7" x14ac:dyDescent="0.2">
      <c r="A2442" s="13"/>
      <c r="B2442" s="13"/>
      <c r="D2442" s="13"/>
      <c r="E2442" s="13"/>
      <c r="G2442" s="13"/>
    </row>
    <row r="2443" spans="1:7" x14ac:dyDescent="0.2">
      <c r="A2443" s="13"/>
      <c r="B2443" s="13"/>
      <c r="D2443" s="13"/>
      <c r="E2443" s="13"/>
      <c r="G2443" s="13"/>
    </row>
    <row r="2444" spans="1:7" x14ac:dyDescent="0.2">
      <c r="A2444" s="13"/>
      <c r="B2444" s="13"/>
      <c r="D2444" s="13"/>
      <c r="E2444" s="13"/>
      <c r="F2444" s="13"/>
    </row>
    <row r="2445" spans="1:7" x14ac:dyDescent="0.2">
      <c r="A2445" s="13"/>
      <c r="B2445" s="13"/>
      <c r="D2445" s="13"/>
      <c r="E2445" s="13"/>
      <c r="F2445" s="13"/>
    </row>
    <row r="2446" spans="1:7" x14ac:dyDescent="0.2">
      <c r="A2446" s="13"/>
      <c r="B2446" s="13"/>
      <c r="D2446" s="13"/>
      <c r="E2446" s="13"/>
      <c r="G2446" s="13"/>
    </row>
    <row r="2447" spans="1:7" x14ac:dyDescent="0.2">
      <c r="A2447" s="13"/>
      <c r="B2447" s="13"/>
      <c r="D2447" s="13"/>
      <c r="E2447" s="13"/>
      <c r="G2447" s="13"/>
    </row>
    <row r="2448" spans="1:7" x14ac:dyDescent="0.2">
      <c r="A2448" s="13"/>
      <c r="B2448" s="13"/>
      <c r="D2448" s="13"/>
      <c r="E2448" s="13"/>
      <c r="G2448" s="13"/>
    </row>
    <row r="2449" spans="1:7" x14ac:dyDescent="0.2">
      <c r="A2449" s="13"/>
      <c r="B2449" s="13"/>
      <c r="D2449" s="13"/>
      <c r="E2449" s="13"/>
      <c r="G2449" s="13"/>
    </row>
    <row r="2450" spans="1:7" x14ac:dyDescent="0.2">
      <c r="A2450" s="13"/>
      <c r="B2450" s="13"/>
      <c r="D2450" s="13"/>
      <c r="E2450" s="13"/>
      <c r="F2450" s="13"/>
    </row>
    <row r="2451" spans="1:7" x14ac:dyDescent="0.2">
      <c r="A2451" s="13"/>
      <c r="B2451" s="13"/>
      <c r="D2451" s="13"/>
      <c r="E2451" s="13"/>
      <c r="F2451" s="13"/>
    </row>
    <row r="2452" spans="1:7" x14ac:dyDescent="0.2">
      <c r="A2452" s="13"/>
      <c r="B2452" s="13"/>
      <c r="D2452" s="13"/>
      <c r="E2452" s="13"/>
      <c r="F2452" s="13"/>
    </row>
    <row r="2453" spans="1:7" x14ac:dyDescent="0.2">
      <c r="A2453" s="13"/>
      <c r="B2453" s="13"/>
      <c r="D2453" s="13"/>
      <c r="E2453" s="13"/>
      <c r="F2453" s="13"/>
    </row>
    <row r="2454" spans="1:7" x14ac:dyDescent="0.2">
      <c r="A2454" s="13"/>
      <c r="B2454" s="13"/>
      <c r="D2454" s="13"/>
      <c r="E2454" s="13"/>
      <c r="F2454" s="13"/>
    </row>
    <row r="2455" spans="1:7" x14ac:dyDescent="0.2">
      <c r="A2455" s="13"/>
      <c r="B2455" s="13"/>
      <c r="D2455" s="13"/>
      <c r="E2455" s="13"/>
      <c r="F2455" s="13"/>
    </row>
    <row r="2456" spans="1:7" x14ac:dyDescent="0.2">
      <c r="A2456" s="13"/>
      <c r="B2456" s="13"/>
      <c r="D2456" s="13"/>
      <c r="E2456" s="13"/>
      <c r="G2456" s="13"/>
    </row>
    <row r="2457" spans="1:7" x14ac:dyDescent="0.2">
      <c r="A2457" s="13"/>
      <c r="B2457" s="13"/>
      <c r="D2457" s="13"/>
      <c r="E2457" s="13"/>
      <c r="G2457" s="13"/>
    </row>
    <row r="2458" spans="1:7" x14ac:dyDescent="0.2">
      <c r="A2458" s="13"/>
      <c r="B2458" s="13"/>
      <c r="D2458" s="13"/>
      <c r="E2458" s="13"/>
      <c r="G2458" s="13"/>
    </row>
    <row r="2459" spans="1:7" x14ac:dyDescent="0.2">
      <c r="A2459" s="13"/>
      <c r="B2459" s="13"/>
      <c r="D2459" s="13"/>
      <c r="E2459" s="13"/>
      <c r="F2459" s="13"/>
    </row>
    <row r="2460" spans="1:7" x14ac:dyDescent="0.2">
      <c r="A2460" s="13"/>
      <c r="B2460" s="13"/>
      <c r="D2460" s="13"/>
      <c r="E2460" s="13"/>
      <c r="F2460" s="13"/>
    </row>
    <row r="2461" spans="1:7" x14ac:dyDescent="0.2">
      <c r="A2461" s="13"/>
      <c r="B2461" s="13"/>
      <c r="D2461" s="13"/>
      <c r="E2461" s="13"/>
      <c r="F2461" s="13"/>
    </row>
    <row r="2462" spans="1:7" x14ac:dyDescent="0.2">
      <c r="A2462" s="13"/>
      <c r="B2462" s="13"/>
      <c r="D2462" s="13"/>
      <c r="E2462" s="13"/>
      <c r="F2462" s="13"/>
    </row>
    <row r="2463" spans="1:7" x14ac:dyDescent="0.2">
      <c r="A2463" s="13"/>
      <c r="B2463" s="13"/>
      <c r="D2463" s="13"/>
      <c r="E2463" s="13"/>
      <c r="G2463" s="13"/>
    </row>
    <row r="2464" spans="1:7" x14ac:dyDescent="0.2">
      <c r="A2464" s="13"/>
      <c r="B2464" s="13"/>
      <c r="D2464" s="13"/>
      <c r="E2464" s="13"/>
      <c r="G2464" s="13"/>
    </row>
    <row r="2465" spans="1:7" x14ac:dyDescent="0.2">
      <c r="A2465" s="13"/>
      <c r="B2465" s="13"/>
      <c r="D2465" s="13"/>
      <c r="E2465" s="13"/>
      <c r="F2465" s="13"/>
    </row>
    <row r="2466" spans="1:7" x14ac:dyDescent="0.2">
      <c r="A2466" s="13"/>
      <c r="B2466" s="13"/>
      <c r="D2466" s="13"/>
      <c r="E2466" s="13"/>
      <c r="G2466" s="13"/>
    </row>
    <row r="2467" spans="1:7" x14ac:dyDescent="0.2">
      <c r="A2467" s="13"/>
      <c r="B2467" s="13"/>
      <c r="D2467" s="13"/>
      <c r="E2467" s="13"/>
      <c r="F2467" s="13"/>
    </row>
    <row r="2468" spans="1:7" x14ac:dyDescent="0.2">
      <c r="A2468" s="13"/>
      <c r="B2468" s="13"/>
      <c r="D2468" s="13"/>
      <c r="E2468" s="13"/>
      <c r="F2468" s="13"/>
    </row>
    <row r="2469" spans="1:7" x14ac:dyDescent="0.2">
      <c r="A2469" s="13"/>
      <c r="B2469" s="13"/>
      <c r="D2469" s="13"/>
      <c r="E2469" s="13"/>
      <c r="F2469" s="13"/>
    </row>
    <row r="2470" spans="1:7" x14ac:dyDescent="0.2">
      <c r="A2470" s="13"/>
      <c r="B2470" s="13"/>
      <c r="D2470" s="13"/>
      <c r="E2470" s="13"/>
      <c r="G2470" s="13"/>
    </row>
    <row r="2471" spans="1:7" x14ac:dyDescent="0.2">
      <c r="A2471" s="13"/>
      <c r="B2471" s="13"/>
      <c r="D2471" s="13"/>
      <c r="E2471" s="13"/>
      <c r="F2471" s="13"/>
    </row>
    <row r="2472" spans="1:7" x14ac:dyDescent="0.2">
      <c r="A2472" s="13"/>
      <c r="B2472" s="13"/>
      <c r="D2472" s="13"/>
      <c r="E2472" s="13"/>
      <c r="F2472" s="13"/>
    </row>
    <row r="2473" spans="1:7" x14ac:dyDescent="0.2">
      <c r="A2473" s="13"/>
      <c r="B2473" s="13"/>
      <c r="D2473" s="13"/>
      <c r="E2473" s="13"/>
      <c r="F2473" s="13"/>
    </row>
    <row r="2474" spans="1:7" x14ac:dyDescent="0.2">
      <c r="A2474" s="13"/>
      <c r="B2474" s="13"/>
      <c r="D2474" s="13"/>
      <c r="E2474" s="13"/>
      <c r="F2474" s="13"/>
    </row>
    <row r="2475" spans="1:7" x14ac:dyDescent="0.2">
      <c r="A2475" s="13"/>
      <c r="B2475" s="13"/>
      <c r="D2475" s="13"/>
      <c r="E2475" s="13"/>
      <c r="G2475" s="13"/>
    </row>
    <row r="2476" spans="1:7" x14ac:dyDescent="0.2">
      <c r="A2476" s="13"/>
      <c r="B2476" s="13"/>
      <c r="D2476" s="13"/>
      <c r="E2476" s="13"/>
      <c r="G2476" s="13"/>
    </row>
    <row r="2477" spans="1:7" x14ac:dyDescent="0.2">
      <c r="A2477" s="13"/>
      <c r="B2477" s="13"/>
      <c r="D2477" s="13"/>
      <c r="E2477" s="13"/>
      <c r="G2477" s="13"/>
    </row>
    <row r="2478" spans="1:7" x14ac:dyDescent="0.2">
      <c r="A2478" s="13"/>
      <c r="B2478" s="13"/>
      <c r="D2478" s="13"/>
      <c r="E2478" s="13"/>
      <c r="G2478" s="13"/>
    </row>
    <row r="2479" spans="1:7" x14ac:dyDescent="0.2">
      <c r="A2479" s="13"/>
      <c r="B2479" s="13"/>
      <c r="D2479" s="13"/>
      <c r="E2479" s="13"/>
      <c r="G2479" s="13"/>
    </row>
    <row r="2480" spans="1:7" x14ac:dyDescent="0.2">
      <c r="A2480" s="13"/>
      <c r="B2480" s="13"/>
      <c r="D2480" s="13"/>
      <c r="E2480" s="13"/>
      <c r="G2480" s="13"/>
    </row>
    <row r="2481" spans="1:7" x14ac:dyDescent="0.2">
      <c r="A2481" s="13"/>
      <c r="B2481" s="13"/>
      <c r="D2481" s="13"/>
      <c r="E2481" s="13"/>
      <c r="F2481" s="13"/>
    </row>
    <row r="2482" spans="1:7" x14ac:dyDescent="0.2">
      <c r="A2482" s="13"/>
      <c r="B2482" s="13"/>
      <c r="D2482" s="13"/>
      <c r="E2482" s="13"/>
      <c r="F2482" s="13"/>
    </row>
    <row r="2483" spans="1:7" x14ac:dyDescent="0.2">
      <c r="A2483" s="13"/>
      <c r="B2483" s="13"/>
      <c r="D2483" s="13"/>
      <c r="E2483" s="13"/>
      <c r="F2483" s="13"/>
    </row>
    <row r="2484" spans="1:7" x14ac:dyDescent="0.2">
      <c r="A2484" s="13"/>
      <c r="B2484" s="13"/>
      <c r="D2484" s="13"/>
      <c r="E2484" s="13"/>
      <c r="F2484" s="13"/>
    </row>
    <row r="2485" spans="1:7" x14ac:dyDescent="0.2">
      <c r="A2485" s="13"/>
    </row>
    <row r="2486" spans="1:7" x14ac:dyDescent="0.2">
      <c r="A2486" s="13"/>
    </row>
    <row r="2487" spans="1:7" x14ac:dyDescent="0.2">
      <c r="A2487" s="13"/>
      <c r="C2487" s="13"/>
    </row>
    <row r="2488" spans="1:7" x14ac:dyDescent="0.2">
      <c r="A2488" s="13"/>
    </row>
    <row r="2489" spans="1:7" x14ac:dyDescent="0.2">
      <c r="A2489" s="13"/>
      <c r="B2489" s="13"/>
    </row>
    <row r="2490" spans="1:7" x14ac:dyDescent="0.2">
      <c r="A2490" s="13"/>
      <c r="B2490" s="13"/>
    </row>
    <row r="2491" spans="1:7" x14ac:dyDescent="0.2">
      <c r="A2491" s="13"/>
    </row>
    <row r="2492" spans="1:7" x14ac:dyDescent="0.2">
      <c r="A2492" s="13"/>
    </row>
    <row r="2493" spans="1:7" x14ac:dyDescent="0.2">
      <c r="A2493" s="13"/>
      <c r="B2493" s="13"/>
      <c r="C2493" s="13"/>
      <c r="D2493" s="13"/>
      <c r="E2493" s="13"/>
      <c r="G2493" s="13"/>
    </row>
    <row r="2494" spans="1:7" x14ac:dyDescent="0.2">
      <c r="A2494" s="13"/>
      <c r="B2494" s="13"/>
      <c r="C2494" s="13"/>
      <c r="D2494" s="13"/>
      <c r="E2494" s="13"/>
      <c r="G2494" s="13"/>
    </row>
    <row r="2495" spans="1:7" x14ac:dyDescent="0.2">
      <c r="A2495" s="13"/>
      <c r="B2495" s="13"/>
      <c r="C2495" s="13"/>
      <c r="D2495" s="13"/>
      <c r="E2495" s="13"/>
      <c r="G2495" s="13"/>
    </row>
    <row r="2496" spans="1:7" x14ac:dyDescent="0.2">
      <c r="A2496" s="13"/>
      <c r="B2496" s="13"/>
      <c r="C2496" s="13"/>
      <c r="D2496" s="13"/>
      <c r="E2496" s="13"/>
      <c r="G2496" s="13"/>
    </row>
    <row r="2497" spans="1:7" x14ac:dyDescent="0.2">
      <c r="A2497" s="13"/>
      <c r="B2497" s="13"/>
      <c r="C2497" s="13"/>
      <c r="D2497" s="13"/>
      <c r="E2497" s="13"/>
      <c r="G2497" s="13"/>
    </row>
    <row r="2498" spans="1:7" x14ac:dyDescent="0.2">
      <c r="A2498" s="13"/>
      <c r="B2498" s="13"/>
      <c r="C2498" s="13"/>
      <c r="D2498" s="13"/>
      <c r="E2498" s="13"/>
      <c r="F2498" s="13"/>
    </row>
    <row r="2499" spans="1:7" x14ac:dyDescent="0.2">
      <c r="A2499" s="13"/>
      <c r="B2499" s="13"/>
      <c r="C2499" s="13"/>
      <c r="D2499" s="13"/>
      <c r="E2499" s="13"/>
      <c r="F2499" s="13"/>
    </row>
    <row r="2500" spans="1:7" x14ac:dyDescent="0.2">
      <c r="A2500" s="13"/>
      <c r="B2500" s="13"/>
      <c r="C2500" s="13"/>
      <c r="D2500" s="13"/>
      <c r="E2500" s="13"/>
      <c r="F2500" s="13"/>
    </row>
    <row r="2501" spans="1:7" x14ac:dyDescent="0.2">
      <c r="A2501" s="13"/>
      <c r="B2501" s="13"/>
      <c r="C2501" s="13"/>
      <c r="D2501" s="13"/>
      <c r="E2501" s="13"/>
      <c r="F2501" s="13"/>
    </row>
    <row r="2502" spans="1:7" x14ac:dyDescent="0.2">
      <c r="A2502" s="13"/>
      <c r="B2502" s="13"/>
      <c r="C2502" s="13"/>
      <c r="D2502" s="13"/>
      <c r="E2502" s="13"/>
      <c r="F2502" s="13"/>
    </row>
    <row r="2503" spans="1:7" x14ac:dyDescent="0.2">
      <c r="A2503" s="13"/>
      <c r="B2503" s="13"/>
      <c r="C2503" s="13"/>
      <c r="D2503" s="13"/>
      <c r="E2503" s="13"/>
      <c r="F2503" s="13"/>
    </row>
    <row r="2504" spans="1:7" x14ac:dyDescent="0.2">
      <c r="A2504" s="13"/>
      <c r="B2504" s="13"/>
      <c r="C2504" s="13"/>
      <c r="D2504" s="13"/>
      <c r="E2504" s="13"/>
      <c r="F2504" s="13"/>
    </row>
    <row r="2505" spans="1:7" x14ac:dyDescent="0.2">
      <c r="A2505" s="13"/>
      <c r="B2505" s="13"/>
      <c r="C2505" s="13"/>
      <c r="D2505" s="13"/>
      <c r="E2505" s="13"/>
      <c r="F2505" s="13"/>
    </row>
    <row r="2506" spans="1:7" x14ac:dyDescent="0.2">
      <c r="A2506" s="13"/>
      <c r="B2506" s="13"/>
      <c r="C2506" s="13"/>
      <c r="D2506" s="13"/>
      <c r="E2506" s="13"/>
      <c r="F2506" s="13"/>
    </row>
    <row r="2507" spans="1:7" x14ac:dyDescent="0.2">
      <c r="A2507" s="13"/>
      <c r="B2507" s="13"/>
      <c r="C2507" s="13"/>
      <c r="D2507" s="13"/>
      <c r="E2507" s="13"/>
      <c r="F2507" s="13"/>
    </row>
    <row r="2508" spans="1:7" x14ac:dyDescent="0.2">
      <c r="A2508" s="13"/>
      <c r="B2508" s="13"/>
      <c r="C2508" s="13"/>
      <c r="D2508" s="13"/>
      <c r="E2508" s="13"/>
      <c r="F2508" s="13"/>
    </row>
    <row r="2509" spans="1:7" x14ac:dyDescent="0.2">
      <c r="A2509" s="13"/>
      <c r="B2509" s="13"/>
      <c r="C2509" s="13"/>
      <c r="D2509" s="13"/>
      <c r="E2509" s="13"/>
      <c r="F2509" s="13"/>
    </row>
    <row r="2510" spans="1:7" x14ac:dyDescent="0.2">
      <c r="A2510" s="13"/>
      <c r="B2510" s="13"/>
      <c r="C2510" s="13"/>
      <c r="D2510" s="13"/>
      <c r="E2510" s="13"/>
      <c r="F2510" s="13"/>
    </row>
    <row r="2511" spans="1:7" x14ac:dyDescent="0.2">
      <c r="A2511" s="13"/>
      <c r="B2511" s="13"/>
      <c r="C2511" s="13"/>
      <c r="D2511" s="13"/>
      <c r="E2511" s="13"/>
      <c r="F2511" s="13"/>
    </row>
    <row r="2512" spans="1:7" x14ac:dyDescent="0.2">
      <c r="A2512" s="13"/>
      <c r="B2512" s="13"/>
      <c r="C2512" s="13"/>
      <c r="D2512" s="13"/>
      <c r="E2512" s="13"/>
      <c r="G2512" s="13"/>
    </row>
    <row r="2513" spans="1:10" x14ac:dyDescent="0.2">
      <c r="A2513" s="13"/>
      <c r="B2513" s="13"/>
      <c r="C2513" s="13"/>
      <c r="D2513" s="13"/>
      <c r="E2513" s="13"/>
      <c r="G2513" s="13"/>
    </row>
    <row r="2514" spans="1:10" x14ac:dyDescent="0.2">
      <c r="A2514" s="13"/>
      <c r="B2514" s="13"/>
      <c r="C2514" s="13"/>
      <c r="D2514" s="13"/>
      <c r="E2514" s="13"/>
      <c r="G2514" s="13"/>
    </row>
    <row r="2515" spans="1:10" x14ac:dyDescent="0.2">
      <c r="A2515" s="13"/>
      <c r="B2515" s="13"/>
      <c r="C2515" s="13"/>
      <c r="D2515" s="13"/>
      <c r="E2515" s="13"/>
      <c r="G2515" s="13"/>
    </row>
    <row r="2516" spans="1:10" x14ac:dyDescent="0.2">
      <c r="A2516" s="13"/>
      <c r="B2516" s="13"/>
      <c r="C2516" s="13"/>
      <c r="D2516" s="13"/>
      <c r="E2516" s="13"/>
      <c r="G2516" s="13"/>
    </row>
    <row r="2517" spans="1:10" x14ac:dyDescent="0.2">
      <c r="A2517" s="13"/>
      <c r="B2517" s="13"/>
      <c r="C2517" s="13"/>
      <c r="D2517" s="13"/>
      <c r="E2517" s="13"/>
      <c r="G2517" s="13"/>
    </row>
    <row r="2518" spans="1:10" x14ac:dyDescent="0.2">
      <c r="A2518" s="13"/>
      <c r="B2518" s="13"/>
      <c r="C2518" s="13"/>
      <c r="D2518" s="13"/>
      <c r="E2518" s="13"/>
      <c r="G2518" s="13"/>
    </row>
    <row r="2519" spans="1:10" x14ac:dyDescent="0.2">
      <c r="A2519" s="13"/>
      <c r="B2519" s="13"/>
      <c r="C2519" s="13"/>
      <c r="D2519" s="13"/>
      <c r="E2519" s="13"/>
      <c r="G2519" s="13"/>
    </row>
    <row r="2520" spans="1:10" x14ac:dyDescent="0.2">
      <c r="A2520" s="13"/>
      <c r="B2520" s="13"/>
      <c r="C2520" s="13"/>
      <c r="D2520" s="13"/>
      <c r="E2520" s="13"/>
      <c r="G2520" s="13"/>
    </row>
    <row r="2521" spans="1:10" x14ac:dyDescent="0.2">
      <c r="A2521" s="13"/>
      <c r="B2521" s="13"/>
      <c r="C2521" s="13"/>
      <c r="D2521" s="13"/>
      <c r="E2521" s="13"/>
      <c r="G2521" s="13"/>
    </row>
    <row r="2522" spans="1:10" x14ac:dyDescent="0.2">
      <c r="A2522" s="13"/>
      <c r="B2522" s="13"/>
      <c r="C2522" s="13"/>
      <c r="D2522" s="13"/>
      <c r="E2522" s="13"/>
      <c r="G2522" s="13"/>
    </row>
    <row r="2523" spans="1:10" x14ac:dyDescent="0.2">
      <c r="A2523" s="13"/>
      <c r="B2523" s="13"/>
      <c r="C2523" s="13"/>
      <c r="D2523" s="13"/>
      <c r="E2523" s="13"/>
      <c r="G2523" s="13"/>
      <c r="J2523" s="52"/>
    </row>
    <row r="2524" spans="1:10" x14ac:dyDescent="0.2">
      <c r="A2524" s="13"/>
      <c r="B2524" s="13"/>
      <c r="C2524" s="13"/>
      <c r="D2524" s="13"/>
      <c r="E2524" s="13"/>
      <c r="G2524" s="13"/>
    </row>
    <row r="2525" spans="1:10" x14ac:dyDescent="0.2">
      <c r="A2525" s="13"/>
      <c r="B2525" s="13"/>
      <c r="C2525" s="13"/>
      <c r="D2525" s="13"/>
      <c r="E2525" s="13"/>
      <c r="G2525" s="13"/>
    </row>
    <row r="2526" spans="1:10" x14ac:dyDescent="0.2">
      <c r="A2526" s="13"/>
      <c r="B2526" s="13"/>
      <c r="C2526" s="13"/>
      <c r="D2526" s="13"/>
      <c r="E2526" s="13"/>
      <c r="G2526" s="13"/>
    </row>
    <row r="2527" spans="1:10" x14ac:dyDescent="0.2">
      <c r="A2527" s="13"/>
      <c r="B2527" s="13"/>
      <c r="C2527" s="13"/>
      <c r="D2527" s="13"/>
      <c r="E2527" s="13"/>
      <c r="F2527" s="13"/>
    </row>
    <row r="2528" spans="1:10" x14ac:dyDescent="0.2">
      <c r="A2528" s="13"/>
      <c r="B2528" s="13"/>
      <c r="C2528" s="13"/>
      <c r="D2528" s="13"/>
      <c r="E2528" s="13"/>
      <c r="F2528" s="13"/>
    </row>
    <row r="2529" spans="1:7" x14ac:dyDescent="0.2">
      <c r="A2529" s="13"/>
      <c r="B2529" s="13"/>
      <c r="C2529" s="13"/>
      <c r="D2529" s="13"/>
      <c r="E2529" s="13"/>
      <c r="F2529" s="13"/>
    </row>
    <row r="2530" spans="1:7" x14ac:dyDescent="0.2">
      <c r="A2530" s="13"/>
      <c r="B2530" s="13"/>
      <c r="C2530" s="13"/>
      <c r="D2530" s="13"/>
      <c r="E2530" s="13"/>
      <c r="F2530" s="13"/>
    </row>
    <row r="2531" spans="1:7" x14ac:dyDescent="0.2">
      <c r="A2531" s="13"/>
      <c r="B2531" s="13"/>
      <c r="C2531" s="13"/>
      <c r="D2531" s="13"/>
      <c r="E2531" s="13"/>
      <c r="F2531" s="13"/>
    </row>
    <row r="2532" spans="1:7" x14ac:dyDescent="0.2">
      <c r="A2532" s="13"/>
      <c r="B2532" s="13"/>
      <c r="C2532" s="13"/>
      <c r="D2532" s="13"/>
      <c r="E2532" s="13"/>
      <c r="F2532" s="13"/>
    </row>
    <row r="2533" spans="1:7" x14ac:dyDescent="0.2">
      <c r="A2533" s="13"/>
      <c r="B2533" s="13"/>
      <c r="C2533" s="13"/>
      <c r="D2533" s="13"/>
      <c r="E2533" s="13"/>
      <c r="F2533" s="13"/>
    </row>
    <row r="2534" spans="1:7" x14ac:dyDescent="0.2">
      <c r="A2534" s="13"/>
      <c r="B2534" s="13"/>
      <c r="C2534" s="13"/>
      <c r="D2534" s="13"/>
      <c r="E2534" s="13"/>
      <c r="F2534" s="13"/>
    </row>
    <row r="2535" spans="1:7" x14ac:dyDescent="0.2">
      <c r="A2535" s="13"/>
      <c r="B2535" s="13"/>
      <c r="C2535" s="13"/>
      <c r="D2535" s="13"/>
      <c r="E2535" s="13"/>
      <c r="F2535" s="13"/>
    </row>
    <row r="2536" spans="1:7" x14ac:dyDescent="0.2">
      <c r="A2536" s="13"/>
      <c r="B2536" s="13"/>
      <c r="C2536" s="13"/>
      <c r="D2536" s="13"/>
      <c r="E2536" s="13"/>
      <c r="F2536" s="13"/>
    </row>
    <row r="2537" spans="1:7" x14ac:dyDescent="0.2">
      <c r="A2537" s="13"/>
      <c r="B2537" s="13"/>
      <c r="C2537" s="13"/>
      <c r="D2537" s="13"/>
      <c r="E2537" s="13"/>
      <c r="F2537" s="13"/>
    </row>
    <row r="2538" spans="1:7" x14ac:dyDescent="0.2">
      <c r="A2538" s="13"/>
      <c r="B2538" s="13"/>
      <c r="C2538" s="13"/>
      <c r="D2538" s="13"/>
      <c r="E2538" s="13"/>
      <c r="F2538" s="13"/>
    </row>
    <row r="2539" spans="1:7" x14ac:dyDescent="0.2">
      <c r="A2539" s="13"/>
      <c r="B2539" s="13"/>
      <c r="C2539" s="13"/>
      <c r="D2539" s="13"/>
      <c r="E2539" s="13"/>
      <c r="F2539" s="13"/>
    </row>
    <row r="2540" spans="1:7" x14ac:dyDescent="0.2">
      <c r="A2540" s="13"/>
      <c r="B2540" s="13"/>
      <c r="C2540" s="13"/>
      <c r="D2540" s="13"/>
      <c r="E2540" s="13"/>
      <c r="F2540" s="13"/>
    </row>
    <row r="2541" spans="1:7" x14ac:dyDescent="0.2">
      <c r="A2541" s="13"/>
      <c r="B2541" s="13"/>
      <c r="C2541" s="13"/>
      <c r="D2541" s="13"/>
      <c r="E2541" s="13"/>
      <c r="G2541" s="13"/>
    </row>
    <row r="2542" spans="1:7" x14ac:dyDescent="0.2">
      <c r="A2542" s="13"/>
      <c r="B2542" s="13"/>
      <c r="C2542" s="13"/>
      <c r="D2542" s="13"/>
      <c r="E2542" s="13"/>
      <c r="G2542" s="13"/>
    </row>
    <row r="2543" spans="1:7" x14ac:dyDescent="0.2">
      <c r="A2543" s="13"/>
      <c r="B2543" s="13"/>
      <c r="C2543" s="13"/>
      <c r="D2543" s="13"/>
      <c r="E2543" s="13"/>
      <c r="G2543" s="13"/>
    </row>
    <row r="2544" spans="1:7" x14ac:dyDescent="0.2">
      <c r="A2544" s="13"/>
      <c r="B2544" s="13"/>
      <c r="C2544" s="13"/>
      <c r="D2544" s="13"/>
      <c r="E2544" s="13"/>
      <c r="G2544" s="13"/>
    </row>
    <row r="2545" spans="1:7" x14ac:dyDescent="0.2">
      <c r="A2545" s="13"/>
      <c r="B2545" s="13"/>
      <c r="C2545" s="13"/>
      <c r="D2545" s="13"/>
      <c r="E2545" s="13"/>
      <c r="G2545" s="13"/>
    </row>
    <row r="2546" spans="1:7" x14ac:dyDescent="0.2">
      <c r="A2546" s="13"/>
      <c r="B2546" s="13"/>
      <c r="C2546" s="13"/>
      <c r="D2546" s="13"/>
      <c r="E2546" s="13"/>
      <c r="G2546" s="13"/>
    </row>
    <row r="2547" spans="1:7" x14ac:dyDescent="0.2">
      <c r="A2547" s="13"/>
      <c r="B2547" s="13"/>
      <c r="C2547" s="13"/>
      <c r="D2547" s="13"/>
      <c r="E2547" s="13"/>
      <c r="F2547" s="13"/>
    </row>
    <row r="2548" spans="1:7" x14ac:dyDescent="0.2">
      <c r="A2548" s="13"/>
      <c r="B2548" s="13"/>
      <c r="C2548" s="13"/>
      <c r="D2548" s="13"/>
      <c r="E2548" s="13"/>
      <c r="G2548" s="13"/>
    </row>
    <row r="2549" spans="1:7" x14ac:dyDescent="0.2">
      <c r="A2549" s="13"/>
      <c r="B2549" s="13"/>
      <c r="C2549" s="13"/>
      <c r="D2549" s="13"/>
      <c r="E2549" s="13"/>
      <c r="G2549" s="13"/>
    </row>
    <row r="2550" spans="1:7" x14ac:dyDescent="0.2">
      <c r="A2550" s="13"/>
      <c r="B2550" s="13"/>
      <c r="C2550" s="13"/>
      <c r="D2550" s="13"/>
      <c r="E2550" s="13"/>
      <c r="G2550" s="13"/>
    </row>
    <row r="2551" spans="1:7" x14ac:dyDescent="0.2">
      <c r="A2551" s="13"/>
      <c r="B2551" s="13"/>
      <c r="C2551" s="13"/>
      <c r="D2551" s="13"/>
      <c r="E2551" s="13"/>
      <c r="G2551" s="13"/>
    </row>
    <row r="2552" spans="1:7" x14ac:dyDescent="0.2">
      <c r="A2552" s="13"/>
      <c r="B2552" s="13"/>
      <c r="C2552" s="13"/>
      <c r="D2552" s="13"/>
      <c r="E2552" s="13"/>
      <c r="G2552" s="13"/>
    </row>
    <row r="2553" spans="1:7" x14ac:dyDescent="0.2">
      <c r="A2553" s="13"/>
      <c r="B2553" s="13"/>
      <c r="C2553" s="13"/>
      <c r="D2553" s="13"/>
      <c r="E2553" s="13"/>
      <c r="G2553" s="13"/>
    </row>
    <row r="2554" spans="1:7" x14ac:dyDescent="0.2">
      <c r="A2554" s="13"/>
      <c r="B2554" s="13"/>
      <c r="D2554" s="13"/>
      <c r="E2554" s="13"/>
      <c r="G2554" s="13"/>
    </row>
    <row r="2555" spans="1:7" x14ac:dyDescent="0.2">
      <c r="A2555" s="13"/>
      <c r="B2555" s="13"/>
      <c r="C2555" s="13"/>
      <c r="D2555" s="13"/>
      <c r="E2555" s="13"/>
      <c r="G2555" s="13"/>
    </row>
    <row r="2556" spans="1:7" x14ac:dyDescent="0.2">
      <c r="A2556" s="13"/>
      <c r="B2556" s="13"/>
      <c r="C2556" s="13"/>
      <c r="D2556" s="13"/>
      <c r="E2556" s="13"/>
      <c r="G2556" s="13"/>
    </row>
    <row r="2557" spans="1:7" x14ac:dyDescent="0.2">
      <c r="A2557" s="13"/>
      <c r="B2557" s="13"/>
      <c r="C2557" s="13"/>
      <c r="D2557" s="13"/>
      <c r="E2557" s="13"/>
      <c r="G2557" s="13"/>
    </row>
    <row r="2558" spans="1:7" x14ac:dyDescent="0.2">
      <c r="A2558" s="13"/>
      <c r="B2558" s="13"/>
      <c r="C2558" s="13"/>
      <c r="D2558" s="13"/>
      <c r="E2558" s="13"/>
      <c r="G2558" s="13"/>
    </row>
    <row r="2559" spans="1:7" x14ac:dyDescent="0.2">
      <c r="A2559" s="13"/>
      <c r="B2559" s="13"/>
      <c r="C2559" s="13"/>
      <c r="D2559" s="13"/>
      <c r="E2559" s="13"/>
      <c r="F2559" s="13"/>
    </row>
    <row r="2560" spans="1:7" x14ac:dyDescent="0.2">
      <c r="A2560" s="13"/>
      <c r="B2560" s="13"/>
      <c r="C2560" s="13"/>
      <c r="D2560" s="13"/>
      <c r="E2560" s="13"/>
      <c r="F2560" s="13"/>
    </row>
    <row r="2561" spans="1:7" x14ac:dyDescent="0.2">
      <c r="A2561" s="13"/>
      <c r="B2561" s="13"/>
      <c r="C2561" s="13"/>
      <c r="D2561" s="13"/>
      <c r="E2561" s="13"/>
      <c r="F2561" s="13"/>
    </row>
    <row r="2562" spans="1:7" x14ac:dyDescent="0.2">
      <c r="A2562" s="13"/>
      <c r="B2562" s="13"/>
      <c r="C2562" s="13"/>
      <c r="D2562" s="13"/>
      <c r="E2562" s="13"/>
      <c r="F2562" s="13"/>
    </row>
    <row r="2563" spans="1:7" x14ac:dyDescent="0.2">
      <c r="A2563" s="13"/>
      <c r="B2563" s="13"/>
      <c r="C2563" s="13"/>
      <c r="D2563" s="13"/>
      <c r="E2563" s="13"/>
      <c r="F2563" s="13"/>
    </row>
    <row r="2564" spans="1:7" x14ac:dyDescent="0.2">
      <c r="A2564" s="13"/>
      <c r="B2564" s="13"/>
      <c r="C2564" s="13"/>
      <c r="D2564" s="13"/>
      <c r="E2564" s="13"/>
      <c r="F2564" s="13"/>
    </row>
    <row r="2565" spans="1:7" x14ac:dyDescent="0.2">
      <c r="A2565" s="13"/>
      <c r="B2565" s="13"/>
      <c r="C2565" s="13"/>
      <c r="D2565" s="13"/>
      <c r="E2565" s="13"/>
      <c r="F2565" s="13"/>
    </row>
    <row r="2566" spans="1:7" x14ac:dyDescent="0.2">
      <c r="A2566" s="13"/>
      <c r="B2566" s="13"/>
      <c r="C2566" s="13"/>
      <c r="D2566" s="13"/>
      <c r="E2566" s="13"/>
      <c r="F2566" s="13"/>
    </row>
    <row r="2567" spans="1:7" x14ac:dyDescent="0.2">
      <c r="A2567" s="13"/>
      <c r="B2567" s="13"/>
      <c r="C2567" s="13"/>
      <c r="D2567" s="13"/>
      <c r="E2567" s="13"/>
      <c r="F2567" s="13"/>
    </row>
    <row r="2568" spans="1:7" x14ac:dyDescent="0.2">
      <c r="A2568" s="13"/>
      <c r="B2568" s="13"/>
      <c r="C2568" s="13"/>
      <c r="D2568" s="13"/>
      <c r="E2568" s="13"/>
      <c r="F2568" s="13"/>
    </row>
    <row r="2569" spans="1:7" x14ac:dyDescent="0.2">
      <c r="A2569" s="13"/>
      <c r="B2569" s="13"/>
      <c r="C2569" s="13"/>
      <c r="D2569" s="13"/>
      <c r="E2569" s="13"/>
      <c r="F2569" s="13"/>
    </row>
    <row r="2570" spans="1:7" x14ac:dyDescent="0.2">
      <c r="A2570" s="13"/>
      <c r="B2570" s="13"/>
      <c r="C2570" s="13"/>
      <c r="D2570" s="13"/>
      <c r="E2570" s="13"/>
      <c r="F2570" s="13"/>
    </row>
    <row r="2571" spans="1:7" x14ac:dyDescent="0.2">
      <c r="A2571" s="13"/>
      <c r="B2571" s="13"/>
      <c r="C2571" s="13"/>
      <c r="D2571" s="13"/>
      <c r="E2571" s="13"/>
      <c r="F2571" s="13"/>
    </row>
    <row r="2572" spans="1:7" x14ac:dyDescent="0.2">
      <c r="A2572" s="13"/>
      <c r="B2572" s="13"/>
      <c r="C2572" s="13"/>
      <c r="D2572" s="13"/>
      <c r="E2572" s="13"/>
      <c r="F2572" s="13"/>
    </row>
    <row r="2573" spans="1:7" x14ac:dyDescent="0.2">
      <c r="A2573" s="13"/>
      <c r="B2573" s="13"/>
      <c r="C2573" s="13"/>
      <c r="D2573" s="13"/>
      <c r="E2573" s="13"/>
      <c r="F2573" s="13"/>
    </row>
    <row r="2574" spans="1:7" x14ac:dyDescent="0.2">
      <c r="A2574" s="13"/>
      <c r="B2574" s="13"/>
      <c r="C2574" s="13"/>
      <c r="D2574" s="13"/>
      <c r="E2574" s="13"/>
      <c r="G2574" s="13"/>
    </row>
    <row r="2575" spans="1:7" x14ac:dyDescent="0.2">
      <c r="A2575" s="13"/>
      <c r="B2575" s="13"/>
      <c r="C2575" s="13"/>
      <c r="D2575" s="13"/>
      <c r="E2575" s="13"/>
      <c r="G2575" s="13"/>
    </row>
    <row r="2576" spans="1:7" x14ac:dyDescent="0.2">
      <c r="A2576" s="13"/>
      <c r="B2576" s="13"/>
      <c r="C2576" s="13"/>
      <c r="D2576" s="13"/>
      <c r="E2576" s="13"/>
      <c r="G2576" s="13"/>
    </row>
    <row r="2577" spans="1:7" x14ac:dyDescent="0.2">
      <c r="A2577" s="13"/>
      <c r="B2577" s="13"/>
      <c r="C2577" s="13"/>
      <c r="D2577" s="13"/>
      <c r="E2577" s="13"/>
      <c r="G2577" s="13"/>
    </row>
    <row r="2578" spans="1:7" x14ac:dyDescent="0.2">
      <c r="A2578" s="13"/>
      <c r="B2578" s="13"/>
      <c r="C2578" s="13"/>
      <c r="D2578" s="13"/>
      <c r="E2578" s="13"/>
      <c r="G2578" s="13"/>
    </row>
    <row r="2579" spans="1:7" x14ac:dyDescent="0.2">
      <c r="A2579" s="13"/>
      <c r="B2579" s="13"/>
      <c r="C2579" s="13"/>
      <c r="D2579" s="13"/>
      <c r="E2579" s="13"/>
      <c r="G2579" s="13"/>
    </row>
    <row r="2580" spans="1:7" x14ac:dyDescent="0.2">
      <c r="A2580" s="13"/>
      <c r="B2580" s="13"/>
      <c r="C2580" s="13"/>
      <c r="D2580" s="13"/>
      <c r="E2580" s="13"/>
      <c r="G2580" s="13"/>
    </row>
    <row r="2581" spans="1:7" x14ac:dyDescent="0.2">
      <c r="A2581" s="13"/>
      <c r="B2581" s="13"/>
      <c r="C2581" s="13"/>
      <c r="D2581" s="13"/>
      <c r="E2581" s="13"/>
      <c r="G2581" s="13"/>
    </row>
    <row r="2582" spans="1:7" x14ac:dyDescent="0.2">
      <c r="A2582" s="13"/>
      <c r="B2582" s="13"/>
      <c r="C2582" s="13"/>
      <c r="D2582" s="13"/>
      <c r="E2582" s="13"/>
      <c r="F2582" s="13"/>
    </row>
    <row r="2583" spans="1:7" x14ac:dyDescent="0.2">
      <c r="A2583" s="13"/>
      <c r="B2583" s="13"/>
      <c r="C2583" s="13"/>
      <c r="D2583" s="13"/>
      <c r="E2583" s="13"/>
      <c r="G2583" s="13"/>
    </row>
    <row r="2584" spans="1:7" x14ac:dyDescent="0.2">
      <c r="A2584" s="13"/>
      <c r="B2584" s="13"/>
      <c r="C2584" s="13"/>
      <c r="D2584" s="13"/>
      <c r="E2584" s="13"/>
      <c r="G2584" s="13"/>
    </row>
    <row r="2585" spans="1:7" x14ac:dyDescent="0.2">
      <c r="A2585" s="13"/>
      <c r="B2585" s="13"/>
      <c r="C2585" s="13"/>
      <c r="D2585" s="13"/>
      <c r="E2585" s="13"/>
      <c r="G2585" s="13"/>
    </row>
    <row r="2586" spans="1:7" x14ac:dyDescent="0.2">
      <c r="A2586" s="13"/>
      <c r="B2586" s="13"/>
      <c r="C2586" s="13"/>
      <c r="D2586" s="13"/>
      <c r="E2586" s="13"/>
      <c r="G2586" s="13"/>
    </row>
    <row r="2587" spans="1:7" x14ac:dyDescent="0.2">
      <c r="A2587" s="13"/>
      <c r="B2587" s="13"/>
      <c r="C2587" s="13"/>
      <c r="D2587" s="13"/>
      <c r="E2587" s="13"/>
      <c r="G2587" s="13"/>
    </row>
    <row r="2588" spans="1:7" x14ac:dyDescent="0.2">
      <c r="A2588" s="13"/>
      <c r="B2588" s="13"/>
      <c r="C2588" s="13"/>
      <c r="D2588" s="13"/>
      <c r="E2588" s="13"/>
      <c r="G2588" s="13"/>
    </row>
    <row r="2589" spans="1:7" x14ac:dyDescent="0.2">
      <c r="A2589" s="13"/>
      <c r="B2589" s="13"/>
      <c r="C2589" s="13"/>
      <c r="D2589" s="13"/>
      <c r="E2589" s="13"/>
      <c r="G2589" s="13"/>
    </row>
    <row r="2590" spans="1:7" x14ac:dyDescent="0.2">
      <c r="A2590" s="13"/>
      <c r="B2590" s="13"/>
      <c r="C2590" s="13"/>
      <c r="D2590" s="13"/>
      <c r="E2590" s="13"/>
      <c r="G2590" s="13"/>
    </row>
    <row r="2591" spans="1:7" x14ac:dyDescent="0.2">
      <c r="A2591" s="13"/>
      <c r="B2591" s="13"/>
      <c r="C2591" s="13"/>
      <c r="D2591" s="13"/>
      <c r="E2591" s="13"/>
      <c r="G2591" s="13"/>
    </row>
    <row r="2592" spans="1:7" x14ac:dyDescent="0.2">
      <c r="A2592" s="13"/>
      <c r="B2592" s="13"/>
      <c r="C2592" s="13"/>
      <c r="D2592" s="13"/>
      <c r="E2592" s="13"/>
      <c r="F2592" s="13"/>
    </row>
    <row r="2593" spans="1:7" x14ac:dyDescent="0.2">
      <c r="A2593" s="13"/>
      <c r="B2593" s="13"/>
      <c r="C2593" s="13"/>
      <c r="D2593" s="13"/>
      <c r="E2593" s="13"/>
      <c r="F2593" s="13"/>
    </row>
    <row r="2594" spans="1:7" x14ac:dyDescent="0.2">
      <c r="A2594" s="13"/>
      <c r="B2594" s="13"/>
      <c r="C2594" s="13"/>
      <c r="D2594" s="13"/>
      <c r="E2594" s="13"/>
      <c r="F2594" s="13"/>
    </row>
    <row r="2595" spans="1:7" x14ac:dyDescent="0.2">
      <c r="A2595" s="13"/>
      <c r="B2595" s="13"/>
      <c r="C2595" s="13"/>
      <c r="D2595" s="13"/>
      <c r="E2595" s="13"/>
      <c r="F2595" s="13"/>
    </row>
    <row r="2596" spans="1:7" x14ac:dyDescent="0.2">
      <c r="A2596" s="13"/>
      <c r="B2596" s="13"/>
      <c r="C2596" s="13"/>
      <c r="D2596" s="13"/>
      <c r="E2596" s="13"/>
      <c r="F2596" s="13"/>
    </row>
    <row r="2597" spans="1:7" x14ac:dyDescent="0.2">
      <c r="A2597" s="13"/>
      <c r="B2597" s="13"/>
      <c r="C2597" s="13"/>
      <c r="D2597" s="13"/>
      <c r="E2597" s="13"/>
      <c r="F2597" s="13"/>
    </row>
    <row r="2598" spans="1:7" x14ac:dyDescent="0.2">
      <c r="A2598" s="13"/>
      <c r="B2598" s="13"/>
      <c r="C2598" s="13"/>
      <c r="D2598" s="13"/>
      <c r="E2598" s="13"/>
      <c r="F2598" s="13"/>
    </row>
    <row r="2599" spans="1:7" x14ac:dyDescent="0.2">
      <c r="A2599" s="13"/>
      <c r="B2599" s="13"/>
      <c r="C2599" s="13"/>
      <c r="D2599" s="13"/>
      <c r="E2599" s="13"/>
      <c r="F2599" s="13"/>
    </row>
    <row r="2600" spans="1:7" x14ac:dyDescent="0.2">
      <c r="A2600" s="13"/>
      <c r="B2600" s="13"/>
      <c r="C2600" s="13"/>
      <c r="D2600" s="13"/>
      <c r="E2600" s="13"/>
      <c r="F2600" s="13"/>
    </row>
    <row r="2601" spans="1:7" x14ac:dyDescent="0.2">
      <c r="A2601" s="13"/>
      <c r="B2601" s="13"/>
      <c r="C2601" s="13"/>
      <c r="D2601" s="13"/>
      <c r="E2601" s="13"/>
      <c r="F2601" s="13"/>
    </row>
    <row r="2602" spans="1:7" x14ac:dyDescent="0.2">
      <c r="A2602" s="13"/>
      <c r="B2602" s="13"/>
      <c r="C2602" s="13"/>
      <c r="D2602" s="13"/>
      <c r="E2602" s="13"/>
      <c r="F2602" s="13"/>
    </row>
    <row r="2603" spans="1:7" x14ac:dyDescent="0.2">
      <c r="A2603" s="13"/>
      <c r="B2603" s="13"/>
      <c r="C2603" s="13"/>
      <c r="D2603" s="13"/>
      <c r="E2603" s="13"/>
      <c r="F2603" s="13"/>
    </row>
    <row r="2604" spans="1:7" x14ac:dyDescent="0.2">
      <c r="A2604" s="13"/>
      <c r="B2604" s="13"/>
      <c r="C2604" s="13"/>
      <c r="D2604" s="13"/>
      <c r="E2604" s="13"/>
      <c r="F2604" s="13"/>
    </row>
    <row r="2605" spans="1:7" x14ac:dyDescent="0.2">
      <c r="A2605" s="13"/>
      <c r="B2605" s="13"/>
      <c r="C2605" s="13"/>
      <c r="D2605" s="13"/>
      <c r="E2605" s="13"/>
      <c r="G2605" s="13"/>
    </row>
    <row r="2606" spans="1:7" x14ac:dyDescent="0.2">
      <c r="A2606" s="13"/>
      <c r="B2606" s="13"/>
      <c r="C2606" s="13"/>
      <c r="D2606" s="13"/>
      <c r="E2606" s="13"/>
      <c r="G2606" s="13"/>
    </row>
    <row r="2607" spans="1:7" x14ac:dyDescent="0.2">
      <c r="A2607" s="13"/>
      <c r="B2607" s="13"/>
      <c r="C2607" s="13"/>
      <c r="D2607" s="13"/>
      <c r="E2607" s="13"/>
      <c r="G2607" s="13"/>
    </row>
    <row r="2608" spans="1:7" x14ac:dyDescent="0.2">
      <c r="A2608" s="13"/>
      <c r="B2608" s="13"/>
      <c r="C2608" s="13"/>
      <c r="D2608" s="13"/>
      <c r="E2608" s="13"/>
      <c r="G2608" s="13"/>
    </row>
    <row r="2609" spans="1:7" x14ac:dyDescent="0.2">
      <c r="A2609" s="13"/>
      <c r="B2609" s="13"/>
      <c r="C2609" s="13"/>
      <c r="D2609" s="13"/>
      <c r="E2609" s="13"/>
      <c r="G2609" s="13"/>
    </row>
    <row r="2610" spans="1:7" x14ac:dyDescent="0.2">
      <c r="A2610" s="13"/>
      <c r="B2610" s="13"/>
      <c r="C2610" s="13"/>
      <c r="D2610" s="13"/>
      <c r="E2610" s="13"/>
      <c r="G2610" s="13"/>
    </row>
    <row r="2611" spans="1:7" x14ac:dyDescent="0.2">
      <c r="A2611" s="13"/>
      <c r="B2611" s="13"/>
      <c r="C2611" s="13"/>
      <c r="D2611" s="13"/>
      <c r="E2611" s="13"/>
      <c r="G2611" s="13"/>
    </row>
    <row r="2612" spans="1:7" x14ac:dyDescent="0.2">
      <c r="A2612" s="13"/>
      <c r="B2612" s="13"/>
      <c r="C2612" s="13"/>
      <c r="D2612" s="13"/>
      <c r="E2612" s="13"/>
      <c r="G2612" s="13"/>
    </row>
    <row r="2613" spans="1:7" x14ac:dyDescent="0.2">
      <c r="A2613" s="13"/>
      <c r="B2613" s="13"/>
      <c r="C2613" s="13"/>
      <c r="D2613" s="13"/>
      <c r="E2613" s="13"/>
      <c r="G2613" s="13"/>
    </row>
    <row r="2614" spans="1:7" x14ac:dyDescent="0.2">
      <c r="A2614" s="13"/>
      <c r="B2614" s="13"/>
      <c r="C2614" s="13"/>
      <c r="D2614" s="13"/>
      <c r="E2614" s="13"/>
      <c r="G2614" s="13"/>
    </row>
    <row r="2615" spans="1:7" x14ac:dyDescent="0.2">
      <c r="A2615" s="13"/>
      <c r="B2615" s="13"/>
      <c r="C2615" s="13"/>
      <c r="D2615" s="13"/>
      <c r="E2615" s="13"/>
      <c r="G2615" s="13"/>
    </row>
    <row r="2616" spans="1:7" x14ac:dyDescent="0.2">
      <c r="A2616" s="13"/>
      <c r="B2616" s="13"/>
      <c r="C2616" s="13"/>
      <c r="D2616" s="13"/>
      <c r="E2616" s="13"/>
      <c r="G2616" s="13"/>
    </row>
    <row r="2617" spans="1:7" x14ac:dyDescent="0.2">
      <c r="A2617" s="13"/>
      <c r="B2617" s="13"/>
      <c r="C2617" s="13"/>
      <c r="D2617" s="13"/>
      <c r="E2617" s="13"/>
      <c r="G2617" s="13"/>
    </row>
    <row r="2618" spans="1:7" x14ac:dyDescent="0.2">
      <c r="A2618" s="13"/>
      <c r="B2618" s="13"/>
      <c r="C2618" s="13"/>
      <c r="D2618" s="13"/>
      <c r="E2618" s="13"/>
      <c r="G2618" s="13"/>
    </row>
    <row r="2619" spans="1:7" x14ac:dyDescent="0.2">
      <c r="A2619" s="13"/>
      <c r="B2619" s="13"/>
      <c r="C2619" s="13"/>
      <c r="D2619" s="13"/>
      <c r="E2619" s="13"/>
      <c r="G2619" s="13"/>
    </row>
    <row r="2620" spans="1:7" x14ac:dyDescent="0.2">
      <c r="A2620" s="13"/>
      <c r="B2620" s="13"/>
      <c r="D2620" s="13"/>
      <c r="E2620" s="13"/>
      <c r="G2620" s="13"/>
    </row>
    <row r="2621" spans="1:7" x14ac:dyDescent="0.2">
      <c r="A2621" s="13"/>
      <c r="B2621" s="13"/>
      <c r="C2621" s="13"/>
      <c r="D2621" s="13"/>
      <c r="E2621" s="13"/>
      <c r="G2621" s="13"/>
    </row>
    <row r="2622" spans="1:7" x14ac:dyDescent="0.2">
      <c r="A2622" s="13"/>
      <c r="B2622" s="13"/>
      <c r="C2622" s="13"/>
      <c r="D2622" s="13"/>
      <c r="E2622" s="13"/>
      <c r="G2622" s="13"/>
    </row>
    <row r="2623" spans="1:7" x14ac:dyDescent="0.2">
      <c r="A2623" s="13"/>
      <c r="B2623" s="13"/>
      <c r="C2623" s="13"/>
      <c r="D2623" s="13"/>
      <c r="E2623" s="13"/>
      <c r="G2623" s="13"/>
    </row>
    <row r="2624" spans="1:7" x14ac:dyDescent="0.2">
      <c r="A2624" s="13"/>
      <c r="B2624" s="13"/>
      <c r="C2624" s="13"/>
      <c r="D2624" s="13"/>
      <c r="E2624" s="13"/>
      <c r="G2624" s="13"/>
    </row>
    <row r="2625" spans="1:7" x14ac:dyDescent="0.2">
      <c r="A2625" s="13"/>
      <c r="B2625" s="13"/>
      <c r="C2625" s="13"/>
      <c r="D2625" s="13"/>
      <c r="E2625" s="13"/>
      <c r="F2625" s="13"/>
    </row>
    <row r="2626" spans="1:7" x14ac:dyDescent="0.2">
      <c r="A2626" s="13"/>
      <c r="B2626" s="13"/>
      <c r="C2626" s="13"/>
      <c r="D2626" s="13"/>
      <c r="E2626" s="13"/>
      <c r="F2626" s="13"/>
    </row>
    <row r="2627" spans="1:7" x14ac:dyDescent="0.2">
      <c r="A2627" s="13"/>
      <c r="B2627" s="13"/>
      <c r="C2627" s="13"/>
      <c r="D2627" s="13"/>
      <c r="E2627" s="13"/>
      <c r="F2627" s="13"/>
    </row>
    <row r="2628" spans="1:7" x14ac:dyDescent="0.2">
      <c r="A2628" s="13"/>
      <c r="B2628" s="13"/>
      <c r="C2628" s="13"/>
      <c r="D2628" s="13"/>
      <c r="E2628" s="13"/>
      <c r="F2628" s="13"/>
    </row>
    <row r="2629" spans="1:7" x14ac:dyDescent="0.2">
      <c r="A2629" s="13"/>
      <c r="B2629" s="13"/>
      <c r="C2629" s="13"/>
      <c r="D2629" s="13"/>
      <c r="E2629" s="13"/>
      <c r="F2629" s="13"/>
    </row>
    <row r="2630" spans="1:7" x14ac:dyDescent="0.2">
      <c r="A2630" s="13"/>
      <c r="B2630" s="13"/>
      <c r="C2630" s="13"/>
      <c r="D2630" s="13"/>
      <c r="E2630" s="13"/>
      <c r="F2630" s="13"/>
    </row>
    <row r="2631" spans="1:7" x14ac:dyDescent="0.2">
      <c r="A2631" s="13"/>
      <c r="B2631" s="13"/>
      <c r="C2631" s="13"/>
      <c r="D2631" s="13"/>
      <c r="E2631" s="13"/>
      <c r="F2631" s="13"/>
    </row>
    <row r="2632" spans="1:7" x14ac:dyDescent="0.2">
      <c r="A2632" s="13"/>
      <c r="B2632" s="13"/>
      <c r="C2632" s="13"/>
      <c r="D2632" s="13"/>
      <c r="E2632" s="13"/>
      <c r="F2632" s="13"/>
    </row>
    <row r="2633" spans="1:7" x14ac:dyDescent="0.2">
      <c r="A2633" s="13"/>
      <c r="B2633" s="13"/>
      <c r="C2633" s="13"/>
      <c r="D2633" s="13"/>
      <c r="E2633" s="13"/>
      <c r="F2633" s="13"/>
    </row>
    <row r="2634" spans="1:7" x14ac:dyDescent="0.2">
      <c r="A2634" s="13"/>
      <c r="B2634" s="13"/>
      <c r="C2634" s="13"/>
      <c r="D2634" s="13"/>
      <c r="E2634" s="13"/>
      <c r="F2634" s="13"/>
    </row>
    <row r="2635" spans="1:7" x14ac:dyDescent="0.2">
      <c r="A2635" s="13"/>
      <c r="B2635" s="13"/>
      <c r="C2635" s="13"/>
      <c r="D2635" s="13"/>
      <c r="E2635" s="13"/>
      <c r="F2635" s="13"/>
    </row>
    <row r="2636" spans="1:7" x14ac:dyDescent="0.2">
      <c r="A2636" s="13"/>
      <c r="B2636" s="13"/>
      <c r="C2636" s="13"/>
      <c r="D2636" s="13"/>
      <c r="E2636" s="13"/>
      <c r="F2636" s="13"/>
    </row>
    <row r="2637" spans="1:7" x14ac:dyDescent="0.2">
      <c r="A2637" s="13"/>
      <c r="B2637" s="13"/>
      <c r="C2637" s="13"/>
      <c r="D2637" s="13"/>
      <c r="E2637" s="13"/>
      <c r="F2637" s="13"/>
    </row>
    <row r="2638" spans="1:7" x14ac:dyDescent="0.2">
      <c r="A2638" s="13"/>
      <c r="B2638" s="13"/>
      <c r="C2638" s="13"/>
      <c r="D2638" s="13"/>
      <c r="E2638" s="13"/>
      <c r="F2638" s="13"/>
    </row>
    <row r="2639" spans="1:7" x14ac:dyDescent="0.2">
      <c r="A2639" s="13"/>
      <c r="B2639" s="13"/>
      <c r="C2639" s="13"/>
      <c r="D2639" s="13"/>
      <c r="E2639" s="13"/>
      <c r="F2639" s="13"/>
    </row>
    <row r="2640" spans="1:7" x14ac:dyDescent="0.2">
      <c r="A2640" s="13"/>
      <c r="B2640" s="13"/>
      <c r="C2640" s="13"/>
      <c r="D2640" s="13"/>
      <c r="E2640" s="13"/>
      <c r="G2640" s="13"/>
    </row>
    <row r="2641" spans="1:7" x14ac:dyDescent="0.2">
      <c r="A2641" s="13"/>
      <c r="B2641" s="13"/>
      <c r="C2641" s="13"/>
      <c r="D2641" s="13"/>
      <c r="E2641" s="13"/>
      <c r="G2641" s="13"/>
    </row>
    <row r="2642" spans="1:7" x14ac:dyDescent="0.2">
      <c r="A2642" s="13"/>
      <c r="B2642" s="13"/>
      <c r="C2642" s="13"/>
      <c r="D2642" s="13"/>
      <c r="E2642" s="13"/>
      <c r="G2642" s="13"/>
    </row>
    <row r="2643" spans="1:7" x14ac:dyDescent="0.2">
      <c r="A2643" s="13"/>
      <c r="B2643" s="13"/>
      <c r="C2643" s="13"/>
      <c r="D2643" s="13"/>
      <c r="E2643" s="13"/>
      <c r="G2643" s="13"/>
    </row>
    <row r="2644" spans="1:7" x14ac:dyDescent="0.2">
      <c r="A2644" s="13"/>
      <c r="B2644" s="13"/>
      <c r="C2644" s="13"/>
      <c r="D2644" s="13"/>
      <c r="E2644" s="13"/>
      <c r="G2644" s="13"/>
    </row>
    <row r="2645" spans="1:7" x14ac:dyDescent="0.2">
      <c r="A2645" s="13"/>
      <c r="B2645" s="13"/>
      <c r="C2645" s="13"/>
      <c r="D2645" s="13"/>
      <c r="E2645" s="13"/>
      <c r="G2645" s="13"/>
    </row>
    <row r="2646" spans="1:7" x14ac:dyDescent="0.2">
      <c r="A2646" s="13"/>
      <c r="B2646" s="13"/>
      <c r="C2646" s="13"/>
      <c r="D2646" s="13"/>
      <c r="E2646" s="13"/>
      <c r="G2646" s="13"/>
    </row>
    <row r="2647" spans="1:7" x14ac:dyDescent="0.2">
      <c r="A2647" s="13"/>
      <c r="B2647" s="13"/>
      <c r="C2647" s="13"/>
      <c r="D2647" s="13"/>
      <c r="E2647" s="13"/>
      <c r="G2647" s="13"/>
    </row>
    <row r="2648" spans="1:7" x14ac:dyDescent="0.2">
      <c r="A2648" s="13"/>
      <c r="B2648" s="13"/>
      <c r="C2648" s="13"/>
      <c r="D2648" s="13"/>
      <c r="E2648" s="13"/>
      <c r="G2648" s="13"/>
    </row>
    <row r="2649" spans="1:7" x14ac:dyDescent="0.2">
      <c r="A2649" s="13"/>
      <c r="B2649" s="13"/>
      <c r="C2649" s="13"/>
      <c r="D2649" s="13"/>
      <c r="E2649" s="13"/>
      <c r="G2649" s="13"/>
    </row>
    <row r="2650" spans="1:7" x14ac:dyDescent="0.2">
      <c r="A2650" s="13"/>
      <c r="B2650" s="13"/>
      <c r="C2650" s="13"/>
      <c r="D2650" s="13"/>
      <c r="E2650" s="13"/>
      <c r="G2650" s="13"/>
    </row>
    <row r="2651" spans="1:7" x14ac:dyDescent="0.2">
      <c r="A2651" s="13"/>
      <c r="B2651" s="13"/>
      <c r="C2651" s="13"/>
      <c r="D2651" s="13"/>
      <c r="E2651" s="13"/>
      <c r="G2651" s="13"/>
    </row>
    <row r="2652" spans="1:7" x14ac:dyDescent="0.2">
      <c r="A2652" s="13"/>
      <c r="B2652" s="13"/>
      <c r="C2652" s="13"/>
      <c r="D2652" s="13"/>
      <c r="E2652" s="13"/>
      <c r="G2652" s="13"/>
    </row>
    <row r="2653" spans="1:7" x14ac:dyDescent="0.2">
      <c r="A2653" s="13"/>
      <c r="B2653" s="13"/>
      <c r="C2653" s="13"/>
      <c r="D2653" s="13"/>
      <c r="E2653" s="13"/>
      <c r="G2653" s="13"/>
    </row>
    <row r="2654" spans="1:7" x14ac:dyDescent="0.2">
      <c r="A2654" s="13"/>
      <c r="B2654" s="13"/>
      <c r="C2654" s="13"/>
      <c r="D2654" s="13"/>
      <c r="E2654" s="13"/>
      <c r="G2654" s="13"/>
    </row>
    <row r="2655" spans="1:7" x14ac:dyDescent="0.2">
      <c r="A2655" s="13"/>
      <c r="B2655" s="13"/>
      <c r="C2655" s="13"/>
      <c r="D2655" s="13"/>
      <c r="E2655" s="13"/>
      <c r="G2655" s="13"/>
    </row>
    <row r="2656" spans="1:7" x14ac:dyDescent="0.2">
      <c r="A2656" s="13"/>
      <c r="B2656" s="13"/>
      <c r="C2656" s="13"/>
      <c r="D2656" s="13"/>
      <c r="E2656" s="13"/>
      <c r="G2656" s="13"/>
    </row>
    <row r="2657" spans="1:7" x14ac:dyDescent="0.2">
      <c r="A2657" s="13"/>
      <c r="B2657" s="13"/>
      <c r="C2657" s="13"/>
      <c r="D2657" s="13"/>
      <c r="E2657" s="13"/>
      <c r="G2657" s="13"/>
    </row>
    <row r="2658" spans="1:7" x14ac:dyDescent="0.2">
      <c r="A2658" s="13"/>
      <c r="B2658" s="13"/>
      <c r="C2658" s="13"/>
      <c r="D2658" s="13"/>
      <c r="E2658" s="13"/>
      <c r="G2658" s="13"/>
    </row>
    <row r="2659" spans="1:7" x14ac:dyDescent="0.2">
      <c r="A2659" s="13"/>
      <c r="B2659" s="13"/>
      <c r="C2659" s="13"/>
      <c r="D2659" s="13"/>
      <c r="E2659" s="13"/>
      <c r="G2659" s="13"/>
    </row>
    <row r="2660" spans="1:7" x14ac:dyDescent="0.2">
      <c r="A2660" s="13"/>
      <c r="B2660" s="13"/>
      <c r="C2660" s="13"/>
      <c r="D2660" s="13"/>
      <c r="E2660" s="13"/>
      <c r="G2660" s="13"/>
    </row>
    <row r="2661" spans="1:7" x14ac:dyDescent="0.2">
      <c r="A2661" s="13"/>
      <c r="B2661" s="13"/>
      <c r="C2661" s="13"/>
      <c r="D2661" s="13"/>
      <c r="E2661" s="13"/>
      <c r="G2661" s="13"/>
    </row>
    <row r="2662" spans="1:7" x14ac:dyDescent="0.2">
      <c r="A2662" s="13"/>
      <c r="B2662" s="13"/>
      <c r="C2662" s="13"/>
      <c r="D2662" s="13"/>
      <c r="E2662" s="13"/>
      <c r="F2662" s="13"/>
    </row>
    <row r="2663" spans="1:7" x14ac:dyDescent="0.2">
      <c r="A2663" s="13"/>
      <c r="B2663" s="13"/>
      <c r="C2663" s="13"/>
      <c r="D2663" s="13"/>
      <c r="E2663" s="13"/>
      <c r="F2663" s="13"/>
    </row>
    <row r="2664" spans="1:7" x14ac:dyDescent="0.2">
      <c r="A2664" s="13"/>
      <c r="B2664" s="13"/>
      <c r="C2664" s="13"/>
      <c r="D2664" s="13"/>
      <c r="E2664" s="13"/>
      <c r="F2664" s="13"/>
    </row>
    <row r="2665" spans="1:7" x14ac:dyDescent="0.2">
      <c r="A2665" s="13"/>
      <c r="B2665" s="13"/>
      <c r="C2665" s="13"/>
      <c r="D2665" s="13"/>
      <c r="E2665" s="13"/>
      <c r="F2665" s="13"/>
    </row>
    <row r="2666" spans="1:7" x14ac:dyDescent="0.2">
      <c r="A2666" s="13"/>
      <c r="B2666" s="13"/>
      <c r="C2666" s="13"/>
      <c r="D2666" s="13"/>
      <c r="E2666" s="13"/>
      <c r="F2666" s="13"/>
    </row>
    <row r="2667" spans="1:7" x14ac:dyDescent="0.2">
      <c r="A2667" s="13"/>
      <c r="B2667" s="13"/>
      <c r="C2667" s="13"/>
      <c r="D2667" s="13"/>
      <c r="E2667" s="13"/>
      <c r="F2667" s="13"/>
    </row>
    <row r="2668" spans="1:7" x14ac:dyDescent="0.2">
      <c r="A2668" s="13"/>
      <c r="B2668" s="13"/>
      <c r="C2668" s="13"/>
      <c r="D2668" s="13"/>
      <c r="E2668" s="13"/>
      <c r="F2668" s="13"/>
    </row>
    <row r="2669" spans="1:7" x14ac:dyDescent="0.2">
      <c r="A2669" s="13"/>
      <c r="B2669" s="13"/>
      <c r="C2669" s="13"/>
      <c r="D2669" s="13"/>
      <c r="E2669" s="13"/>
      <c r="F2669" s="13"/>
    </row>
    <row r="2670" spans="1:7" x14ac:dyDescent="0.2">
      <c r="A2670" s="13"/>
      <c r="B2670" s="13"/>
      <c r="C2670" s="13"/>
      <c r="D2670" s="13"/>
      <c r="E2670" s="13"/>
      <c r="F2670" s="13"/>
    </row>
    <row r="2671" spans="1:7" x14ac:dyDescent="0.2">
      <c r="A2671" s="13"/>
      <c r="B2671" s="13"/>
      <c r="C2671" s="13"/>
      <c r="D2671" s="13"/>
      <c r="E2671" s="13"/>
      <c r="F2671" s="13"/>
    </row>
    <row r="2672" spans="1:7" x14ac:dyDescent="0.2">
      <c r="A2672" s="13"/>
      <c r="B2672" s="13"/>
      <c r="C2672" s="13"/>
      <c r="D2672" s="13"/>
      <c r="E2672" s="13"/>
      <c r="F2672" s="13"/>
    </row>
    <row r="2673" spans="1:7" x14ac:dyDescent="0.2">
      <c r="A2673" s="13"/>
      <c r="B2673" s="13"/>
      <c r="C2673" s="13"/>
      <c r="D2673" s="13"/>
      <c r="E2673" s="13"/>
      <c r="F2673" s="13"/>
    </row>
    <row r="2674" spans="1:7" x14ac:dyDescent="0.2">
      <c r="A2674" s="13"/>
      <c r="B2674" s="13"/>
      <c r="C2674" s="13"/>
      <c r="D2674" s="13"/>
      <c r="E2674" s="13"/>
      <c r="F2674" s="13"/>
    </row>
    <row r="2675" spans="1:7" x14ac:dyDescent="0.2">
      <c r="A2675" s="13"/>
      <c r="B2675" s="13"/>
      <c r="C2675" s="13"/>
      <c r="D2675" s="13"/>
      <c r="E2675" s="13"/>
      <c r="G2675" s="13"/>
    </row>
    <row r="2676" spans="1:7" x14ac:dyDescent="0.2">
      <c r="A2676" s="13"/>
      <c r="B2676" s="13"/>
      <c r="C2676" s="13"/>
      <c r="D2676" s="13"/>
      <c r="E2676" s="13"/>
      <c r="G2676" s="13"/>
    </row>
    <row r="2677" spans="1:7" x14ac:dyDescent="0.2">
      <c r="A2677" s="13"/>
      <c r="B2677" s="13"/>
      <c r="C2677" s="13"/>
      <c r="D2677" s="13"/>
      <c r="E2677" s="13"/>
      <c r="G2677" s="13"/>
    </row>
    <row r="2678" spans="1:7" x14ac:dyDescent="0.2">
      <c r="A2678" s="13"/>
      <c r="B2678" s="13"/>
      <c r="C2678" s="13"/>
      <c r="D2678" s="13"/>
      <c r="E2678" s="13"/>
      <c r="G2678" s="13"/>
    </row>
    <row r="2679" spans="1:7" x14ac:dyDescent="0.2">
      <c r="A2679" s="13"/>
      <c r="B2679" s="13"/>
      <c r="C2679" s="13"/>
      <c r="D2679" s="13"/>
      <c r="E2679" s="13"/>
      <c r="G2679" s="13"/>
    </row>
    <row r="2680" spans="1:7" x14ac:dyDescent="0.2">
      <c r="A2680" s="13"/>
      <c r="B2680" s="13"/>
      <c r="C2680" s="13"/>
      <c r="D2680" s="13"/>
      <c r="E2680" s="13"/>
      <c r="G2680" s="13"/>
    </row>
    <row r="2681" spans="1:7" x14ac:dyDescent="0.2">
      <c r="A2681" s="13"/>
      <c r="B2681" s="13"/>
      <c r="C2681" s="13"/>
      <c r="D2681" s="13"/>
      <c r="E2681" s="13"/>
      <c r="G2681" s="13"/>
    </row>
    <row r="2682" spans="1:7" x14ac:dyDescent="0.2">
      <c r="A2682" s="13"/>
      <c r="B2682" s="13"/>
      <c r="C2682" s="13"/>
      <c r="D2682" s="13"/>
      <c r="E2682" s="13"/>
      <c r="G2682" s="13"/>
    </row>
    <row r="2683" spans="1:7" x14ac:dyDescent="0.2">
      <c r="A2683" s="13"/>
      <c r="B2683" s="13"/>
      <c r="C2683" s="13"/>
      <c r="D2683" s="13"/>
      <c r="E2683" s="13"/>
      <c r="G2683" s="13"/>
    </row>
    <row r="2684" spans="1:7" x14ac:dyDescent="0.2">
      <c r="A2684" s="13"/>
      <c r="B2684" s="13"/>
      <c r="C2684" s="13"/>
      <c r="D2684" s="13"/>
      <c r="E2684" s="13"/>
      <c r="G2684" s="13"/>
    </row>
    <row r="2685" spans="1:7" x14ac:dyDescent="0.2">
      <c r="A2685" s="13"/>
      <c r="B2685" s="13"/>
      <c r="C2685" s="13"/>
      <c r="D2685" s="13"/>
      <c r="E2685" s="13"/>
      <c r="G2685" s="13"/>
    </row>
    <row r="2686" spans="1:7" x14ac:dyDescent="0.2">
      <c r="A2686" s="13"/>
      <c r="B2686" s="13"/>
      <c r="C2686" s="13"/>
      <c r="D2686" s="13"/>
      <c r="E2686" s="13"/>
      <c r="G2686" s="13"/>
    </row>
    <row r="2687" spans="1:7" x14ac:dyDescent="0.2">
      <c r="A2687" s="13"/>
      <c r="B2687" s="13"/>
      <c r="C2687" s="13"/>
      <c r="D2687" s="13"/>
      <c r="E2687" s="13"/>
      <c r="G2687" s="13"/>
    </row>
    <row r="2688" spans="1:7" x14ac:dyDescent="0.2">
      <c r="A2688" s="13"/>
      <c r="B2688" s="13"/>
      <c r="C2688" s="13"/>
      <c r="D2688" s="13"/>
      <c r="E2688" s="13"/>
      <c r="G2688" s="13"/>
    </row>
    <row r="2689" spans="1:7" x14ac:dyDescent="0.2">
      <c r="A2689" s="13"/>
      <c r="B2689" s="13"/>
      <c r="C2689" s="13"/>
      <c r="D2689" s="13"/>
      <c r="E2689" s="13"/>
      <c r="G2689" s="13"/>
    </row>
    <row r="2690" spans="1:7" x14ac:dyDescent="0.2">
      <c r="A2690" s="13"/>
      <c r="B2690" s="13"/>
      <c r="C2690" s="13"/>
      <c r="D2690" s="13"/>
      <c r="E2690" s="13"/>
      <c r="G2690" s="13"/>
    </row>
    <row r="2691" spans="1:7" x14ac:dyDescent="0.2">
      <c r="A2691" s="13"/>
      <c r="B2691" s="13"/>
      <c r="C2691" s="13"/>
      <c r="D2691" s="13"/>
      <c r="E2691" s="13"/>
      <c r="F2691" s="13"/>
    </row>
    <row r="2692" spans="1:7" x14ac:dyDescent="0.2">
      <c r="A2692" s="13"/>
      <c r="B2692" s="13"/>
      <c r="C2692" s="13"/>
      <c r="D2692" s="13"/>
      <c r="E2692" s="13"/>
      <c r="F2692" s="13"/>
    </row>
    <row r="2693" spans="1:7" x14ac:dyDescent="0.2">
      <c r="A2693" s="13"/>
      <c r="B2693" s="13"/>
      <c r="C2693" s="13"/>
      <c r="D2693" s="13"/>
      <c r="E2693" s="13"/>
      <c r="F2693" s="13"/>
    </row>
    <row r="2694" spans="1:7" x14ac:dyDescent="0.2">
      <c r="A2694" s="13"/>
      <c r="B2694" s="13"/>
      <c r="C2694" s="13"/>
      <c r="D2694" s="13"/>
      <c r="E2694" s="13"/>
      <c r="F2694" s="13"/>
    </row>
    <row r="2695" spans="1:7" x14ac:dyDescent="0.2">
      <c r="A2695" s="13"/>
      <c r="B2695" s="13"/>
      <c r="C2695" s="13"/>
      <c r="D2695" s="13"/>
      <c r="E2695" s="13"/>
      <c r="F2695" s="13"/>
    </row>
    <row r="2696" spans="1:7" x14ac:dyDescent="0.2">
      <c r="A2696" s="13"/>
      <c r="B2696" s="13"/>
      <c r="C2696" s="13"/>
      <c r="D2696" s="13"/>
      <c r="E2696" s="13"/>
      <c r="F2696" s="13"/>
    </row>
    <row r="2697" spans="1:7" x14ac:dyDescent="0.2">
      <c r="A2697" s="13"/>
      <c r="B2697" s="13"/>
      <c r="C2697" s="13"/>
      <c r="D2697" s="13"/>
      <c r="E2697" s="13"/>
      <c r="F2697" s="13"/>
    </row>
    <row r="2698" spans="1:7" x14ac:dyDescent="0.2">
      <c r="A2698" s="13"/>
      <c r="B2698" s="13"/>
      <c r="C2698" s="13"/>
      <c r="D2698" s="13"/>
      <c r="E2698" s="13"/>
      <c r="F2698" s="13"/>
    </row>
    <row r="2699" spans="1:7" x14ac:dyDescent="0.2">
      <c r="A2699" s="13"/>
      <c r="B2699" s="13"/>
      <c r="C2699" s="13"/>
      <c r="D2699" s="13"/>
      <c r="E2699" s="13"/>
      <c r="F2699" s="13"/>
    </row>
    <row r="2700" spans="1:7" x14ac:dyDescent="0.2">
      <c r="A2700" s="13"/>
      <c r="B2700" s="13"/>
      <c r="C2700" s="13"/>
      <c r="D2700" s="13"/>
      <c r="E2700" s="13"/>
      <c r="F2700" s="13"/>
    </row>
    <row r="2701" spans="1:7" x14ac:dyDescent="0.2">
      <c r="A2701" s="13"/>
      <c r="B2701" s="13"/>
      <c r="C2701" s="13"/>
      <c r="D2701" s="13"/>
      <c r="E2701" s="13"/>
      <c r="F2701" s="13"/>
    </row>
    <row r="2702" spans="1:7" x14ac:dyDescent="0.2">
      <c r="A2702" s="13"/>
      <c r="B2702" s="13"/>
      <c r="C2702" s="13"/>
      <c r="D2702" s="13"/>
      <c r="E2702" s="13"/>
      <c r="F2702" s="13"/>
    </row>
    <row r="2703" spans="1:7" x14ac:dyDescent="0.2">
      <c r="A2703" s="13"/>
      <c r="B2703" s="13"/>
      <c r="C2703" s="13"/>
      <c r="D2703" s="13"/>
      <c r="E2703" s="13"/>
      <c r="G2703" s="13"/>
    </row>
    <row r="2704" spans="1:7" x14ac:dyDescent="0.2">
      <c r="A2704" s="13"/>
      <c r="B2704" s="13"/>
      <c r="C2704" s="13"/>
      <c r="D2704" s="13"/>
      <c r="E2704" s="13"/>
      <c r="G2704" s="13"/>
    </row>
    <row r="2705" spans="1:7" x14ac:dyDescent="0.2">
      <c r="A2705" s="13"/>
      <c r="B2705" s="13"/>
      <c r="C2705" s="13"/>
      <c r="D2705" s="13"/>
      <c r="E2705" s="13"/>
      <c r="G2705" s="13"/>
    </row>
    <row r="2706" spans="1:7" x14ac:dyDescent="0.2">
      <c r="A2706" s="13"/>
      <c r="B2706" s="13"/>
      <c r="C2706" s="13"/>
      <c r="D2706" s="13"/>
      <c r="E2706" s="13"/>
      <c r="G2706" s="13"/>
    </row>
    <row r="2707" spans="1:7" x14ac:dyDescent="0.2">
      <c r="A2707" s="13"/>
      <c r="B2707" s="13"/>
      <c r="C2707" s="13"/>
      <c r="D2707" s="13"/>
      <c r="E2707" s="13"/>
      <c r="G2707" s="13"/>
    </row>
    <row r="2708" spans="1:7" x14ac:dyDescent="0.2">
      <c r="A2708" s="13"/>
      <c r="B2708" s="13"/>
      <c r="C2708" s="13"/>
      <c r="D2708" s="13"/>
      <c r="E2708" s="13"/>
      <c r="G2708" s="13"/>
    </row>
    <row r="2709" spans="1:7" x14ac:dyDescent="0.2">
      <c r="A2709" s="13"/>
      <c r="B2709" s="13"/>
      <c r="C2709" s="13"/>
      <c r="D2709" s="13"/>
      <c r="E2709" s="13"/>
      <c r="G2709" s="13"/>
    </row>
    <row r="2710" spans="1:7" x14ac:dyDescent="0.2">
      <c r="A2710" s="13"/>
      <c r="B2710" s="13"/>
      <c r="C2710" s="13"/>
      <c r="D2710" s="13"/>
      <c r="E2710" s="13"/>
      <c r="G2710" s="13"/>
    </row>
    <row r="2711" spans="1:7" x14ac:dyDescent="0.2">
      <c r="A2711" s="13"/>
      <c r="B2711" s="13"/>
      <c r="C2711" s="13"/>
      <c r="D2711" s="13"/>
      <c r="E2711" s="13"/>
      <c r="G2711" s="13"/>
    </row>
    <row r="2712" spans="1:7" x14ac:dyDescent="0.2">
      <c r="A2712" s="13"/>
      <c r="B2712" s="13"/>
      <c r="C2712" s="13"/>
      <c r="D2712" s="13"/>
      <c r="E2712" s="13"/>
      <c r="G2712" s="13"/>
    </row>
    <row r="2713" spans="1:7" x14ac:dyDescent="0.2">
      <c r="A2713" s="13"/>
      <c r="B2713" s="13"/>
      <c r="C2713" s="13"/>
      <c r="D2713" s="13"/>
      <c r="E2713" s="13"/>
      <c r="G2713" s="13"/>
    </row>
    <row r="2714" spans="1:7" x14ac:dyDescent="0.2">
      <c r="A2714" s="13"/>
      <c r="B2714" s="13"/>
      <c r="C2714" s="13"/>
      <c r="D2714" s="13"/>
      <c r="E2714" s="13"/>
      <c r="G2714" s="13"/>
    </row>
    <row r="2715" spans="1:7" x14ac:dyDescent="0.2">
      <c r="A2715" s="13"/>
      <c r="B2715" s="13"/>
      <c r="C2715" s="13"/>
      <c r="D2715" s="13"/>
      <c r="E2715" s="13"/>
      <c r="G2715" s="13"/>
    </row>
    <row r="2716" spans="1:7" x14ac:dyDescent="0.2">
      <c r="A2716" s="13"/>
      <c r="B2716" s="13"/>
      <c r="C2716" s="13"/>
      <c r="D2716" s="13"/>
      <c r="E2716" s="13"/>
      <c r="G2716" s="13"/>
    </row>
    <row r="2717" spans="1:7" x14ac:dyDescent="0.2">
      <c r="A2717" s="13"/>
      <c r="B2717" s="13"/>
      <c r="C2717" s="13"/>
      <c r="D2717" s="13"/>
      <c r="E2717" s="13"/>
      <c r="G2717" s="13"/>
    </row>
    <row r="2718" spans="1:7" x14ac:dyDescent="0.2">
      <c r="A2718" s="13"/>
      <c r="B2718" s="13"/>
      <c r="C2718" s="13"/>
      <c r="D2718" s="13"/>
      <c r="E2718" s="13"/>
      <c r="G2718" s="13"/>
    </row>
    <row r="2719" spans="1:7" x14ac:dyDescent="0.2">
      <c r="A2719" s="13"/>
      <c r="B2719" s="13"/>
      <c r="C2719" s="13"/>
      <c r="D2719" s="13"/>
      <c r="E2719" s="13"/>
      <c r="G2719" s="13"/>
    </row>
    <row r="2720" spans="1:7" x14ac:dyDescent="0.2">
      <c r="A2720" s="13"/>
      <c r="B2720" s="13"/>
      <c r="C2720" s="13"/>
      <c r="D2720" s="13"/>
      <c r="E2720" s="13"/>
      <c r="G2720" s="13"/>
    </row>
    <row r="2721" spans="1:7" x14ac:dyDescent="0.2">
      <c r="A2721" s="13"/>
      <c r="B2721" s="13"/>
      <c r="C2721" s="13"/>
      <c r="D2721" s="13"/>
      <c r="E2721" s="13"/>
      <c r="F2721" s="13"/>
    </row>
    <row r="2722" spans="1:7" x14ac:dyDescent="0.2">
      <c r="A2722" s="13"/>
      <c r="B2722" s="13"/>
      <c r="C2722" s="13"/>
      <c r="D2722" s="13"/>
      <c r="E2722" s="13"/>
      <c r="F2722" s="13"/>
    </row>
    <row r="2723" spans="1:7" x14ac:dyDescent="0.2">
      <c r="A2723" s="13"/>
      <c r="B2723" s="13"/>
      <c r="C2723" s="13"/>
      <c r="D2723" s="13"/>
      <c r="E2723" s="13"/>
      <c r="F2723" s="13"/>
    </row>
    <row r="2724" spans="1:7" x14ac:dyDescent="0.2">
      <c r="A2724" s="13"/>
      <c r="B2724" s="13"/>
      <c r="C2724" s="13"/>
      <c r="D2724" s="13"/>
      <c r="E2724" s="13"/>
      <c r="F2724" s="13"/>
    </row>
    <row r="2725" spans="1:7" x14ac:dyDescent="0.2">
      <c r="A2725" s="13"/>
      <c r="B2725" s="13"/>
      <c r="C2725" s="13"/>
      <c r="D2725" s="13"/>
      <c r="E2725" s="13"/>
      <c r="F2725" s="13"/>
    </row>
    <row r="2726" spans="1:7" x14ac:dyDescent="0.2">
      <c r="A2726" s="13"/>
      <c r="B2726" s="13"/>
      <c r="C2726" s="13"/>
      <c r="D2726" s="13"/>
      <c r="E2726" s="13"/>
      <c r="F2726" s="13"/>
    </row>
    <row r="2727" spans="1:7" x14ac:dyDescent="0.2">
      <c r="A2727" s="13"/>
      <c r="B2727" s="13"/>
      <c r="C2727" s="13"/>
      <c r="D2727" s="13"/>
      <c r="E2727" s="13"/>
      <c r="F2727" s="13"/>
    </row>
    <row r="2728" spans="1:7" x14ac:dyDescent="0.2">
      <c r="A2728" s="13"/>
      <c r="B2728" s="13"/>
      <c r="C2728" s="13"/>
      <c r="D2728" s="13"/>
      <c r="E2728" s="13"/>
      <c r="F2728" s="13"/>
    </row>
    <row r="2729" spans="1:7" x14ac:dyDescent="0.2">
      <c r="A2729" s="13"/>
      <c r="B2729" s="13"/>
      <c r="C2729" s="13"/>
      <c r="D2729" s="13"/>
      <c r="E2729" s="13"/>
      <c r="F2729" s="13"/>
    </row>
    <row r="2730" spans="1:7" x14ac:dyDescent="0.2">
      <c r="A2730" s="13"/>
      <c r="B2730" s="13"/>
      <c r="C2730" s="13"/>
      <c r="D2730" s="13"/>
      <c r="E2730" s="13"/>
      <c r="F2730" s="13"/>
    </row>
    <row r="2731" spans="1:7" x14ac:dyDescent="0.2">
      <c r="A2731" s="13"/>
      <c r="B2731" s="13"/>
      <c r="C2731" s="13"/>
      <c r="D2731" s="13"/>
      <c r="E2731" s="13"/>
      <c r="F2731" s="13"/>
    </row>
    <row r="2732" spans="1:7" x14ac:dyDescent="0.2">
      <c r="A2732" s="13"/>
      <c r="B2732" s="13"/>
      <c r="C2732" s="13"/>
      <c r="D2732" s="13"/>
      <c r="E2732" s="13"/>
      <c r="F2732" s="13"/>
    </row>
    <row r="2733" spans="1:7" x14ac:dyDescent="0.2">
      <c r="A2733" s="13"/>
      <c r="B2733" s="13"/>
      <c r="C2733" s="13"/>
      <c r="D2733" s="13"/>
      <c r="E2733" s="13"/>
      <c r="F2733" s="13"/>
    </row>
    <row r="2734" spans="1:7" x14ac:dyDescent="0.2">
      <c r="A2734" s="13"/>
      <c r="B2734" s="13"/>
      <c r="C2734" s="13"/>
      <c r="D2734" s="13"/>
      <c r="E2734" s="13"/>
      <c r="F2734" s="13"/>
    </row>
    <row r="2735" spans="1:7" x14ac:dyDescent="0.2">
      <c r="A2735" s="13"/>
      <c r="B2735" s="13"/>
      <c r="C2735" s="13"/>
      <c r="D2735" s="13"/>
      <c r="E2735" s="13"/>
      <c r="F2735" s="13"/>
    </row>
    <row r="2736" spans="1:7" x14ac:dyDescent="0.2">
      <c r="A2736" s="13"/>
      <c r="B2736" s="13"/>
      <c r="C2736" s="13"/>
      <c r="D2736" s="13"/>
      <c r="E2736" s="13"/>
      <c r="G2736" s="13"/>
    </row>
    <row r="2737" spans="1:7" x14ac:dyDescent="0.2">
      <c r="A2737" s="13"/>
      <c r="B2737" s="13"/>
      <c r="C2737" s="13"/>
      <c r="D2737" s="13"/>
      <c r="E2737" s="13"/>
      <c r="G2737" s="13"/>
    </row>
    <row r="2738" spans="1:7" x14ac:dyDescent="0.2">
      <c r="A2738" s="13"/>
      <c r="B2738" s="13"/>
      <c r="C2738" s="13"/>
      <c r="D2738" s="13"/>
      <c r="E2738" s="13"/>
      <c r="G2738" s="13"/>
    </row>
    <row r="2739" spans="1:7" x14ac:dyDescent="0.2">
      <c r="A2739" s="13"/>
      <c r="B2739" s="13"/>
      <c r="C2739" s="13"/>
      <c r="D2739" s="13"/>
      <c r="E2739" s="13"/>
      <c r="G2739" s="13"/>
    </row>
    <row r="2740" spans="1:7" x14ac:dyDescent="0.2">
      <c r="A2740" s="13"/>
      <c r="B2740" s="13"/>
      <c r="C2740" s="13"/>
      <c r="D2740" s="13"/>
      <c r="E2740" s="13"/>
      <c r="G2740" s="13"/>
    </row>
    <row r="2741" spans="1:7" x14ac:dyDescent="0.2">
      <c r="A2741" s="13"/>
      <c r="B2741" s="13"/>
      <c r="C2741" s="13"/>
      <c r="D2741" s="13"/>
      <c r="E2741" s="13"/>
      <c r="G2741" s="13"/>
    </row>
    <row r="2742" spans="1:7" x14ac:dyDescent="0.2">
      <c r="A2742" s="13"/>
      <c r="B2742" s="13"/>
      <c r="C2742" s="13"/>
      <c r="D2742" s="13"/>
      <c r="E2742" s="13"/>
      <c r="G2742" s="13"/>
    </row>
    <row r="2743" spans="1:7" x14ac:dyDescent="0.2">
      <c r="A2743" s="13"/>
      <c r="B2743" s="13"/>
      <c r="C2743" s="13"/>
      <c r="D2743" s="13"/>
      <c r="E2743" s="13"/>
      <c r="G2743" s="13"/>
    </row>
    <row r="2744" spans="1:7" x14ac:dyDescent="0.2">
      <c r="A2744" s="13"/>
      <c r="B2744" s="13"/>
      <c r="C2744" s="13"/>
      <c r="D2744" s="13"/>
      <c r="E2744" s="13"/>
      <c r="G2744" s="13"/>
    </row>
    <row r="2745" spans="1:7" x14ac:dyDescent="0.2">
      <c r="A2745" s="13"/>
      <c r="B2745" s="13"/>
      <c r="C2745" s="13"/>
      <c r="D2745" s="13"/>
      <c r="E2745" s="13"/>
      <c r="G2745" s="13"/>
    </row>
    <row r="2746" spans="1:7" x14ac:dyDescent="0.2">
      <c r="A2746" s="13"/>
      <c r="B2746" s="13"/>
      <c r="C2746" s="13"/>
      <c r="D2746" s="13"/>
      <c r="E2746" s="13"/>
      <c r="G2746" s="13"/>
    </row>
    <row r="2747" spans="1:7" x14ac:dyDescent="0.2">
      <c r="A2747" s="13"/>
      <c r="B2747" s="13"/>
      <c r="C2747" s="13"/>
      <c r="D2747" s="13"/>
      <c r="E2747" s="13"/>
      <c r="G2747" s="13"/>
    </row>
    <row r="2748" spans="1:7" x14ac:dyDescent="0.2">
      <c r="A2748" s="13"/>
      <c r="B2748" s="13"/>
      <c r="C2748" s="13"/>
      <c r="D2748" s="13"/>
      <c r="E2748" s="13"/>
      <c r="G2748" s="13"/>
    </row>
    <row r="2749" spans="1:7" x14ac:dyDescent="0.2">
      <c r="A2749" s="13"/>
      <c r="B2749" s="13"/>
      <c r="C2749" s="13"/>
      <c r="D2749" s="13"/>
      <c r="E2749" s="13"/>
      <c r="G2749" s="13"/>
    </row>
    <row r="2750" spans="1:7" x14ac:dyDescent="0.2">
      <c r="A2750" s="13"/>
      <c r="B2750" s="13"/>
      <c r="C2750" s="13"/>
      <c r="D2750" s="13"/>
      <c r="E2750" s="13"/>
      <c r="G2750" s="13"/>
    </row>
    <row r="2751" spans="1:7" x14ac:dyDescent="0.2">
      <c r="A2751" s="13"/>
      <c r="B2751" s="13"/>
      <c r="C2751" s="13"/>
      <c r="D2751" s="13"/>
      <c r="E2751" s="13"/>
      <c r="F2751" s="13"/>
    </row>
    <row r="2752" spans="1:7" x14ac:dyDescent="0.2">
      <c r="A2752" s="13"/>
      <c r="B2752" s="13"/>
      <c r="C2752" s="13"/>
      <c r="D2752" s="13"/>
      <c r="E2752" s="13"/>
      <c r="F2752" s="13"/>
    </row>
    <row r="2753" spans="1:7" x14ac:dyDescent="0.2">
      <c r="A2753" s="13"/>
      <c r="B2753" s="13"/>
      <c r="C2753" s="13"/>
      <c r="D2753" s="13"/>
      <c r="E2753" s="13"/>
      <c r="F2753" s="13"/>
    </row>
    <row r="2754" spans="1:7" x14ac:dyDescent="0.2">
      <c r="A2754" s="13"/>
      <c r="B2754" s="13"/>
      <c r="C2754" s="13"/>
      <c r="D2754" s="13"/>
      <c r="E2754" s="13"/>
      <c r="F2754" s="13"/>
    </row>
    <row r="2755" spans="1:7" x14ac:dyDescent="0.2">
      <c r="A2755" s="13"/>
      <c r="B2755" s="13"/>
      <c r="C2755" s="13"/>
      <c r="D2755" s="13"/>
      <c r="E2755" s="13"/>
      <c r="F2755" s="13"/>
    </row>
    <row r="2756" spans="1:7" x14ac:dyDescent="0.2">
      <c r="A2756" s="13"/>
      <c r="B2756" s="13"/>
      <c r="C2756" s="13"/>
      <c r="D2756" s="13"/>
      <c r="E2756" s="13"/>
      <c r="F2756" s="13"/>
    </row>
    <row r="2757" spans="1:7" x14ac:dyDescent="0.2">
      <c r="A2757" s="13"/>
      <c r="B2757" s="13"/>
      <c r="C2757" s="13"/>
      <c r="D2757" s="13"/>
      <c r="E2757" s="13"/>
      <c r="F2757" s="13"/>
    </row>
    <row r="2758" spans="1:7" x14ac:dyDescent="0.2">
      <c r="A2758" s="13"/>
      <c r="B2758" s="13"/>
      <c r="C2758" s="13"/>
      <c r="D2758" s="13"/>
      <c r="E2758" s="13"/>
      <c r="F2758" s="13"/>
    </row>
    <row r="2759" spans="1:7" x14ac:dyDescent="0.2">
      <c r="A2759" s="13"/>
      <c r="B2759" s="13"/>
      <c r="C2759" s="13"/>
      <c r="D2759" s="13"/>
      <c r="E2759" s="13"/>
      <c r="F2759" s="13"/>
    </row>
    <row r="2760" spans="1:7" x14ac:dyDescent="0.2">
      <c r="A2760" s="13"/>
      <c r="B2760" s="13"/>
      <c r="C2760" s="13"/>
      <c r="D2760" s="13"/>
      <c r="E2760" s="13"/>
      <c r="F2760" s="13"/>
    </row>
    <row r="2761" spans="1:7" x14ac:dyDescent="0.2">
      <c r="A2761" s="13"/>
      <c r="B2761" s="13"/>
      <c r="C2761" s="13"/>
      <c r="D2761" s="13"/>
      <c r="E2761" s="13"/>
      <c r="F2761" s="13"/>
    </row>
    <row r="2762" spans="1:7" x14ac:dyDescent="0.2">
      <c r="A2762" s="13"/>
      <c r="B2762" s="13"/>
      <c r="C2762" s="13"/>
      <c r="D2762" s="13"/>
      <c r="E2762" s="13"/>
      <c r="F2762" s="13"/>
    </row>
    <row r="2763" spans="1:7" x14ac:dyDescent="0.2">
      <c r="A2763" s="13"/>
      <c r="B2763" s="13"/>
      <c r="C2763" s="13"/>
      <c r="D2763" s="13"/>
      <c r="E2763" s="13"/>
      <c r="F2763" s="13"/>
    </row>
    <row r="2764" spans="1:7" x14ac:dyDescent="0.2">
      <c r="A2764" s="13"/>
      <c r="B2764" s="13"/>
      <c r="C2764" s="13"/>
      <c r="D2764" s="13"/>
      <c r="E2764" s="13"/>
      <c r="F2764" s="13"/>
    </row>
    <row r="2765" spans="1:7" x14ac:dyDescent="0.2">
      <c r="A2765" s="13"/>
      <c r="B2765" s="13"/>
      <c r="C2765" s="13"/>
      <c r="D2765" s="13"/>
      <c r="E2765" s="13"/>
      <c r="F2765" s="13"/>
    </row>
    <row r="2766" spans="1:7" x14ac:dyDescent="0.2">
      <c r="A2766" s="13"/>
      <c r="B2766" s="13"/>
      <c r="C2766" s="13"/>
      <c r="D2766" s="13"/>
      <c r="E2766" s="13"/>
      <c r="G2766" s="13"/>
    </row>
    <row r="2767" spans="1:7" x14ac:dyDescent="0.2">
      <c r="A2767" s="13"/>
      <c r="B2767" s="13"/>
      <c r="C2767" s="13"/>
      <c r="D2767" s="13"/>
      <c r="E2767" s="13"/>
      <c r="G2767" s="13"/>
    </row>
    <row r="2768" spans="1:7" x14ac:dyDescent="0.2">
      <c r="A2768" s="13"/>
      <c r="B2768" s="13"/>
      <c r="C2768" s="13"/>
      <c r="D2768" s="13"/>
      <c r="E2768" s="13"/>
      <c r="G2768" s="13"/>
    </row>
    <row r="2769" spans="1:7" x14ac:dyDescent="0.2">
      <c r="A2769" s="13"/>
      <c r="B2769" s="13"/>
      <c r="C2769" s="13"/>
      <c r="D2769" s="13"/>
      <c r="E2769" s="13"/>
      <c r="G2769" s="13"/>
    </row>
    <row r="2770" spans="1:7" x14ac:dyDescent="0.2">
      <c r="A2770" s="13"/>
      <c r="B2770" s="13"/>
      <c r="C2770" s="13"/>
      <c r="D2770" s="13"/>
      <c r="E2770" s="13"/>
      <c r="G2770" s="13"/>
    </row>
    <row r="2771" spans="1:7" x14ac:dyDescent="0.2">
      <c r="A2771" s="13"/>
      <c r="B2771" s="13"/>
      <c r="C2771" s="13"/>
      <c r="D2771" s="13"/>
      <c r="E2771" s="13"/>
      <c r="G2771" s="13"/>
    </row>
    <row r="2772" spans="1:7" x14ac:dyDescent="0.2">
      <c r="A2772" s="13"/>
      <c r="B2772" s="13"/>
      <c r="C2772" s="13"/>
      <c r="D2772" s="13"/>
      <c r="E2772" s="13"/>
      <c r="G2772" s="13"/>
    </row>
    <row r="2773" spans="1:7" x14ac:dyDescent="0.2">
      <c r="A2773" s="13"/>
      <c r="B2773" s="13"/>
      <c r="C2773" s="13"/>
      <c r="D2773" s="13"/>
      <c r="E2773" s="13"/>
      <c r="G2773" s="13"/>
    </row>
    <row r="2774" spans="1:7" x14ac:dyDescent="0.2">
      <c r="A2774" s="13"/>
      <c r="B2774" s="13"/>
      <c r="C2774" s="13"/>
      <c r="D2774" s="13"/>
      <c r="E2774" s="13"/>
      <c r="G2774" s="13"/>
    </row>
    <row r="2775" spans="1:7" x14ac:dyDescent="0.2">
      <c r="A2775" s="13"/>
      <c r="B2775" s="13"/>
      <c r="C2775" s="13"/>
      <c r="D2775" s="13"/>
      <c r="E2775" s="13"/>
      <c r="G2775" s="13"/>
    </row>
    <row r="2776" spans="1:7" x14ac:dyDescent="0.2">
      <c r="A2776" s="13"/>
      <c r="B2776" s="13"/>
      <c r="C2776" s="13"/>
      <c r="D2776" s="13"/>
      <c r="E2776" s="13"/>
      <c r="G2776" s="13"/>
    </row>
    <row r="2777" spans="1:7" x14ac:dyDescent="0.2">
      <c r="A2777" s="13"/>
      <c r="B2777" s="13"/>
      <c r="C2777" s="13"/>
      <c r="D2777" s="13"/>
      <c r="E2777" s="13"/>
      <c r="G2777" s="13"/>
    </row>
    <row r="2778" spans="1:7" x14ac:dyDescent="0.2">
      <c r="A2778" s="13"/>
      <c r="B2778" s="13"/>
      <c r="C2778" s="13"/>
      <c r="D2778" s="13"/>
      <c r="E2778" s="13"/>
      <c r="G2778" s="13"/>
    </row>
    <row r="2779" spans="1:7" x14ac:dyDescent="0.2">
      <c r="A2779" s="13"/>
      <c r="B2779" s="13"/>
      <c r="C2779" s="13"/>
      <c r="D2779" s="13"/>
      <c r="E2779" s="13"/>
      <c r="G2779" s="13"/>
    </row>
    <row r="2780" spans="1:7" x14ac:dyDescent="0.2">
      <c r="A2780" s="13"/>
      <c r="B2780" s="13"/>
      <c r="C2780" s="13"/>
      <c r="D2780" s="13"/>
      <c r="E2780" s="13"/>
      <c r="F2780" s="13"/>
    </row>
    <row r="2781" spans="1:7" x14ac:dyDescent="0.2">
      <c r="A2781" s="13"/>
      <c r="B2781" s="13"/>
      <c r="C2781" s="13"/>
      <c r="D2781" s="13"/>
      <c r="E2781" s="13"/>
      <c r="F2781" s="13"/>
    </row>
    <row r="2782" spans="1:7" x14ac:dyDescent="0.2">
      <c r="A2782" s="13"/>
      <c r="B2782" s="13"/>
      <c r="C2782" s="13"/>
      <c r="D2782" s="13"/>
      <c r="E2782" s="13"/>
      <c r="F2782" s="13"/>
    </row>
    <row r="2783" spans="1:7" x14ac:dyDescent="0.2">
      <c r="A2783" s="13"/>
      <c r="B2783" s="13"/>
      <c r="C2783" s="13"/>
      <c r="D2783" s="13"/>
      <c r="E2783" s="13"/>
      <c r="F2783" s="13"/>
    </row>
    <row r="2784" spans="1:7" x14ac:dyDescent="0.2">
      <c r="A2784" s="13"/>
      <c r="B2784" s="13"/>
      <c r="C2784" s="13"/>
      <c r="D2784" s="13"/>
      <c r="E2784" s="13"/>
      <c r="F2784" s="13"/>
    </row>
    <row r="2785" spans="1:7" x14ac:dyDescent="0.2">
      <c r="A2785" s="13"/>
      <c r="B2785" s="13"/>
      <c r="C2785" s="13"/>
      <c r="D2785" s="13"/>
      <c r="E2785" s="13"/>
      <c r="F2785" s="13"/>
    </row>
    <row r="2786" spans="1:7" x14ac:dyDescent="0.2">
      <c r="A2786" s="13"/>
      <c r="B2786" s="13"/>
      <c r="C2786" s="13"/>
      <c r="D2786" s="13"/>
      <c r="E2786" s="13"/>
      <c r="F2786" s="13"/>
    </row>
    <row r="2787" spans="1:7" x14ac:dyDescent="0.2">
      <c r="A2787" s="13"/>
      <c r="B2787" s="13"/>
      <c r="C2787" s="13"/>
      <c r="D2787" s="13"/>
      <c r="E2787" s="13"/>
      <c r="F2787" s="13"/>
    </row>
    <row r="2788" spans="1:7" x14ac:dyDescent="0.2">
      <c r="A2788" s="13"/>
      <c r="B2788" s="13"/>
      <c r="C2788" s="13"/>
      <c r="D2788" s="13"/>
      <c r="E2788" s="13"/>
      <c r="F2788" s="13"/>
    </row>
    <row r="2789" spans="1:7" x14ac:dyDescent="0.2">
      <c r="A2789" s="13"/>
      <c r="B2789" s="13"/>
      <c r="C2789" s="13"/>
      <c r="D2789" s="13"/>
      <c r="E2789" s="13"/>
      <c r="F2789" s="13"/>
    </row>
    <row r="2790" spans="1:7" x14ac:dyDescent="0.2">
      <c r="A2790" s="13"/>
      <c r="B2790" s="13"/>
      <c r="C2790" s="13"/>
      <c r="D2790" s="13"/>
      <c r="E2790" s="13"/>
      <c r="F2790" s="13"/>
    </row>
    <row r="2791" spans="1:7" x14ac:dyDescent="0.2">
      <c r="A2791" s="13"/>
      <c r="B2791" s="13"/>
      <c r="C2791" s="13"/>
      <c r="D2791" s="13"/>
      <c r="E2791" s="13"/>
      <c r="F2791" s="13"/>
    </row>
    <row r="2792" spans="1:7" x14ac:dyDescent="0.2">
      <c r="A2792" s="13"/>
      <c r="B2792" s="13"/>
      <c r="C2792" s="13"/>
      <c r="D2792" s="13"/>
      <c r="E2792" s="13"/>
      <c r="F2792" s="13"/>
    </row>
    <row r="2793" spans="1:7" x14ac:dyDescent="0.2">
      <c r="A2793" s="13"/>
      <c r="B2793" s="13"/>
      <c r="C2793" s="13"/>
      <c r="D2793" s="13"/>
      <c r="E2793" s="13"/>
      <c r="F2793" s="13"/>
    </row>
    <row r="2794" spans="1:7" x14ac:dyDescent="0.2">
      <c r="A2794" s="13"/>
      <c r="B2794" s="13"/>
      <c r="C2794" s="13"/>
      <c r="D2794" s="13"/>
      <c r="E2794" s="13"/>
      <c r="F2794" s="13"/>
    </row>
    <row r="2795" spans="1:7" x14ac:dyDescent="0.2">
      <c r="A2795" s="13"/>
      <c r="B2795" s="13"/>
      <c r="C2795" s="13"/>
      <c r="D2795" s="13"/>
      <c r="E2795" s="13"/>
      <c r="F2795" s="13"/>
    </row>
    <row r="2796" spans="1:7" x14ac:dyDescent="0.2">
      <c r="A2796" s="13"/>
      <c r="B2796" s="13"/>
      <c r="C2796" s="13"/>
      <c r="D2796" s="13"/>
      <c r="E2796" s="13"/>
      <c r="G2796" s="13"/>
    </row>
    <row r="2797" spans="1:7" x14ac:dyDescent="0.2">
      <c r="A2797" s="13"/>
      <c r="B2797" s="13"/>
      <c r="C2797" s="13"/>
      <c r="D2797" s="13"/>
      <c r="E2797" s="13"/>
      <c r="G2797" s="13"/>
    </row>
    <row r="2798" spans="1:7" x14ac:dyDescent="0.2">
      <c r="A2798" s="13"/>
      <c r="B2798" s="13"/>
      <c r="C2798" s="13"/>
      <c r="D2798" s="13"/>
      <c r="E2798" s="13"/>
      <c r="G2798" s="13"/>
    </row>
    <row r="2799" spans="1:7" x14ac:dyDescent="0.2">
      <c r="A2799" s="13"/>
      <c r="B2799" s="13"/>
      <c r="C2799" s="13"/>
      <c r="D2799" s="13"/>
      <c r="E2799" s="13"/>
      <c r="G2799" s="13"/>
    </row>
    <row r="2800" spans="1:7" x14ac:dyDescent="0.2">
      <c r="A2800" s="13"/>
      <c r="B2800" s="13"/>
      <c r="C2800" s="13"/>
      <c r="D2800" s="13"/>
      <c r="E2800" s="13"/>
      <c r="G2800" s="13"/>
    </row>
    <row r="2801" spans="1:7" x14ac:dyDescent="0.2">
      <c r="A2801" s="13"/>
      <c r="B2801" s="13"/>
      <c r="C2801" s="13"/>
      <c r="D2801" s="13"/>
      <c r="E2801" s="13"/>
      <c r="G2801" s="13"/>
    </row>
    <row r="2802" spans="1:7" x14ac:dyDescent="0.2">
      <c r="A2802" s="13"/>
      <c r="B2802" s="13"/>
      <c r="C2802" s="13"/>
      <c r="D2802" s="13"/>
      <c r="E2802" s="13"/>
      <c r="G2802" s="13"/>
    </row>
    <row r="2803" spans="1:7" x14ac:dyDescent="0.2">
      <c r="A2803" s="13"/>
      <c r="B2803" s="13"/>
      <c r="C2803" s="13"/>
      <c r="D2803" s="13"/>
      <c r="E2803" s="13"/>
      <c r="G2803" s="13"/>
    </row>
    <row r="2804" spans="1:7" x14ac:dyDescent="0.2">
      <c r="A2804" s="13"/>
      <c r="B2804" s="13"/>
      <c r="C2804" s="13"/>
      <c r="D2804" s="13"/>
      <c r="E2804" s="13"/>
      <c r="G2804" s="13"/>
    </row>
    <row r="2805" spans="1:7" x14ac:dyDescent="0.2">
      <c r="A2805" s="13"/>
      <c r="B2805" s="13"/>
      <c r="C2805" s="13"/>
      <c r="D2805" s="13"/>
      <c r="E2805" s="13"/>
      <c r="G2805" s="13"/>
    </row>
    <row r="2806" spans="1:7" x14ac:dyDescent="0.2">
      <c r="A2806" s="13"/>
      <c r="B2806" s="13"/>
      <c r="D2806" s="13"/>
      <c r="E2806" s="13"/>
      <c r="G2806" s="13"/>
    </row>
    <row r="2807" spans="1:7" x14ac:dyDescent="0.2">
      <c r="A2807" s="13"/>
      <c r="B2807" s="13"/>
      <c r="C2807" s="13"/>
      <c r="D2807" s="13"/>
      <c r="E2807" s="13"/>
      <c r="G2807" s="13"/>
    </row>
    <row r="2808" spans="1:7" x14ac:dyDescent="0.2">
      <c r="A2808" s="13"/>
      <c r="B2808" s="13"/>
      <c r="C2808" s="13"/>
      <c r="D2808" s="13"/>
      <c r="E2808" s="13"/>
      <c r="G2808" s="13"/>
    </row>
    <row r="2809" spans="1:7" x14ac:dyDescent="0.2">
      <c r="A2809" s="13"/>
      <c r="B2809" s="13"/>
      <c r="C2809" s="13"/>
      <c r="D2809" s="13"/>
      <c r="E2809" s="13"/>
      <c r="G2809" s="13"/>
    </row>
    <row r="2810" spans="1:7" x14ac:dyDescent="0.2">
      <c r="A2810" s="13"/>
      <c r="B2810" s="13"/>
      <c r="C2810" s="13"/>
      <c r="D2810" s="13"/>
      <c r="E2810" s="13"/>
      <c r="G2810" s="13"/>
    </row>
    <row r="2811" spans="1:7" x14ac:dyDescent="0.2">
      <c r="A2811" s="13"/>
      <c r="B2811" s="13"/>
      <c r="C2811" s="13"/>
      <c r="D2811" s="13"/>
      <c r="E2811" s="13"/>
      <c r="G2811" s="13"/>
    </row>
    <row r="2812" spans="1:7" x14ac:dyDescent="0.2">
      <c r="A2812" s="13"/>
      <c r="B2812" s="13"/>
      <c r="C2812" s="13"/>
      <c r="D2812" s="13"/>
      <c r="E2812" s="13"/>
      <c r="F2812" s="13"/>
    </row>
    <row r="2813" spans="1:7" x14ac:dyDescent="0.2">
      <c r="A2813" s="13"/>
      <c r="B2813" s="13"/>
      <c r="C2813" s="13"/>
      <c r="D2813" s="13"/>
      <c r="E2813" s="13"/>
      <c r="F2813" s="13"/>
    </row>
    <row r="2814" spans="1:7" x14ac:dyDescent="0.2">
      <c r="A2814" s="13"/>
      <c r="B2814" s="13"/>
      <c r="C2814" s="13"/>
      <c r="D2814" s="13"/>
      <c r="E2814" s="13"/>
      <c r="F2814" s="13"/>
    </row>
    <row r="2815" spans="1:7" x14ac:dyDescent="0.2">
      <c r="A2815" s="13"/>
      <c r="B2815" s="13"/>
      <c r="C2815" s="13"/>
      <c r="D2815" s="13"/>
      <c r="E2815" s="13"/>
      <c r="F2815" s="13"/>
    </row>
    <row r="2816" spans="1:7" x14ac:dyDescent="0.2">
      <c r="A2816" s="13"/>
      <c r="B2816" s="13"/>
      <c r="C2816" s="13"/>
      <c r="D2816" s="13"/>
      <c r="E2816" s="13"/>
      <c r="F2816" s="13"/>
    </row>
    <row r="2817" spans="1:7" x14ac:dyDescent="0.2">
      <c r="A2817" s="13"/>
      <c r="B2817" s="13"/>
      <c r="C2817" s="13"/>
      <c r="D2817" s="13"/>
      <c r="E2817" s="13"/>
      <c r="F2817" s="13"/>
    </row>
    <row r="2818" spans="1:7" x14ac:dyDescent="0.2">
      <c r="A2818" s="13"/>
      <c r="B2818" s="13"/>
      <c r="C2818" s="13"/>
      <c r="D2818" s="13"/>
      <c r="E2818" s="13"/>
      <c r="F2818" s="13"/>
    </row>
    <row r="2819" spans="1:7" x14ac:dyDescent="0.2">
      <c r="A2819" s="13"/>
      <c r="B2819" s="13"/>
      <c r="C2819" s="13"/>
      <c r="D2819" s="13"/>
      <c r="E2819" s="13"/>
      <c r="F2819" s="13"/>
    </row>
    <row r="2820" spans="1:7" x14ac:dyDescent="0.2">
      <c r="A2820" s="13"/>
      <c r="B2820" s="13"/>
      <c r="C2820" s="13"/>
      <c r="D2820" s="13"/>
      <c r="E2820" s="13"/>
      <c r="F2820" s="13"/>
    </row>
    <row r="2821" spans="1:7" x14ac:dyDescent="0.2">
      <c r="A2821" s="13"/>
      <c r="B2821" s="13"/>
      <c r="C2821" s="13"/>
      <c r="D2821" s="13"/>
      <c r="E2821" s="13"/>
      <c r="F2821" s="13"/>
    </row>
    <row r="2822" spans="1:7" x14ac:dyDescent="0.2">
      <c r="A2822" s="13"/>
      <c r="B2822" s="13"/>
      <c r="C2822" s="13"/>
      <c r="D2822" s="13"/>
      <c r="E2822" s="13"/>
      <c r="F2822" s="13"/>
    </row>
    <row r="2823" spans="1:7" x14ac:dyDescent="0.2">
      <c r="A2823" s="13"/>
      <c r="B2823" s="13"/>
      <c r="C2823" s="13"/>
      <c r="D2823" s="13"/>
      <c r="E2823" s="13"/>
      <c r="F2823" s="13"/>
    </row>
    <row r="2824" spans="1:7" x14ac:dyDescent="0.2">
      <c r="A2824" s="13"/>
      <c r="B2824" s="13"/>
      <c r="C2824" s="13"/>
      <c r="D2824" s="13"/>
      <c r="E2824" s="13"/>
      <c r="F2824" s="13"/>
    </row>
    <row r="2825" spans="1:7" x14ac:dyDescent="0.2">
      <c r="A2825" s="13"/>
      <c r="B2825" s="13"/>
      <c r="C2825" s="13"/>
      <c r="D2825" s="13"/>
      <c r="E2825" s="13"/>
      <c r="G2825" s="13"/>
    </row>
    <row r="2826" spans="1:7" x14ac:dyDescent="0.2">
      <c r="A2826" s="13"/>
      <c r="B2826" s="13"/>
      <c r="C2826" s="13"/>
      <c r="D2826" s="13"/>
      <c r="E2826" s="13"/>
      <c r="G2826" s="13"/>
    </row>
    <row r="2827" spans="1:7" x14ac:dyDescent="0.2">
      <c r="A2827" s="13"/>
      <c r="B2827" s="13"/>
      <c r="C2827" s="13"/>
      <c r="D2827" s="13"/>
      <c r="E2827" s="13"/>
      <c r="G2827" s="13"/>
    </row>
    <row r="2828" spans="1:7" x14ac:dyDescent="0.2">
      <c r="A2828" s="13"/>
      <c r="B2828" s="13"/>
      <c r="C2828" s="13"/>
      <c r="D2828" s="13"/>
      <c r="E2828" s="13"/>
      <c r="G2828" s="13"/>
    </row>
    <row r="2829" spans="1:7" x14ac:dyDescent="0.2">
      <c r="A2829" s="13"/>
      <c r="B2829" s="13"/>
      <c r="C2829" s="13"/>
      <c r="D2829" s="13"/>
      <c r="E2829" s="13"/>
      <c r="G2829" s="13"/>
    </row>
    <row r="2830" spans="1:7" x14ac:dyDescent="0.2">
      <c r="A2830" s="13"/>
      <c r="B2830" s="13"/>
      <c r="C2830" s="13"/>
      <c r="D2830" s="13"/>
      <c r="E2830" s="13"/>
      <c r="G2830" s="13"/>
    </row>
    <row r="2831" spans="1:7" x14ac:dyDescent="0.2">
      <c r="A2831" s="13"/>
      <c r="B2831" s="13"/>
      <c r="C2831" s="13"/>
      <c r="D2831" s="13"/>
      <c r="E2831" s="13"/>
      <c r="G2831" s="13"/>
    </row>
    <row r="2832" spans="1:7" x14ac:dyDescent="0.2">
      <c r="A2832" s="13"/>
      <c r="B2832" s="13"/>
      <c r="C2832" s="13"/>
      <c r="D2832" s="13"/>
      <c r="E2832" s="13"/>
      <c r="G2832" s="13"/>
    </row>
    <row r="2833" spans="1:7" x14ac:dyDescent="0.2">
      <c r="A2833" s="13"/>
      <c r="B2833" s="13"/>
      <c r="C2833" s="13"/>
      <c r="D2833" s="13"/>
      <c r="E2833" s="13"/>
      <c r="G2833" s="13"/>
    </row>
    <row r="2834" spans="1:7" x14ac:dyDescent="0.2">
      <c r="A2834" s="13"/>
      <c r="B2834" s="13"/>
      <c r="C2834" s="13"/>
      <c r="D2834" s="13"/>
      <c r="E2834" s="13"/>
      <c r="G2834" s="13"/>
    </row>
    <row r="2835" spans="1:7" x14ac:dyDescent="0.2">
      <c r="A2835" s="13"/>
      <c r="B2835" s="13"/>
      <c r="C2835" s="13"/>
      <c r="D2835" s="13"/>
      <c r="E2835" s="13"/>
      <c r="G2835" s="13"/>
    </row>
    <row r="2836" spans="1:7" x14ac:dyDescent="0.2">
      <c r="A2836" s="13"/>
      <c r="B2836" s="13"/>
      <c r="C2836" s="13"/>
      <c r="D2836" s="13"/>
      <c r="E2836" s="13"/>
      <c r="G2836" s="13"/>
    </row>
    <row r="2837" spans="1:7" x14ac:dyDescent="0.2">
      <c r="A2837" s="13"/>
      <c r="B2837" s="13"/>
      <c r="C2837" s="13"/>
      <c r="D2837" s="13"/>
      <c r="E2837" s="13"/>
      <c r="G2837" s="13"/>
    </row>
    <row r="2838" spans="1:7" x14ac:dyDescent="0.2">
      <c r="A2838" s="13"/>
      <c r="B2838" s="13"/>
      <c r="C2838" s="13"/>
      <c r="D2838" s="13"/>
      <c r="E2838" s="13"/>
      <c r="G2838" s="13"/>
    </row>
    <row r="2839" spans="1:7" x14ac:dyDescent="0.2">
      <c r="A2839" s="13"/>
      <c r="B2839" s="13"/>
      <c r="C2839" s="13"/>
      <c r="D2839" s="13"/>
      <c r="E2839" s="13"/>
      <c r="G2839" s="13"/>
    </row>
    <row r="2840" spans="1:7" x14ac:dyDescent="0.2">
      <c r="A2840" s="13"/>
      <c r="B2840" s="13"/>
      <c r="C2840" s="13"/>
      <c r="D2840" s="13"/>
      <c r="E2840" s="13"/>
      <c r="G2840" s="13"/>
    </row>
    <row r="2841" spans="1:7" x14ac:dyDescent="0.2">
      <c r="A2841" s="13"/>
      <c r="B2841" s="13"/>
      <c r="C2841" s="13"/>
      <c r="D2841" s="13"/>
      <c r="E2841" s="13"/>
      <c r="G2841" s="13"/>
    </row>
    <row r="2842" spans="1:7" x14ac:dyDescent="0.2">
      <c r="A2842" s="13"/>
      <c r="B2842" s="13"/>
      <c r="C2842" s="13"/>
      <c r="D2842" s="13"/>
      <c r="E2842" s="13"/>
      <c r="G2842" s="13"/>
    </row>
    <row r="2843" spans="1:7" x14ac:dyDescent="0.2">
      <c r="A2843" s="13"/>
      <c r="B2843" s="13"/>
      <c r="C2843" s="13"/>
      <c r="D2843" s="13"/>
      <c r="E2843" s="13"/>
      <c r="G2843" s="13"/>
    </row>
    <row r="2844" spans="1:7" x14ac:dyDescent="0.2">
      <c r="A2844" s="13"/>
      <c r="B2844" s="13"/>
      <c r="C2844" s="13"/>
      <c r="D2844" s="13"/>
      <c r="E2844" s="13"/>
      <c r="G2844" s="13"/>
    </row>
    <row r="2845" spans="1:7" x14ac:dyDescent="0.2">
      <c r="A2845" s="13"/>
      <c r="B2845" s="13"/>
      <c r="C2845" s="13"/>
      <c r="D2845" s="13"/>
      <c r="E2845" s="13"/>
      <c r="G2845" s="13"/>
    </row>
    <row r="2846" spans="1:7" x14ac:dyDescent="0.2">
      <c r="A2846" s="13"/>
      <c r="B2846" s="13"/>
      <c r="C2846" s="13"/>
      <c r="D2846" s="13"/>
      <c r="E2846" s="13"/>
      <c r="G2846" s="13"/>
    </row>
    <row r="2847" spans="1:7" x14ac:dyDescent="0.2">
      <c r="A2847" s="13"/>
      <c r="B2847" s="13"/>
      <c r="C2847" s="13"/>
      <c r="D2847" s="13"/>
      <c r="E2847" s="13"/>
      <c r="G2847" s="13"/>
    </row>
    <row r="2848" spans="1:7" x14ac:dyDescent="0.2">
      <c r="A2848" s="13"/>
      <c r="B2848" s="13"/>
      <c r="C2848" s="13"/>
      <c r="D2848" s="13"/>
      <c r="E2848" s="13"/>
      <c r="G2848" s="13"/>
    </row>
    <row r="2849" spans="1:7" x14ac:dyDescent="0.2">
      <c r="A2849" s="13"/>
      <c r="B2849" s="13"/>
      <c r="C2849" s="13"/>
      <c r="D2849" s="13"/>
      <c r="E2849" s="13"/>
      <c r="F2849" s="13"/>
    </row>
    <row r="2850" spans="1:7" x14ac:dyDescent="0.2">
      <c r="A2850" s="13"/>
      <c r="B2850" s="13"/>
      <c r="C2850" s="13"/>
      <c r="D2850" s="13"/>
      <c r="E2850" s="13"/>
      <c r="F2850" s="13"/>
    </row>
    <row r="2851" spans="1:7" x14ac:dyDescent="0.2">
      <c r="A2851" s="13"/>
      <c r="B2851" s="13"/>
      <c r="C2851" s="13"/>
      <c r="D2851" s="13"/>
      <c r="E2851" s="13"/>
      <c r="F2851" s="13"/>
    </row>
    <row r="2852" spans="1:7" x14ac:dyDescent="0.2">
      <c r="A2852" s="13"/>
      <c r="B2852" s="13"/>
      <c r="C2852" s="13"/>
      <c r="D2852" s="13"/>
      <c r="E2852" s="13"/>
      <c r="F2852" s="13"/>
    </row>
    <row r="2853" spans="1:7" x14ac:dyDescent="0.2">
      <c r="A2853" s="13"/>
      <c r="B2853" s="13"/>
      <c r="C2853" s="13"/>
      <c r="D2853" s="13"/>
      <c r="E2853" s="13"/>
      <c r="F2853" s="13"/>
    </row>
    <row r="2854" spans="1:7" x14ac:dyDescent="0.2">
      <c r="A2854" s="13"/>
      <c r="B2854" s="13"/>
      <c r="C2854" s="13"/>
      <c r="D2854" s="13"/>
      <c r="E2854" s="13"/>
      <c r="F2854" s="13"/>
    </row>
    <row r="2855" spans="1:7" x14ac:dyDescent="0.2">
      <c r="A2855" s="13"/>
      <c r="B2855" s="13"/>
      <c r="C2855" s="13"/>
      <c r="D2855" s="13"/>
      <c r="E2855" s="13"/>
      <c r="F2855" s="13"/>
    </row>
    <row r="2856" spans="1:7" x14ac:dyDescent="0.2">
      <c r="A2856" s="13"/>
      <c r="B2856" s="13"/>
      <c r="C2856" s="13"/>
      <c r="D2856" s="13"/>
      <c r="E2856" s="13"/>
      <c r="F2856" s="13"/>
    </row>
    <row r="2857" spans="1:7" x14ac:dyDescent="0.2">
      <c r="A2857" s="13"/>
      <c r="B2857" s="13"/>
      <c r="C2857" s="13"/>
      <c r="D2857" s="13"/>
      <c r="E2857" s="13"/>
      <c r="F2857" s="13"/>
    </row>
    <row r="2858" spans="1:7" x14ac:dyDescent="0.2">
      <c r="A2858" s="13"/>
      <c r="B2858" s="13"/>
      <c r="C2858" s="13"/>
      <c r="D2858" s="13"/>
      <c r="E2858" s="13"/>
      <c r="F2858" s="13"/>
    </row>
    <row r="2859" spans="1:7" x14ac:dyDescent="0.2">
      <c r="A2859" s="13"/>
      <c r="B2859" s="13"/>
      <c r="C2859" s="13"/>
      <c r="D2859" s="13"/>
      <c r="E2859" s="13"/>
      <c r="F2859" s="13"/>
    </row>
    <row r="2860" spans="1:7" x14ac:dyDescent="0.2">
      <c r="A2860" s="13"/>
      <c r="B2860" s="13"/>
      <c r="C2860" s="13"/>
      <c r="D2860" s="13"/>
      <c r="E2860" s="13"/>
      <c r="G2860" s="13"/>
    </row>
    <row r="2861" spans="1:7" x14ac:dyDescent="0.2">
      <c r="A2861" s="13"/>
      <c r="B2861" s="13"/>
      <c r="C2861" s="13"/>
      <c r="D2861" s="13"/>
      <c r="E2861" s="13"/>
      <c r="G2861" s="13"/>
    </row>
    <row r="2862" spans="1:7" x14ac:dyDescent="0.2">
      <c r="A2862" s="13"/>
      <c r="B2862" s="13"/>
      <c r="C2862" s="13"/>
      <c r="D2862" s="13"/>
      <c r="E2862" s="13"/>
      <c r="F2862" s="13"/>
    </row>
    <row r="2863" spans="1:7" x14ac:dyDescent="0.2">
      <c r="A2863" s="13"/>
      <c r="B2863" s="13"/>
      <c r="C2863" s="13"/>
      <c r="D2863" s="13"/>
      <c r="E2863" s="13"/>
      <c r="F2863" s="13"/>
    </row>
    <row r="2864" spans="1:7" x14ac:dyDescent="0.2">
      <c r="A2864" s="13"/>
      <c r="B2864" s="13"/>
      <c r="C2864" s="13"/>
      <c r="D2864" s="13"/>
      <c r="E2864" s="13"/>
      <c r="F2864" s="13"/>
    </row>
    <row r="2865" spans="1:7" x14ac:dyDescent="0.2">
      <c r="A2865" s="13"/>
      <c r="B2865" s="13"/>
      <c r="C2865" s="13"/>
      <c r="D2865" s="13"/>
      <c r="E2865" s="13"/>
      <c r="F2865" s="13"/>
    </row>
    <row r="2866" spans="1:7" x14ac:dyDescent="0.2">
      <c r="A2866" s="13"/>
      <c r="B2866" s="13"/>
      <c r="C2866" s="13"/>
      <c r="D2866" s="13"/>
      <c r="E2866" s="13"/>
      <c r="F2866" s="13"/>
    </row>
    <row r="2867" spans="1:7" x14ac:dyDescent="0.2">
      <c r="A2867" s="13"/>
      <c r="B2867" s="13"/>
      <c r="C2867" s="13"/>
      <c r="D2867" s="13"/>
      <c r="E2867" s="13"/>
      <c r="F2867" s="13"/>
    </row>
    <row r="2868" spans="1:7" x14ac:dyDescent="0.2">
      <c r="A2868" s="13"/>
      <c r="B2868" s="13"/>
      <c r="C2868" s="13"/>
      <c r="D2868" s="13"/>
      <c r="E2868" s="13"/>
      <c r="G2868" s="13"/>
    </row>
    <row r="2869" spans="1:7" x14ac:dyDescent="0.2">
      <c r="A2869" s="13"/>
      <c r="B2869" s="13"/>
      <c r="C2869" s="13"/>
      <c r="D2869" s="13"/>
      <c r="E2869" s="13"/>
      <c r="G2869" s="13"/>
    </row>
    <row r="2870" spans="1:7" x14ac:dyDescent="0.2">
      <c r="A2870" s="13"/>
      <c r="B2870" s="13"/>
      <c r="C2870" s="13"/>
      <c r="D2870" s="13"/>
      <c r="E2870" s="13"/>
      <c r="F2870" s="13"/>
    </row>
    <row r="2871" spans="1:7" x14ac:dyDescent="0.2">
      <c r="A2871" s="13"/>
      <c r="B2871" s="13"/>
      <c r="C2871" s="13"/>
      <c r="D2871" s="13"/>
      <c r="E2871" s="13"/>
      <c r="G2871" s="13"/>
    </row>
    <row r="2872" spans="1:7" x14ac:dyDescent="0.2">
      <c r="A2872" s="13"/>
      <c r="B2872" s="13"/>
      <c r="C2872" s="13"/>
      <c r="D2872" s="13"/>
      <c r="E2872" s="13"/>
      <c r="G2872" s="13"/>
    </row>
    <row r="2873" spans="1:7" x14ac:dyDescent="0.2">
      <c r="A2873" s="13"/>
      <c r="B2873" s="13"/>
      <c r="C2873" s="13"/>
      <c r="D2873" s="13"/>
      <c r="E2873" s="13"/>
      <c r="G2873" s="13"/>
    </row>
    <row r="2874" spans="1:7" x14ac:dyDescent="0.2">
      <c r="A2874" s="13"/>
      <c r="B2874" s="13"/>
      <c r="C2874" s="13"/>
      <c r="D2874" s="13"/>
      <c r="E2874" s="13"/>
      <c r="G2874" s="13"/>
    </row>
    <row r="2875" spans="1:7" x14ac:dyDescent="0.2">
      <c r="A2875" s="13"/>
      <c r="B2875" s="13"/>
      <c r="C2875" s="13"/>
      <c r="D2875" s="13"/>
      <c r="E2875" s="13"/>
      <c r="G2875" s="13"/>
    </row>
    <row r="2876" spans="1:7" x14ac:dyDescent="0.2">
      <c r="A2876" s="13"/>
      <c r="B2876" s="13"/>
      <c r="C2876" s="13"/>
      <c r="D2876" s="13"/>
      <c r="E2876" s="13"/>
      <c r="G2876" s="13"/>
    </row>
    <row r="2877" spans="1:7" x14ac:dyDescent="0.2">
      <c r="A2877" s="13"/>
      <c r="B2877" s="13"/>
      <c r="C2877" s="13"/>
      <c r="D2877" s="13"/>
      <c r="E2877" s="13"/>
      <c r="G2877" s="13"/>
    </row>
    <row r="2878" spans="1:7" x14ac:dyDescent="0.2">
      <c r="A2878" s="13"/>
      <c r="B2878" s="13"/>
      <c r="C2878" s="13"/>
      <c r="D2878" s="13"/>
      <c r="E2878" s="13"/>
      <c r="G2878" s="13"/>
    </row>
    <row r="2879" spans="1:7" x14ac:dyDescent="0.2">
      <c r="A2879" s="13"/>
      <c r="B2879" s="13"/>
      <c r="C2879" s="13"/>
      <c r="D2879" s="13"/>
      <c r="E2879" s="13"/>
      <c r="G2879" s="13"/>
    </row>
    <row r="2880" spans="1:7" x14ac:dyDescent="0.2">
      <c r="A2880" s="13"/>
      <c r="B2880" s="13"/>
      <c r="C2880" s="13"/>
      <c r="D2880" s="13"/>
      <c r="E2880" s="13"/>
      <c r="G2880" s="13"/>
    </row>
    <row r="2881" spans="1:10" x14ac:dyDescent="0.2">
      <c r="A2881" s="13"/>
      <c r="B2881" s="13"/>
      <c r="C2881" s="13"/>
      <c r="D2881" s="13"/>
      <c r="E2881" s="13"/>
      <c r="G2881" s="13"/>
      <c r="J2881" s="52"/>
    </row>
    <row r="2882" spans="1:10" x14ac:dyDescent="0.2">
      <c r="A2882" s="13"/>
      <c r="B2882" s="13"/>
      <c r="C2882" s="13"/>
      <c r="D2882" s="13"/>
      <c r="E2882" s="13"/>
      <c r="G2882" s="13"/>
    </row>
    <row r="2883" spans="1:10" x14ac:dyDescent="0.2">
      <c r="A2883" s="13"/>
    </row>
    <row r="2884" spans="1:10" x14ac:dyDescent="0.2">
      <c r="A2884" s="13"/>
    </row>
    <row r="2885" spans="1:10" x14ac:dyDescent="0.2">
      <c r="A2885" s="13"/>
    </row>
    <row r="2886" spans="1:10" x14ac:dyDescent="0.2">
      <c r="A2886" s="13"/>
      <c r="B2886" s="13"/>
      <c r="D2886" s="13"/>
      <c r="E2886" s="13"/>
      <c r="G2886" s="13"/>
    </row>
    <row r="2887" spans="1:10" x14ac:dyDescent="0.2">
      <c r="A2887" s="13"/>
    </row>
    <row r="2888" spans="1:10" x14ac:dyDescent="0.2">
      <c r="A2888" s="13"/>
    </row>
    <row r="2889" spans="1:10" x14ac:dyDescent="0.2">
      <c r="A2889" s="13"/>
      <c r="B2889" s="13"/>
    </row>
    <row r="2890" spans="1:10" x14ac:dyDescent="0.2">
      <c r="A2890" s="13"/>
      <c r="B2890"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55</vt:i4>
      </vt:variant>
    </vt:vector>
  </HeadingPairs>
  <TitlesOfParts>
    <vt:vector size="86" baseType="lpstr">
      <vt:lpstr>Instruction</vt:lpstr>
      <vt:lpstr>FS</vt:lpstr>
      <vt:lpstr>SARS</vt:lpstr>
      <vt:lpstr>FS2</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2024-01-26T07:08:06Z</cp:lastPrinted>
  <dcterms:created xsi:type="dcterms:W3CDTF">2005-04-27T11:29:52Z</dcterms:created>
  <dcterms:modified xsi:type="dcterms:W3CDTF">2024-04-19T08:44:34Z</dcterms:modified>
</cp:coreProperties>
</file>